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60" windowWidth="12120" windowHeight="4785" activeTab="0"/>
  </bookViews>
  <sheets>
    <sheet name="Summary" sheetId="1" r:id="rId1"/>
    <sheet name="System Admin" sheetId="2" r:id="rId2"/>
    <sheet name="UCB" sheetId="3" r:id="rId3"/>
    <sheet name="UCCS" sheetId="4" r:id="rId4"/>
    <sheet name="UCD" sheetId="5" r:id="rId5"/>
    <sheet name="AMC" sheetId="6" r:id="rId6"/>
  </sheets>
  <definedNames>
    <definedName name="_Fill" localSheetId="5" hidden="1">'AMC'!#REF!</definedName>
    <definedName name="_Fill" localSheetId="1" hidden="1">'System Admin'!#REF!</definedName>
    <definedName name="_Fill" localSheetId="2" hidden="1">'UCB'!#REF!</definedName>
    <definedName name="_Fill" localSheetId="3" hidden="1">'UCCS'!#REF!</definedName>
    <definedName name="_Fill" localSheetId="4" hidden="1">'UCD'!#REF!</definedName>
    <definedName name="_Fill" hidden="1">'Summary'!#REF!</definedName>
    <definedName name="_Regression_Int" localSheetId="5" hidden="1">1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FMT10" localSheetId="5">'AMC'!#REF!</definedName>
    <definedName name="FMT10" localSheetId="1">'System Admin'!#REF!</definedName>
    <definedName name="FMT10" localSheetId="2">'UCB'!#REF!</definedName>
    <definedName name="FMT10" localSheetId="3">'UCCS'!#REF!</definedName>
    <definedName name="FMT10" localSheetId="4">'UCD'!#REF!</definedName>
    <definedName name="FMT10">'Summary'!#REF!</definedName>
    <definedName name="FMT100" localSheetId="5">'AMC'!#REF!</definedName>
    <definedName name="FMT100" localSheetId="1">'System Admin'!#REF!</definedName>
    <definedName name="FMT100" localSheetId="2">'UCB'!#REF!</definedName>
    <definedName name="FMT100" localSheetId="3">'UCCS'!#REF!</definedName>
    <definedName name="FMT100" localSheetId="4">'UCD'!#REF!</definedName>
    <definedName name="FMT100">'Summary'!#REF!</definedName>
    <definedName name="FMT1100" localSheetId="5">'AMC'!$A$394:$I$430</definedName>
    <definedName name="FMT1100" localSheetId="1">'System Admin'!#REF!</definedName>
    <definedName name="FMT1100" localSheetId="2">'UCB'!$A$441:$L$477</definedName>
    <definedName name="FMT1100" localSheetId="3">'UCCS'!$A$434:$L$470</definedName>
    <definedName name="FMT1100" localSheetId="4">'UCD'!$A$439:$I$475</definedName>
    <definedName name="FMT1100">'Summary'!#REF!</definedName>
    <definedName name="FMT1200" localSheetId="5">'AMC'!$A$431:$I$465</definedName>
    <definedName name="FMT1200" localSheetId="1">'System Admin'!#REF!</definedName>
    <definedName name="FMT1200" localSheetId="2">'UCB'!$A$479:$L$514</definedName>
    <definedName name="FMT1200" localSheetId="3">'UCCS'!$A$472:$L$507</definedName>
    <definedName name="FMT1200" localSheetId="4">'UCD'!$A$476:$I$511</definedName>
    <definedName name="FMT1200">'Summary'!#REF!</definedName>
    <definedName name="FMT1300" localSheetId="5">'AMC'!$A$466:$I$501</definedName>
    <definedName name="FMT1300" localSheetId="1">'System Admin'!#REF!</definedName>
    <definedName name="FMT1300" localSheetId="2">'UCB'!$A$515:$L$549</definedName>
    <definedName name="FMT1300" localSheetId="3">'UCCS'!$A$509:$L$544</definedName>
    <definedName name="FMT1300" localSheetId="4">'UCD'!$A$512:$I$546</definedName>
    <definedName name="FMT1300">'Summary'!#REF!</definedName>
    <definedName name="FMT1400" localSheetId="5">'AMC'!$A$502:$I$537</definedName>
    <definedName name="FMT1400" localSheetId="1">'System Admin'!#REF!</definedName>
    <definedName name="FMT1400" localSheetId="2">'UCB'!$A$551:$L$585</definedName>
    <definedName name="FMT1400" localSheetId="3">'UCCS'!$A$546:$L$581</definedName>
    <definedName name="FMT1400" localSheetId="4">'UCD'!$A$548:$I$583</definedName>
    <definedName name="FMT1400">'Summary'!#REF!</definedName>
    <definedName name="FMT15" localSheetId="5">'AMC'!#REF!</definedName>
    <definedName name="FMT15" localSheetId="1">'System Admin'!#REF!</definedName>
    <definedName name="FMT15" localSheetId="2">'UCB'!#REF!</definedName>
    <definedName name="FMT15" localSheetId="3">'UCCS'!#REF!</definedName>
    <definedName name="FMT15" localSheetId="4">'UCD'!#REF!</definedName>
    <definedName name="FMT15">'Summary'!#REF!</definedName>
    <definedName name="FMT1500" localSheetId="5">'AMC'!$A$538:$I$573</definedName>
    <definedName name="FMT1500" localSheetId="1">'System Admin'!#REF!</definedName>
    <definedName name="FMT1500" localSheetId="2">'UCB'!$A$586:$L$620</definedName>
    <definedName name="FMT1500" localSheetId="3">'UCCS'!$A$583:$L$618</definedName>
    <definedName name="FMT1500" localSheetId="4">'UCD'!$A$584:$I$619</definedName>
    <definedName name="FMT1500">'Summary'!#REF!</definedName>
    <definedName name="FMT1600" localSheetId="5">'AMC'!$A$575:$I$608</definedName>
    <definedName name="FMT1600" localSheetId="1">'System Admin'!#REF!</definedName>
    <definedName name="FMT1600" localSheetId="2">'UCB'!$A$621:$L$655</definedName>
    <definedName name="FMT1600" localSheetId="3">'UCCS'!$A$621:$L$654</definedName>
    <definedName name="FMT1600" localSheetId="4">'UCD'!$A$621:$I$654</definedName>
    <definedName name="FMT1600">'Summary'!#REF!</definedName>
    <definedName name="FMT1700" localSheetId="5">'AMC'!$A$610:$I$693</definedName>
    <definedName name="FMT1700" localSheetId="1">'System Admin'!#REF!</definedName>
    <definedName name="FMT1700" localSheetId="2">'UCB'!$A$656:$L$726</definedName>
    <definedName name="FMT1700" localSheetId="3">'UCCS'!$A$656:$L$713</definedName>
    <definedName name="FMT1700" localSheetId="4">'UCD'!$A$655:$I$707</definedName>
    <definedName name="FMT1700">'Summary'!#REF!</definedName>
    <definedName name="FMT1800" localSheetId="5">'AMC'!$A$695:$I$728</definedName>
    <definedName name="FMT1800" localSheetId="1">'System Admin'!#REF!</definedName>
    <definedName name="FMT1800" localSheetId="2">'UCB'!$A$729:$L$764</definedName>
    <definedName name="FMT1800" localSheetId="3">'UCCS'!$A$715:$L$749</definedName>
    <definedName name="FMT1800" localSheetId="4">'UCD'!$A$709:$I$742</definedName>
    <definedName name="FMT1800">'Summary'!#REF!</definedName>
    <definedName name="FMT1900" localSheetId="5">'AMC'!$A$729:$I$763</definedName>
    <definedName name="FMT1900" localSheetId="1">'System Admin'!#REF!</definedName>
    <definedName name="FMT1900" localSheetId="2">'UCB'!$A$766:$L$801</definedName>
    <definedName name="FMT1900" localSheetId="3">'UCCS'!$A$753:$L$787</definedName>
    <definedName name="FMT1900" localSheetId="4">'UCD'!$A$743:$I$777</definedName>
    <definedName name="FMT1900">'Summary'!#REF!</definedName>
    <definedName name="FMT20" localSheetId="5">'AMC'!$A$31:$I$65</definedName>
    <definedName name="FMT20" localSheetId="1">'System Admin'!$A$31:$L$65</definedName>
    <definedName name="FMT20" localSheetId="2">'UCB'!$A$31:$L$68</definedName>
    <definedName name="FMT20" localSheetId="3">'UCCS'!$A$31:$L$66</definedName>
    <definedName name="FMT20" localSheetId="4">'UCD'!$A$31:$I$65</definedName>
    <definedName name="FMT20">'Summary'!#REF!</definedName>
    <definedName name="FMT2000" localSheetId="5">'AMC'!$A$764:$I$796</definedName>
    <definedName name="FMT2000" localSheetId="1">'System Admin'!$A$107:$L$139</definedName>
    <definedName name="FMT2000" localSheetId="2">'UCB'!$A$803:$L$835</definedName>
    <definedName name="FMT2000" localSheetId="3">'UCCS'!$A$790:$L$822</definedName>
    <definedName name="FMT2000" localSheetId="4">'UCD'!$A$779:$I$811</definedName>
    <definedName name="FMT2000">'Summary'!#REF!</definedName>
    <definedName name="FMT30" localSheetId="5">'AMC'!#REF!</definedName>
    <definedName name="FMT30" localSheetId="1">'System Admin'!#REF!</definedName>
    <definedName name="FMT30" localSheetId="2">'UCB'!#REF!</definedName>
    <definedName name="FMT30" localSheetId="3">'UCCS'!#REF!</definedName>
    <definedName name="FMT30" localSheetId="4">'UCD'!#REF!</definedName>
    <definedName name="FMT30">'Summary'!#REF!</definedName>
    <definedName name="FMT35NR" localSheetId="5">'AMC'!#REF!</definedName>
    <definedName name="FMT35NR" localSheetId="1">'System Admin'!#REF!</definedName>
    <definedName name="FMT35NR" localSheetId="2">'UCB'!#REF!</definedName>
    <definedName name="FMT35NR" localSheetId="3">'UCCS'!#REF!</definedName>
    <definedName name="FMT35NR" localSheetId="4">'UCD'!#REF!</definedName>
    <definedName name="FMT35NR">'Summary'!#REF!</definedName>
    <definedName name="FMT35R" localSheetId="5">'AMC'!#REF!</definedName>
    <definedName name="FMT35R" localSheetId="1">'System Admin'!#REF!</definedName>
    <definedName name="FMT35R" localSheetId="2">'UCB'!#REF!</definedName>
    <definedName name="FMT35R" localSheetId="3">'UCCS'!#REF!</definedName>
    <definedName name="FMT35R" localSheetId="4">'UCD'!#REF!</definedName>
    <definedName name="FMT35R">'Summary'!#REF!</definedName>
    <definedName name="FMT410" localSheetId="5">'AMC'!#REF!</definedName>
    <definedName name="FMT410" localSheetId="1">'System Admin'!#REF!</definedName>
    <definedName name="FMT410" localSheetId="2">'UCB'!#REF!</definedName>
    <definedName name="FMT410" localSheetId="3">'UCCS'!#REF!</definedName>
    <definedName name="FMT410" localSheetId="4">'UCD'!#REF!</definedName>
    <definedName name="FMT410">'Summary'!#REF!</definedName>
    <definedName name="FMT411" localSheetId="5">'AMC'!#REF!</definedName>
    <definedName name="FMT411" localSheetId="1">'System Admin'!#REF!</definedName>
    <definedName name="FMT411" localSheetId="2">'UCB'!#REF!</definedName>
    <definedName name="FMT411" localSheetId="3">'UCCS'!#REF!</definedName>
    <definedName name="FMT411" localSheetId="4">'UCD'!#REF!</definedName>
    <definedName name="FMT411">'Summary'!#REF!</definedName>
    <definedName name="FMT600" localSheetId="5">'AMC'!#REF!</definedName>
    <definedName name="FMT600" localSheetId="1">'System Admin'!#REF!</definedName>
    <definedName name="FMT600" localSheetId="2">'UCB'!#REF!</definedName>
    <definedName name="FMT600" localSheetId="3">'UCCS'!#REF!</definedName>
    <definedName name="FMT600" localSheetId="4">'UCD'!#REF!</definedName>
    <definedName name="FMT600">'Summary'!#REF!</definedName>
    <definedName name="FMT9100" localSheetId="5">'AMC'!#REF!</definedName>
    <definedName name="FMT9100" localSheetId="1">'System Admin'!#REF!</definedName>
    <definedName name="FMT9100" localSheetId="2">'UCB'!#REF!</definedName>
    <definedName name="FMT9100" localSheetId="3">'UCCS'!#REF!</definedName>
    <definedName name="FMT9100" localSheetId="4">'UCD'!#REF!</definedName>
    <definedName name="FMT9100">'Summary'!#REF!</definedName>
    <definedName name="FMT9999" localSheetId="5">'AMC'!#REF!</definedName>
    <definedName name="FMT9999" localSheetId="1">'System Admin'!#REF!</definedName>
    <definedName name="FMT9999" localSheetId="2">'UCB'!#REF!</definedName>
    <definedName name="FMT9999" localSheetId="3">'UCCS'!#REF!</definedName>
    <definedName name="FMT9999" localSheetId="4">'UCD'!#REF!</definedName>
    <definedName name="FMT9999">'Summary'!#REF!</definedName>
    <definedName name="OLE_LINK1" localSheetId="5">'AMC'!#REF!</definedName>
    <definedName name="OLE_LINK1" localSheetId="0">'Summary'!#REF!</definedName>
    <definedName name="OLE_LINK1" localSheetId="1">'System Admin'!#REF!</definedName>
    <definedName name="OLE_LINK1" localSheetId="3">'UCCS'!#REF!</definedName>
    <definedName name="OLE_LINK1" localSheetId="4">'UCD'!#REF!</definedName>
    <definedName name="_xlnm.Print_Area" localSheetId="5">'AMC'!$A$1:$L$835</definedName>
    <definedName name="_xlnm.Print_Area" localSheetId="0">'Summary'!$A$1:$L$93</definedName>
    <definedName name="_xlnm.Print_Area" localSheetId="1">'System Admin'!$A$1:$L$140</definedName>
    <definedName name="_xlnm.Print_Area" localSheetId="2">'UCB'!$A$1:$L$913</definedName>
    <definedName name="_xlnm.Print_Area" localSheetId="3">'UCCS'!$A$1:$L$865</definedName>
    <definedName name="_xlnm.Print_Area" localSheetId="4">'UCD'!$A$1:$L$851</definedName>
    <definedName name="Print_Area_MI" localSheetId="5">'AMC'!#REF!</definedName>
    <definedName name="Print_Area_MI" localSheetId="0">'Summary'!#REF!</definedName>
    <definedName name="Print_Area_MI" localSheetId="1">'System Admin'!#REF!</definedName>
    <definedName name="Print_Area_MI" localSheetId="2">'UCB'!#REF!</definedName>
    <definedName name="Print_Area_MI" localSheetId="3">'UCCS'!#REF!</definedName>
    <definedName name="Print_Area_MI" localSheetId="4">'UCD'!#REF!</definedName>
  </definedNames>
  <calcPr fullCalcOnLoad="1"/>
</workbook>
</file>

<file path=xl/comments4.xml><?xml version="1.0" encoding="utf-8"?>
<comments xmlns="http://schemas.openxmlformats.org/spreadsheetml/2006/main">
  <authors>
    <author>sscott6</author>
  </authors>
  <commentList>
    <comment ref="I233" authorId="0">
      <text>
        <r>
          <rPr>
            <b/>
            <sz val="9"/>
            <rFont val="Tahoma"/>
            <family val="0"/>
          </rPr>
          <t>sscott6:</t>
        </r>
        <r>
          <rPr>
            <sz val="9"/>
            <rFont val="Tahoma"/>
            <family val="0"/>
          </rPr>
          <t xml:space="preserve">
added 1855 to tie to COFRS</t>
        </r>
      </text>
    </comment>
    <comment ref="L811" authorId="0">
      <text>
        <r>
          <rPr>
            <b/>
            <sz val="9"/>
            <rFont val="Tahoma"/>
            <family val="0"/>
          </rPr>
          <t>sscott6:</t>
        </r>
        <r>
          <rPr>
            <sz val="9"/>
            <rFont val="Tahoma"/>
            <family val="0"/>
          </rPr>
          <t xml:space="preserve">
added EC balance and ARRA balance and removed from 1600 operating</t>
        </r>
      </text>
    </comment>
  </commentList>
</comments>
</file>

<file path=xl/sharedStrings.xml><?xml version="1.0" encoding="utf-8"?>
<sst xmlns="http://schemas.openxmlformats.org/spreadsheetml/2006/main" count="6215" uniqueCount="636">
  <si>
    <t xml:space="preserve"> </t>
  </si>
  <si>
    <t>-</t>
  </si>
  <si>
    <t>Ln</t>
  </si>
  <si>
    <t>Functional Expenditure</t>
  </si>
  <si>
    <t>No</t>
  </si>
  <si>
    <t xml:space="preserve">Summary  </t>
  </si>
  <si>
    <t xml:space="preserve">FTE </t>
  </si>
  <si>
    <t>Actual</t>
  </si>
  <si>
    <t>Estimate</t>
  </si>
  <si>
    <t>Instruction</t>
  </si>
  <si>
    <t>Research (State Supported)</t>
  </si>
  <si>
    <t>Public Service</t>
  </si>
  <si>
    <t>Academic Support</t>
  </si>
  <si>
    <t>Student Services</t>
  </si>
  <si>
    <t>Institutional Support</t>
  </si>
  <si>
    <t>Scholarships &amp; Fellowships</t>
  </si>
  <si>
    <t>Transfers</t>
  </si>
  <si>
    <t>SOURCE OF FUNDS (Fund Number)</t>
  </si>
  <si>
    <t xml:space="preserve"> Object</t>
  </si>
  <si>
    <t>FTE</t>
  </si>
  <si>
    <t xml:space="preserve">Operation &amp; Maintenance of Plant </t>
  </si>
  <si>
    <t>Fmt. 2000 Ln 20</t>
  </si>
  <si>
    <t>Hospitals</t>
  </si>
  <si>
    <t>Scholarship Allowance related to Unrestricted Education &amp; General Revenue</t>
  </si>
  <si>
    <t>Fmt. 1100 Ln 25</t>
  </si>
  <si>
    <t>Fmt. 1200 Ln 25</t>
  </si>
  <si>
    <t>Fmt. 1300 Ln 25</t>
  </si>
  <si>
    <t>Fmt. 1400 Ln 25</t>
  </si>
  <si>
    <t>Fmt. 1500 Ln 25</t>
  </si>
  <si>
    <t>Fmt. 1600 Ln 25</t>
  </si>
  <si>
    <t>Fmt. 1700 Ln 25</t>
  </si>
  <si>
    <t>Fmt. 1800 Ln 25</t>
  </si>
  <si>
    <t>Fmt. 1900 Ln 25</t>
  </si>
  <si>
    <t>Governing Board Summary</t>
  </si>
  <si>
    <t>Format   10</t>
  </si>
  <si>
    <t>Budget Data Book</t>
  </si>
  <si>
    <t>Total Tuition</t>
  </si>
  <si>
    <t>Non-Resident Tuition</t>
  </si>
  <si>
    <t>Subtotal Appropriated Unrestricted E &amp; G Program Code 11XX</t>
  </si>
  <si>
    <t xml:space="preserve">  Educational services in rural areas or communities in which the cost of delivering</t>
  </si>
  <si>
    <t xml:space="preserve">  the educational services is not sustained by the amount received in student tuition</t>
  </si>
  <si>
    <t xml:space="preserve">  Reciprocal </t>
  </si>
  <si>
    <t xml:space="preserve">  Graduate school services</t>
  </si>
  <si>
    <t xml:space="preserve">  Economic development</t>
  </si>
  <si>
    <t xml:space="preserve">  Specialized educational services and professional degrees, including but not limited</t>
  </si>
  <si>
    <t xml:space="preserve">  to the areas of dentistry, medicine, veterinary medicine, nursing, law, forestry</t>
  </si>
  <si>
    <t xml:space="preserve">  and engineering</t>
  </si>
  <si>
    <t>Non State Exempt Appropriated Unrestricted E &amp; G Program Code 11XX</t>
  </si>
  <si>
    <t>* This is not needed by institution, but only in total for the system.</t>
  </si>
  <si>
    <t>Contracts</t>
  </si>
  <si>
    <t>Total</t>
  </si>
  <si>
    <t>State Appropriation</t>
  </si>
  <si>
    <t>FFS Contracts</t>
  </si>
  <si>
    <t>Undergraduate Resident Tuition "Student Share"</t>
  </si>
  <si>
    <t>Undergraduate Resident Tuition "Stipend"</t>
  </si>
  <si>
    <t>Subtotal Undergraduate Tuition</t>
  </si>
  <si>
    <t>Graduate Resident Tuition</t>
  </si>
  <si>
    <t>Fmt. 600 Ln 25</t>
  </si>
  <si>
    <t>Fmt. 700 Ln 1</t>
  </si>
  <si>
    <r>
      <t xml:space="preserve">TOTAL </t>
    </r>
    <r>
      <rPr>
        <b/>
        <sz val="9"/>
        <rFont val="Times New Roman"/>
        <family val="1"/>
      </rPr>
      <t xml:space="preserve">UNRESTRICTED </t>
    </r>
    <r>
      <rPr>
        <sz val="9"/>
        <rFont val="Times New Roman"/>
        <family val="1"/>
      </rPr>
      <t>EDUCATION &amp; GENERAL EXPENDITURES</t>
    </r>
  </si>
  <si>
    <r>
      <t xml:space="preserve">TOTAL </t>
    </r>
    <r>
      <rPr>
        <b/>
        <sz val="9"/>
        <rFont val="Times New Roman"/>
        <family val="1"/>
      </rPr>
      <t>UNRESTRICTED</t>
    </r>
    <r>
      <rPr>
        <sz val="9"/>
        <rFont val="Times New Roman"/>
        <family val="1"/>
      </rPr>
      <t xml:space="preserve"> EDUCATION &amp; GENERAL REVENUE</t>
    </r>
  </si>
  <si>
    <t>Format  070</t>
  </si>
  <si>
    <t>2008-09</t>
  </si>
  <si>
    <t>COFRS Code: 4407</t>
  </si>
  <si>
    <t>Fee-For-Service Contracts (System Level Only)*</t>
  </si>
  <si>
    <t>2009-10</t>
  </si>
  <si>
    <t>Other Appropriated Unrestricted E&amp;G</t>
  </si>
  <si>
    <t>Federal Stabilization Funds (ARRA) (RSC 7540)</t>
  </si>
  <si>
    <t>21a</t>
  </si>
  <si>
    <t>21b</t>
  </si>
  <si>
    <t>2010-11</t>
  </si>
  <si>
    <t>Date: 10/1/2010</t>
  </si>
  <si>
    <t xml:space="preserve">               Actual Fiscal Years 2008-09 and 2009-10</t>
  </si>
  <si>
    <t xml:space="preserve">               Estimate Fiscal Year 2010-11</t>
  </si>
  <si>
    <t>Submitted: October 1, 2010</t>
  </si>
  <si>
    <t xml:space="preserve">Institution No.:  GFB </t>
  </si>
  <si>
    <t>Format   20</t>
  </si>
  <si>
    <t>INSTITUTION SUMMARY</t>
  </si>
  <si>
    <t>NAME:  University of Colorado -  Boulder</t>
  </si>
  <si>
    <t>Date:  10/01/2010</t>
  </si>
  <si>
    <t>Fmt 1100 Ln 25</t>
  </si>
  <si>
    <t>Fmt 1200 Ln 25</t>
  </si>
  <si>
    <t>Fmt 1300 Ln 25</t>
  </si>
  <si>
    <t>Fmt 1400 Ln 25</t>
  </si>
  <si>
    <t>Fmt 1500 Ln 25</t>
  </si>
  <si>
    <t>Fmt 1600 Ln 25</t>
  </si>
  <si>
    <t>Fmt 1700 Ln 25</t>
  </si>
  <si>
    <t>Student Financial Aid (Scholarships &amp; Fellowships)</t>
  </si>
  <si>
    <t>Fmt 1800 Ln 25</t>
  </si>
  <si>
    <t>Fmt 1900 Ln 25</t>
  </si>
  <si>
    <t>Fmt 2000 Ln 20</t>
  </si>
  <si>
    <t>SOURCE OF FUNDS (Fmt Number)</t>
  </si>
  <si>
    <t>Fmt  600 Ln 25</t>
  </si>
  <si>
    <t>Fmt  700 Ln 25</t>
  </si>
  <si>
    <t xml:space="preserve">   Fmt  600 Ln 2-4</t>
  </si>
  <si>
    <t>Subtotal Undergraduate Resident Tuition</t>
  </si>
  <si>
    <t>Fmt  100 Ln 27</t>
  </si>
  <si>
    <t>Fmt  100 Ln 26</t>
  </si>
  <si>
    <t>Nonresident Tuition</t>
  </si>
  <si>
    <t>Fmt  100 Ln 32</t>
  </si>
  <si>
    <t>Fmt  100 Ln 35</t>
  </si>
  <si>
    <t>Fmt  410 Ln 20</t>
  </si>
  <si>
    <t xml:space="preserve">   Fmt 410 Ln 1</t>
  </si>
  <si>
    <t>Subtotal Appropriated Unrestricted E &amp; G (pgm code 11xx)</t>
  </si>
  <si>
    <t>Non-State Exempt Appropr Unrestr E &amp; G (pgm code 11xx)</t>
  </si>
  <si>
    <t>Fmt  411 Ln 20</t>
  </si>
  <si>
    <t>Institution No.:  GFB</t>
  </si>
  <si>
    <t>Format   30</t>
  </si>
  <si>
    <t>STUDENT, FACULTY, &amp;  STAFF DATA</t>
  </si>
  <si>
    <t>STUDENT FTE DATA</t>
  </si>
  <si>
    <t>2a</t>
  </si>
  <si>
    <t xml:space="preserve">  COF Resident Undergraduate FTE </t>
  </si>
  <si>
    <t>2b</t>
  </si>
  <si>
    <t xml:space="preserve">  Non-COF Resident Undergraduate FTE</t>
  </si>
  <si>
    <t>2c</t>
  </si>
  <si>
    <t xml:space="preserve">  Total Resident Undergraduate FTE</t>
  </si>
  <si>
    <t xml:space="preserve">  Resident Graduate FTE</t>
  </si>
  <si>
    <t xml:space="preserve">  Total Resident FTE </t>
  </si>
  <si>
    <t xml:space="preserve">  Nonresident Undergraduate FTE</t>
  </si>
  <si>
    <t xml:space="preserve">  Nonresident Graduate FTE</t>
  </si>
  <si>
    <t xml:space="preserve">  Total Nonresident FTE </t>
  </si>
  <si>
    <t xml:space="preserve">  Total FTE Undergraduate</t>
  </si>
  <si>
    <t xml:space="preserve">  Total FTE Graduate</t>
  </si>
  <si>
    <t xml:space="preserve">  Total FTE Students</t>
  </si>
  <si>
    <t>COST PER STUDENT</t>
  </si>
  <si>
    <t xml:space="preserve">  Total E&amp;G Cost Per FTE Student</t>
  </si>
  <si>
    <t xml:space="preserve">  COF Stipend per Undergraduate Resident FTE  (FY2005-06 and forward)</t>
  </si>
  <si>
    <t>INSTRUCTIONAL FACULTY DATA   (source, Fmt 40 and Fmt 1100)</t>
  </si>
  <si>
    <t xml:space="preserve">  Faculty FTE Total</t>
  </si>
  <si>
    <t xml:space="preserve">  FTE Full-time Faculty</t>
  </si>
  <si>
    <t xml:space="preserve">  FTE Part-time Faculty</t>
  </si>
  <si>
    <t>AVG COMPENSATION INSTRUCTIONAL FACULTY</t>
  </si>
  <si>
    <t xml:space="preserve">  All Faculty Combined</t>
  </si>
  <si>
    <t xml:space="preserve">  Full-time Average Compensation</t>
  </si>
  <si>
    <t xml:space="preserve">  Part-time Average Compensation</t>
  </si>
  <si>
    <t>Total Faculty and Staff FTE   (Fmt 20)</t>
  </si>
  <si>
    <t>Format   35R</t>
  </si>
  <si>
    <t>RESIDENT FULL-TIME (15 HOURS) STUDENT SHARE TUITION RATES PER ACADEMIC YEAR *</t>
  </si>
  <si>
    <t>% Change</t>
  </si>
  <si>
    <t xml:space="preserve">UNDERGRADUATE </t>
  </si>
  <si>
    <t xml:space="preserve">     General</t>
  </si>
  <si>
    <t xml:space="preserve">     Differential Rates (List below)</t>
  </si>
  <si>
    <t xml:space="preserve">          Business</t>
  </si>
  <si>
    <t xml:space="preserve">          Engineering</t>
  </si>
  <si>
    <t xml:space="preserve">          Journalism, Music</t>
  </si>
  <si>
    <t>UNDERGRADUATE mandatory student fees</t>
  </si>
  <si>
    <t>GRADUATE</t>
  </si>
  <si>
    <t xml:space="preserve">          Business - MBA, 1st yr</t>
  </si>
  <si>
    <t xml:space="preserve">                      -  MBA, 2nd yr</t>
  </si>
  <si>
    <t>PROFESSIONAL</t>
  </si>
  <si>
    <t xml:space="preserve">          Law LLM (Master's pgm, first approved FY2010-11)</t>
  </si>
  <si>
    <t xml:space="preserve">          Law JD, incoming (1st yr)</t>
  </si>
  <si>
    <t xml:space="preserve">          Law JD, continuing (2nd yr)</t>
  </si>
  <si>
    <t xml:space="preserve">          Law JD, continuing (3rd yr) </t>
  </si>
  <si>
    <t>GRADUATE/PROFESSIONAL mandatory student fees</t>
  </si>
  <si>
    <t>*</t>
  </si>
  <si>
    <t xml:space="preserve">Effective FY2005-06 the Colorado Legislature changed the funding mechanism for resident undergraduate students, providing a stipend (initially $80 per credit hour) to eligible and </t>
  </si>
  <si>
    <t xml:space="preserve">authorized students to offset total tuition.  Total tuition is calculated by adding $68 per credit hour in FY2008-09, $44 in FY2009-10, and $62 in FY2010-11 to the student's share of tuition. </t>
  </si>
  <si>
    <t>Format   35NR</t>
  </si>
  <si>
    <t>NON-RESIDENT FULL-TIME (15 HOURS) TUITION RATES PER ACADEMIC YEAR</t>
  </si>
  <si>
    <t>UNDERGRADUATE  (incoming)</t>
  </si>
  <si>
    <t xml:space="preserve">          Business - MBA </t>
  </si>
  <si>
    <t xml:space="preserve">        Law LLM (Master's pgm first approved FY2010-11)</t>
  </si>
  <si>
    <t xml:space="preserve">        Law JD</t>
  </si>
  <si>
    <t>Format   40</t>
  </si>
  <si>
    <t>FACULTY MATRIX SUMMARY</t>
  </si>
  <si>
    <t>NAME:  University of Colorado - Boulder</t>
  </si>
  <si>
    <t>ACTUAL</t>
  </si>
  <si>
    <t>S/F</t>
  </si>
  <si>
    <t>COURSE LEVEL</t>
  </si>
  <si>
    <t>STUDENTS</t>
  </si>
  <si>
    <t>FACULTY</t>
  </si>
  <si>
    <t>RATIO</t>
  </si>
  <si>
    <t>Vocational</t>
  </si>
  <si>
    <t>Lower Level</t>
  </si>
  <si>
    <t>Upper Level</t>
  </si>
  <si>
    <t xml:space="preserve">     Total Undergraduate</t>
  </si>
  <si>
    <t>Graduate I</t>
  </si>
  <si>
    <t>Graduate II</t>
  </si>
  <si>
    <t xml:space="preserve">     Total Graduate</t>
  </si>
  <si>
    <t>Grand Total</t>
  </si>
  <si>
    <t xml:space="preserve">NOTE:  Institutions are required to maintain detailed information on the above data by Classification of Instructional Program (CIP) area.  </t>
  </si>
  <si>
    <t xml:space="preserve">           Detailed data available upon request.</t>
  </si>
  <si>
    <t>Format  100</t>
  </si>
  <si>
    <t>TOTAL TUITION REVENUE &amp; STUDENT FTE</t>
  </si>
  <si>
    <t xml:space="preserve"> Object                 (COFRS Revenue Source Code, RSC)</t>
  </si>
  <si>
    <t>SUMMER</t>
  </si>
  <si>
    <t>FALL</t>
  </si>
  <si>
    <t>WINTER</t>
  </si>
  <si>
    <t>SPRING</t>
  </si>
  <si>
    <t>SUBTOTAL</t>
  </si>
  <si>
    <t>SUBTOTAL RESIDENT</t>
  </si>
  <si>
    <t>SUBTOTAL NONRESIDENT</t>
  </si>
  <si>
    <t>SUBTOTAL GRADUATE</t>
  </si>
  <si>
    <t>SUBTOTAL UNDERGRADUATE</t>
  </si>
  <si>
    <t>TOTAL NONEXEMPT TUITION REVENUE  (E&amp;G COFRS pgm code 1100)</t>
  </si>
  <si>
    <t xml:space="preserve">Total tuition includes COF stipend </t>
  </si>
  <si>
    <t>Format  410</t>
  </si>
  <si>
    <t>APPROPRIATED EDUCATION &amp; GENERAL REVENUE</t>
  </si>
  <si>
    <t xml:space="preserve">     Federal Stabilization Funds (ARRA) (RSC 7540)</t>
  </si>
  <si>
    <t xml:space="preserve">     Course Specific Fees</t>
  </si>
  <si>
    <t xml:space="preserve">     Instructional/Program Fees</t>
  </si>
  <si>
    <t xml:space="preserve">     Technology Fees</t>
  </si>
  <si>
    <t>Total Operating Revenue</t>
  </si>
  <si>
    <t xml:space="preserve">     Miscellaneous Income</t>
  </si>
  <si>
    <t>Total Non-Operating Revenue</t>
  </si>
  <si>
    <t>Subtotal Appropriated Education &amp; General Revenue</t>
  </si>
  <si>
    <t>Rollforward to Future Year</t>
  </si>
  <si>
    <t>TOTAL APPROPRIATED EDUCATION &amp; GENERAL REVENUE</t>
  </si>
  <si>
    <t>Format  411</t>
  </si>
  <si>
    <t>NON-STATE APPROPRIATED EDUCATION &amp; GENERAL REVENUE</t>
  </si>
  <si>
    <t>Non-State Appropriated Unrestricted Education &amp; General Revenue (itemize)</t>
  </si>
  <si>
    <t xml:space="preserve">      Facilities &amp; Administrative Reimbursements  (Indirect Cost Recoveries) </t>
  </si>
  <si>
    <t xml:space="preserve">      Student Activity Fees</t>
  </si>
  <si>
    <t xml:space="preserve">      Other Mandatory Fees</t>
  </si>
  <si>
    <t xml:space="preserve">      Incidental Income - Educational Activities</t>
  </si>
  <si>
    <t xml:space="preserve">      Miscellaneous Revenue</t>
  </si>
  <si>
    <t xml:space="preserve">      Rental Income</t>
  </si>
  <si>
    <t xml:space="preserve">      Mandatory Fees-for-Service (registration, etc.)</t>
  </si>
  <si>
    <t xml:space="preserve">      Investment Income</t>
  </si>
  <si>
    <t xml:space="preserve">      Miscellaneous Non-Operating Income</t>
  </si>
  <si>
    <t>Subtotal Non-State Approp Unrestricted Education &amp; General Revenue</t>
  </si>
  <si>
    <t>Rollforward from Prior Year (exempt E&amp;G revenue)</t>
  </si>
  <si>
    <t>TOTAL NON-STATE APPROPRIATED EDUCATION &amp; GENERAL REVENUE</t>
  </si>
  <si>
    <t>Format  412</t>
  </si>
  <si>
    <t>NON-EDUCATION &amp; GENERAL APPROPRIATED FEES</t>
  </si>
  <si>
    <t>Appropriated Facility Fees for Construction of Academic Facilities (RSC 5700)</t>
  </si>
  <si>
    <t>Other Appropriated Fees (RSC 5200, not reported in Format 411) *</t>
  </si>
  <si>
    <t xml:space="preserve">     Revenue Generated from Fees</t>
  </si>
  <si>
    <t xml:space="preserve">     Amount of Fee per Full-Time Student, per Academic Year</t>
  </si>
  <si>
    <t>TOTAL</t>
  </si>
  <si>
    <t>* The student capital fee is budgeted and recorded in exempt auxiliary fund.</t>
  </si>
  <si>
    <t>Format  600</t>
  </si>
  <si>
    <t>STATE SUPPORT</t>
  </si>
  <si>
    <t>Appropriated Colorado Opportunity Fund (COF) Student Stipend</t>
  </si>
  <si>
    <t xml:space="preserve">      HB 08-1375 (COF portion, net of reversion back to State)</t>
  </si>
  <si>
    <t xml:space="preserve">      SB 09-259 (COF portion)</t>
  </si>
  <si>
    <t xml:space="preserve">      HB 10-1376 (COF portion)</t>
  </si>
  <si>
    <t>Supplemental and Special Bills (itemize)</t>
  </si>
  <si>
    <t>Other Restrictions of General Fund Revenue</t>
  </si>
  <si>
    <t>TOTAL APPROPRIATION REVENUE</t>
  </si>
  <si>
    <t>Format  700</t>
  </si>
  <si>
    <t xml:space="preserve">FEE-FOR-SERVICE CONTRACTS </t>
  </si>
  <si>
    <t>Contracts  (Fee-For-Service portion)</t>
  </si>
  <si>
    <t>TOTAL FEE-FOR-SERVICE CONTRACTS</t>
  </si>
  <si>
    <t>Format 1100</t>
  </si>
  <si>
    <t>UNRESTRICTED EDUCATION &amp; GENERAL - INSTRUCTION</t>
  </si>
  <si>
    <t>FTE *</t>
  </si>
  <si>
    <t xml:space="preserve">Salaries, Faculty/Exempt </t>
  </si>
  <si>
    <t>Benefits, Faculty/Exempt</t>
  </si>
  <si>
    <t>Compensation, Part-time Faculty/Exempt</t>
  </si>
  <si>
    <t xml:space="preserve">  Subtotal Faculty/Exempt Staff</t>
  </si>
  <si>
    <t>Compensation, Support Assistants</t>
  </si>
  <si>
    <t>Salaries, Classified Staff</t>
  </si>
  <si>
    <t>Benefits, Classified Staff</t>
  </si>
  <si>
    <t xml:space="preserve">  Subtotal Support Staff</t>
  </si>
  <si>
    <t>Total Personnel</t>
  </si>
  <si>
    <t>Hourly Compensation *</t>
  </si>
  <si>
    <t>Travel</t>
  </si>
  <si>
    <t>Other Current Expense</t>
  </si>
  <si>
    <t xml:space="preserve">Capital  </t>
  </si>
  <si>
    <t xml:space="preserve">                 </t>
  </si>
  <si>
    <t xml:space="preserve">TOTAL UNRESTRICTED EDUCATION &amp; GENERAL - INSTRUCTION </t>
  </si>
  <si>
    <t xml:space="preserve">* Based on previously maintained budgeted $/FTE by employee group within Formats 1100-1700, incremented by average annual % salary increases.  Reported employee headcount and FTE for total campus </t>
  </si>
  <si>
    <t xml:space="preserve">   available on following web link:  http://www.colorado.edu/pba/facstaff/ .    Hourly Compensation FTE is for informational purposes only; not included in total employee FTE.</t>
  </si>
  <si>
    <t>Format 1200</t>
  </si>
  <si>
    <t>UNRESTRICTED EDUCATION &amp; GENERAL - RESEARCH</t>
  </si>
  <si>
    <t xml:space="preserve">Salaries, Exempt </t>
  </si>
  <si>
    <t>Benefits, Exempt</t>
  </si>
  <si>
    <t>Compensation, Research Assistants</t>
  </si>
  <si>
    <t xml:space="preserve">  Subtotal Exempt Staff</t>
  </si>
  <si>
    <t>Hourly Compensation</t>
  </si>
  <si>
    <t xml:space="preserve">                   </t>
  </si>
  <si>
    <t>TOTAL UNRESTRICTED EDUCATION &amp; GENERAL - RESEARCH</t>
  </si>
  <si>
    <t>Format 1300</t>
  </si>
  <si>
    <t>UNRESTRICTED EDUCATION &amp; GENERAL - PUBLIC SERVICE</t>
  </si>
  <si>
    <t>Salaries, Exempt</t>
  </si>
  <si>
    <t>Hourly Compensation/Other Support Assistants</t>
  </si>
  <si>
    <t xml:space="preserve">Capital </t>
  </si>
  <si>
    <t xml:space="preserve">                </t>
  </si>
  <si>
    <t>TOTAL UNRESTRICTED EDUCATION &amp; GENERAL - PUBLIC SERVICE</t>
  </si>
  <si>
    <t>Format 1400</t>
  </si>
  <si>
    <t>UNRESTRICTED EDUCATION &amp; GENERAL - ACADEMIC SUPPORT</t>
  </si>
  <si>
    <t>Library Materials (info only, not included in Fmt 1400 total; also see Fmt 2000)</t>
  </si>
  <si>
    <t>AHEC</t>
  </si>
  <si>
    <t>Auraria Library</t>
  </si>
  <si>
    <t>TOTAL UNRESTRICTED EDUCATION &amp; GENERAL - ACADEMIC SUPPORT</t>
  </si>
  <si>
    <t>Format 1500</t>
  </si>
  <si>
    <t>UNRESTRICTED EDUCATION &amp; GENERAL - STUDENT SERVICES</t>
  </si>
  <si>
    <t>TOTAL UNRESTRICTED EDUCATION &amp; GENERAL -  STUDENT SERVICES</t>
  </si>
  <si>
    <t>Format 1600</t>
  </si>
  <si>
    <t xml:space="preserve">UNRESTRICTED EDUCATION &amp; GENERAL - INSTITUTIONAL SUPPORT </t>
  </si>
  <si>
    <t xml:space="preserve">                  </t>
  </si>
  <si>
    <t>TOTAL UNRESTRICTED EDUCATION &amp; GENERAL - INSTITUTIONAL SUPPORT</t>
  </si>
  <si>
    <t>Format 1700</t>
  </si>
  <si>
    <t>UNRESTRICTED EDUCATION &amp; GENERAL - OPERATION &amp; MAINTENANCE OF PLANT</t>
  </si>
  <si>
    <t>Rentals</t>
  </si>
  <si>
    <t>Utilities</t>
  </si>
  <si>
    <t>TOTAL UNRESTRICTED EDUCATION &amp; GENERAL - OPERATION &amp;</t>
  </si>
  <si>
    <t xml:space="preserve">                                                        MAINTENANCE OF PLANT</t>
  </si>
  <si>
    <t>(Format 1700 continued on next page)</t>
  </si>
  <si>
    <t>UNRESTRICTED EDUCATION &amp; GENERAL - OPERATION &amp; MAINTENANCE OF PLANT, continued</t>
  </si>
  <si>
    <t>GROSS SQUARE FEET MAINTAINED (Appropriated)</t>
  </si>
  <si>
    <t>At Beginning of Year</t>
  </si>
  <si>
    <t>Gross Sq Ft Added During Year (list)</t>
  </si>
  <si>
    <t xml:space="preserve">     Visual Arts Complex</t>
  </si>
  <si>
    <t xml:space="preserve">     Norlin Library Commons Renovation</t>
  </si>
  <si>
    <t xml:space="preserve">     Institute of Behavioral Science</t>
  </si>
  <si>
    <t xml:space="preserve">     Center for Community</t>
  </si>
  <si>
    <t xml:space="preserve">     High Performance Computing Facility</t>
  </si>
  <si>
    <t>Gross Sq Ft Eliminated During Year (list)</t>
  </si>
  <si>
    <t>Average Gross Sq Ft Maintained</t>
  </si>
  <si>
    <t>Acres Maintained by Grounds Staff</t>
  </si>
  <si>
    <t>Format 1800</t>
  </si>
  <si>
    <t>UNRESTRICTED EDUCATION &amp; GENERAL - STUDENT FINANCIAL AID</t>
  </si>
  <si>
    <t>Student Financial Aid (Scholarships and Fellowships)</t>
  </si>
  <si>
    <t xml:space="preserve">TOTAL UNRESTRICTED EDUC &amp; GENERAL - STUDENT FINANCIAL AID </t>
  </si>
  <si>
    <t>Amount of Student Financial Aid Offset to E &amp; G Revenues as Scholarship Allowance</t>
  </si>
  <si>
    <t>Format 1900</t>
  </si>
  <si>
    <t>UNRESTRICTED EDUCATION &amp; GENERAL -  HOSPITALS</t>
  </si>
  <si>
    <t>TOTAL UNRESTRICTED EDUCATION &amp; GENERAL - HOSPITALS</t>
  </si>
  <si>
    <t>Format 2000</t>
  </si>
  <si>
    <t>TRANSFERS (TO)/FROM CURRENT UNRESTRICTED EDUCATION &amp; GENERAL FUNDS</t>
  </si>
  <si>
    <t>Mandatory Transfers</t>
  </si>
  <si>
    <t>Subtotal Mandatory Transfers</t>
  </si>
  <si>
    <t>Non-mandatory Transfers</t>
  </si>
  <si>
    <t xml:space="preserve">   Fixed Asset Additions</t>
  </si>
  <si>
    <t xml:space="preserve">        Library Materials (informational item only, included in Fixed Assets above)</t>
  </si>
  <si>
    <t>Subtotal Non-mandatory Transfers</t>
  </si>
  <si>
    <t>TOTAL TRANSFERS TO/(FROM) CURRENT UNRESTRICTED</t>
  </si>
  <si>
    <t>EDUCATION &amp; GENERAL FUNDS 310 and 311</t>
  </si>
  <si>
    <t>Format 9200</t>
  </si>
  <si>
    <t>APPROPRIATED CAPITAL CONSTRUCTION AND CONTROLLED MAINTENANCE</t>
  </si>
  <si>
    <t>FY 2009 Appropriation</t>
  </si>
  <si>
    <t>FY 2010 Appropriation</t>
  </si>
  <si>
    <t>FY 2011 Appropriation</t>
  </si>
  <si>
    <t>State Project Name,  Project Number, (UCB acct number)</t>
  </si>
  <si>
    <t>Appropriations</t>
  </si>
  <si>
    <t>State Capital</t>
  </si>
  <si>
    <t>Cash Funds</t>
  </si>
  <si>
    <t xml:space="preserve"> Bill Number</t>
  </si>
  <si>
    <t>Constr Fund</t>
  </si>
  <si>
    <t>Exempt</t>
  </si>
  <si>
    <t>CAPITAL CONSTRUCTION</t>
  </si>
  <si>
    <t xml:space="preserve">    Visual Arts Complex -PO627  (1772884)</t>
  </si>
  <si>
    <t>HB 08-1375</t>
  </si>
  <si>
    <t xml:space="preserve">    Ekeley Sciences Middle Wing Renov -P0802 (1772907)</t>
  </si>
  <si>
    <t xml:space="preserve">    Ketchum Arts and Sciences Bldg  -P0803  (1772906)</t>
  </si>
  <si>
    <t xml:space="preserve">    Andrews, Smith, Buckingham Halls Renov (1770596)</t>
  </si>
  <si>
    <t>HB 08-1375 **</t>
  </si>
  <si>
    <t xml:space="preserve">    Behavioral Science Building (1771847)</t>
  </si>
  <si>
    <t xml:space="preserve">    Biotechnology Building Systems -P0826 (1772909)</t>
  </si>
  <si>
    <t xml:space="preserve">    Community Dining &amp; Student Center (1771888)</t>
  </si>
  <si>
    <t xml:space="preserve">    Heating and Cooling Plant (1771848)</t>
  </si>
  <si>
    <t xml:space="preserve">    JILA Addition (1771870)</t>
  </si>
  <si>
    <t xml:space="preserve">    N-S Bicycle Corridor Regent Dr Overpass (1771853)</t>
  </si>
  <si>
    <t xml:space="preserve">    Basketball &amp; Volleyball Practice Facility (1771927)</t>
  </si>
  <si>
    <t>SB 09-259 **</t>
  </si>
  <si>
    <t xml:space="preserve">    Williams Village (various, projects not yet set up)</t>
  </si>
  <si>
    <t xml:space="preserve">    Willard &amp; Hallett Res Halls Recommissioning (1770641)</t>
  </si>
  <si>
    <t>(Format 9200 continued on next page)</t>
  </si>
  <si>
    <t>** Long Bill footnote states:  "These amounts shall be from exempt institutional sources.  They meet the criteria in Section 24-75-303(3)(a)(II), C.R.S., and are shown here</t>
  </si>
  <si>
    <t xml:space="preserve">    for informational purposes only."</t>
  </si>
  <si>
    <t>APPROPRIATED CAPITAL CONSTRUCTION &amp; CONTROLLED MAINTENANCE, continued</t>
  </si>
  <si>
    <t>CONTROLLED MAINTENANCE</t>
  </si>
  <si>
    <t xml:space="preserve">    Henderson Fire Suppression -M08021 (1772911)</t>
  </si>
  <si>
    <t xml:space="preserve">    Ramaley, Macky Upgrade Fire Suppr -M08022 (1772912)</t>
  </si>
  <si>
    <t xml:space="preserve">    Upgrade Fire Safety -M07011 (1772910)</t>
  </si>
  <si>
    <t xml:space="preserve">    Henderson, Constr Enclosed Stair Towers (1772914)</t>
  </si>
  <si>
    <t>SB 09-259</t>
  </si>
  <si>
    <t xml:space="preserve">    Ramaley, Macky Upgrade Fire Suppr -M08022 (1772913)</t>
  </si>
  <si>
    <t xml:space="preserve">    Fire Safety Upgrades (1772917)</t>
  </si>
  <si>
    <t>HB 10-1376 ***</t>
  </si>
  <si>
    <t>TOTAL CAPITAL APPROPRIATIONS</t>
  </si>
  <si>
    <t>*** Long Bill footnote states:  "This amount shall be from revenues from land for public buildings pursuant to section 8 of the enabling act of Colorado."</t>
  </si>
  <si>
    <t>University of Colorado</t>
  </si>
  <si>
    <t xml:space="preserve">Institution No.: GFC  </t>
  </si>
  <si>
    <t>Fmt. 100</t>
  </si>
  <si>
    <t>Fmt. 410 Ln 20</t>
  </si>
  <si>
    <t>Fmt. 411 Ln 20</t>
  </si>
  <si>
    <t>STUDENT, FACULTY, AND  STAFF DATA</t>
  </si>
  <si>
    <t>2A</t>
  </si>
  <si>
    <t>COF Resident Undergraduate FTE</t>
  </si>
  <si>
    <t>2B</t>
  </si>
  <si>
    <t>Non-COF Resident Undergraduate FTE</t>
  </si>
  <si>
    <t>2C</t>
  </si>
  <si>
    <t>Total Resident Undergraduate FTE</t>
  </si>
  <si>
    <t>Total E&amp;G Cost Per FTE Student</t>
  </si>
  <si>
    <t>COF Stipend Per Undergraduate Resident FTE (05-06 and Forward)</t>
  </si>
  <si>
    <t>INSTRUCTIONAL FACULTY DATA (SOURCE FMT 40 OR FMT 1100)</t>
  </si>
  <si>
    <t>Total Faculty and Staff FTE  (Format 20)</t>
  </si>
  <si>
    <t>RESIDENT FULL-TIME (15 HOUR) STUDENT SHARE TUITION RATES PER ACADEMIC YEAR</t>
  </si>
  <si>
    <t>UNDERGRADUATE</t>
  </si>
  <si>
    <t>Linear Freshman/ Sophomore</t>
  </si>
  <si>
    <t>Continuing Freshman/ Sophomore</t>
  </si>
  <si>
    <t>Linear Junior/Senior in LAS/SPA</t>
  </si>
  <si>
    <t>Continuing Junior/Senior in LAS/SPA</t>
  </si>
  <si>
    <t>Linear Junior/Senior in COB/EAS</t>
  </si>
  <si>
    <t>Continuing Junior/Senior in COB/EAS</t>
  </si>
  <si>
    <t>Linear Junior/Senior in Beth El</t>
  </si>
  <si>
    <t>Continuing Junior/Senior in Beth El</t>
  </si>
  <si>
    <t xml:space="preserve">     Education (Now Grad I)</t>
  </si>
  <si>
    <t xml:space="preserve">     Engineering/Geropsychology (Now Grad III)</t>
  </si>
  <si>
    <t xml:space="preserve">     Business (Now Grad III)</t>
  </si>
  <si>
    <t xml:space="preserve">     Basic Science (Now Grad I)</t>
  </si>
  <si>
    <t xml:space="preserve">     Public Affairs (Now Grad II)</t>
  </si>
  <si>
    <t xml:space="preserve">     Nursing (Beth El) (Now Grad IV)</t>
  </si>
  <si>
    <t xml:space="preserve">* The Colorado Legislature Changed the Funding Mechanism For Resident Undergraduate Students Providing  A Stipend To Eligible and Authorized Students To Offset Total Tuition.  Total Tuition Calculated By Adding Stipend Amount Per Credit Hour for Student's Share of Tuition.    </t>
  </si>
  <si>
    <t xml:space="preserve">     The Student Share Tuition Assumes Student Eligibility For The Stipend.</t>
  </si>
  <si>
    <t>NON-RESIDENT FULL-TIME (15 HOUR) TUITION RATES PER ACADEMIC YEAR</t>
  </si>
  <si>
    <t>Est</t>
  </si>
  <si>
    <t xml:space="preserve">            Detailed data available upon request.</t>
  </si>
  <si>
    <t>*FTE Faculty includes an adjusted FTE per faculty member who taught in FY 2009-10.</t>
  </si>
  <si>
    <t>TOTAL TUITION REVENUE and STUDENT FTE</t>
  </si>
  <si>
    <t xml:space="preserve">  Resident</t>
  </si>
  <si>
    <t>Graduate (4801)</t>
  </si>
  <si>
    <t>Undergraduate (4802)</t>
  </si>
  <si>
    <t xml:space="preserve">  Nonresident</t>
  </si>
  <si>
    <t>Graduate (4901)</t>
  </si>
  <si>
    <t>Undergraduate (4902)</t>
  </si>
  <si>
    <t xml:space="preserve">  Subtotal Summer</t>
  </si>
  <si>
    <t xml:space="preserve">  Subtotal Fall</t>
  </si>
  <si>
    <t xml:space="preserve">  Subtotal Winter</t>
  </si>
  <si>
    <t xml:space="preserve">  Subtotal Spring</t>
  </si>
  <si>
    <t>TOTAL NONEXEMPT TUITION REVENUE</t>
  </si>
  <si>
    <t>(E&amp;G COFRS Program Code 1100)</t>
  </si>
  <si>
    <t>APPROPRIATED EDUCATION &amp; GENERAL REVENUE (Program Code 1100)</t>
  </si>
  <si>
    <t>Appropriated Academic Fees ( RSC 5002)</t>
  </si>
  <si>
    <t>Course Specific Fee</t>
  </si>
  <si>
    <t>Instruction Fee</t>
  </si>
  <si>
    <t>Technology Fee</t>
  </si>
  <si>
    <t>Rollforward to Future Year (includes$ for comp. absences)</t>
  </si>
  <si>
    <t>TOTAL OTHER STATE APPROPRIATED UNRESTRICTED E &amp; G REVENUES</t>
  </si>
  <si>
    <t>NON STATE APPROPRIATED EDUCATION &amp; GENERAL REVENUES (Balance of Program Code 1100)</t>
  </si>
  <si>
    <t>Non State Appropriated Unrestricted Education &amp; General Revenues (Itemize)</t>
  </si>
  <si>
    <t>Indirect Cost Recoveries</t>
  </si>
  <si>
    <t>Miscellaneous Revenues</t>
  </si>
  <si>
    <t>Mandatory Registration and Course Fees</t>
  </si>
  <si>
    <t>Incidental Income - Educational Activities</t>
  </si>
  <si>
    <t>Instructional Fees/Course Fees</t>
  </si>
  <si>
    <t>Student Activity Fees</t>
  </si>
  <si>
    <t>State Grants and Contracts (not FFS)</t>
  </si>
  <si>
    <t>Other Mandatory Fees</t>
  </si>
  <si>
    <t>Total Operating Revenues</t>
  </si>
  <si>
    <t>Rents</t>
  </si>
  <si>
    <t>Investment Income</t>
  </si>
  <si>
    <t>Miscellaneous Non-Operating Income</t>
  </si>
  <si>
    <t>Total Non-Operating Revenues</t>
  </si>
  <si>
    <t>Total Non State Appropriated Unrestricted Education &amp; General Revenues</t>
  </si>
  <si>
    <t>Rollforward to Future Year (includes $ for comp. Absences)</t>
  </si>
  <si>
    <t>Rollforward from Prior Year</t>
  </si>
  <si>
    <t>TOTAL NON STATE APPROPRIATED UNRESTRICTED E &amp; G REVENUES</t>
  </si>
  <si>
    <t>NON EDUCATION &amp; GENERAL APPROPRIATED FEES (Program Code 1900)</t>
  </si>
  <si>
    <t>Appropriated Facility Fees for the Construction of Academic Facilities (RSC 5007)</t>
  </si>
  <si>
    <t>Other Appropriated Fees (RSC 5002 not already reported on Format 411)</t>
  </si>
  <si>
    <t xml:space="preserve">     Revenues Generated from Fees</t>
  </si>
  <si>
    <t xml:space="preserve">     Amount of Fee per Full-Time Student</t>
  </si>
  <si>
    <t>Supplemental and Special Bills (Itemize)</t>
  </si>
  <si>
    <t xml:space="preserve">     SB 05-209</t>
  </si>
  <si>
    <t xml:space="preserve">     State Budget Cuts</t>
  </si>
  <si>
    <t>Other Restrictions of General Fund / Revenue</t>
  </si>
  <si>
    <t>TOTAL APPROPRIATION REVENUES</t>
  </si>
  <si>
    <t>Fee-For-Service Contracts (Institutional Level Only)</t>
  </si>
  <si>
    <t>Contracts (Actuals/Final Billing)</t>
  </si>
  <si>
    <t>Compensation, Part-Time Exempt</t>
  </si>
  <si>
    <t>Capital</t>
  </si>
  <si>
    <r>
      <t xml:space="preserve">TOTAL </t>
    </r>
    <r>
      <rPr>
        <b/>
        <sz val="9"/>
        <rFont val="Times New Roman"/>
        <family val="1"/>
      </rPr>
      <t>UNRESTRICTED EDUCATION &amp; GENERAL</t>
    </r>
    <r>
      <rPr>
        <sz val="9"/>
        <rFont val="Times New Roman"/>
        <family val="1"/>
      </rPr>
      <t xml:space="preserve"> INSTRUCTION </t>
    </r>
  </si>
  <si>
    <t>--------------------------------------------------------------------------------------------------------------------------------------------------</t>
  </si>
  <si>
    <r>
      <t xml:space="preserve">TOTAL </t>
    </r>
    <r>
      <rPr>
        <b/>
        <sz val="9"/>
        <rFont val="Times New Roman"/>
        <family val="1"/>
      </rPr>
      <t>UNRESTRICTED EDUCATION &amp; GENERAL</t>
    </r>
    <r>
      <rPr>
        <sz val="9"/>
        <rFont val="Times New Roman"/>
        <family val="1"/>
      </rPr>
      <t xml:space="preserve"> RESEARCH</t>
    </r>
  </si>
  <si>
    <r>
      <t xml:space="preserve">TOTAL </t>
    </r>
    <r>
      <rPr>
        <b/>
        <sz val="9"/>
        <rFont val="Times New Roman"/>
        <family val="1"/>
      </rPr>
      <t>UNRESTRICTED EDUCATION &amp; GENERAL</t>
    </r>
    <r>
      <rPr>
        <sz val="9"/>
        <rFont val="Times New Roman"/>
        <family val="1"/>
      </rPr>
      <t xml:space="preserve"> PUBLIC SERVICE</t>
    </r>
  </si>
  <si>
    <t>Learning Materials</t>
  </si>
  <si>
    <r>
      <t xml:space="preserve">TOTAL </t>
    </r>
    <r>
      <rPr>
        <b/>
        <sz val="9"/>
        <rFont val="Times New Roman"/>
        <family val="1"/>
      </rPr>
      <t>UNRESTRICTED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EDUCATION &amp; GENERAL</t>
    </r>
    <r>
      <rPr>
        <sz val="9"/>
        <rFont val="Times New Roman"/>
        <family val="1"/>
      </rPr>
      <t xml:space="preserve"> ACADEMIC SUPPORT</t>
    </r>
  </si>
  <si>
    <r>
      <t xml:space="preserve">TOTAL </t>
    </r>
    <r>
      <rPr>
        <b/>
        <sz val="9"/>
        <rFont val="Times New Roman"/>
        <family val="1"/>
      </rPr>
      <t>UNRESTRICTED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EDUCATION &amp; GENERAL</t>
    </r>
    <r>
      <rPr>
        <sz val="9"/>
        <rFont val="Times New Roman"/>
        <family val="1"/>
      </rPr>
      <t xml:space="preserve"> STUDENT SERVICES</t>
    </r>
  </si>
  <si>
    <t>UNRESTRICTED EDUCATION &amp; GENERAL - INSTITUTIONAL SUPPORT</t>
  </si>
  <si>
    <r>
      <t xml:space="preserve">TOTAL </t>
    </r>
    <r>
      <rPr>
        <b/>
        <sz val="9"/>
        <rFont val="Times New Roman"/>
        <family val="1"/>
      </rPr>
      <t>UNRESTRICTED EDUCATION &amp; GENERAL</t>
    </r>
    <r>
      <rPr>
        <sz val="9"/>
        <rFont val="Times New Roman"/>
        <family val="1"/>
      </rPr>
      <t xml:space="preserve"> INSTITUTIONAL SUPPORT</t>
    </r>
  </si>
  <si>
    <r>
      <t xml:space="preserve">TOTAL </t>
    </r>
    <r>
      <rPr>
        <b/>
        <sz val="8"/>
        <rFont val="Times New Roman"/>
        <family val="1"/>
      </rPr>
      <t>UNRESTRICTED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EDUCATION &amp; GENERAL</t>
    </r>
    <r>
      <rPr>
        <sz val="8"/>
        <rFont val="Times New Roman"/>
        <family val="1"/>
      </rPr>
      <t xml:space="preserve"> OPERATION &amp; MAINT /of PLANT</t>
    </r>
  </si>
  <si>
    <t>Gross Sq. Ft. Added During Year (List)</t>
  </si>
  <si>
    <t xml:space="preserve">   Patterson House 65</t>
  </si>
  <si>
    <t xml:space="preserve">   University Summit Prop. (4 houses)</t>
  </si>
  <si>
    <t xml:space="preserve">   Vomaske Garage</t>
  </si>
  <si>
    <t xml:space="preserve">   Vomaske House 67</t>
  </si>
  <si>
    <t xml:space="preserve">   UC Training Room 11A-1</t>
  </si>
  <si>
    <t xml:space="preserve">   Events Center 11C</t>
  </si>
  <si>
    <t xml:space="preserve">   Science &amp; Engineering Bldg. 32</t>
  </si>
  <si>
    <t xml:space="preserve">   Flynn House 66</t>
  </si>
  <si>
    <t xml:space="preserve">   Centennial Hall 10</t>
  </si>
  <si>
    <t xml:space="preserve">   Heller Main House</t>
  </si>
  <si>
    <t xml:space="preserve">   TRW 3650 and 3750</t>
  </si>
  <si>
    <t>Gross Sq. Ft. Eliminated During Year (List)</t>
  </si>
  <si>
    <t xml:space="preserve">   Science Bldg. 10</t>
  </si>
  <si>
    <t>Average Gross Sq. Ft. Maintained</t>
  </si>
  <si>
    <t>UNRESTRICTED EDUCATION &amp; GENERAL - SCHOLARSHIPS &amp; FELLOWSHIPS</t>
  </si>
  <si>
    <t>Scholarships and Fellowships</t>
  </si>
  <si>
    <r>
      <t xml:space="preserve">TOTAL </t>
    </r>
    <r>
      <rPr>
        <b/>
        <sz val="9"/>
        <rFont val="Times New Roman"/>
        <family val="1"/>
      </rPr>
      <t>UNRESTRICTED EDUCATION &amp; GENERAL</t>
    </r>
    <r>
      <rPr>
        <sz val="9"/>
        <rFont val="Times New Roman"/>
        <family val="1"/>
      </rPr>
      <t xml:space="preserve"> SCHOLARSHIPS &amp; FELLOWSHIPS</t>
    </r>
  </si>
  <si>
    <r>
      <t xml:space="preserve">TOTAL </t>
    </r>
    <r>
      <rPr>
        <b/>
        <sz val="9"/>
        <rFont val="Times New Roman"/>
        <family val="1"/>
      </rPr>
      <t>UNRESTRICTED EDUCATION &amp; GENERAL</t>
    </r>
    <r>
      <rPr>
        <sz val="9"/>
        <rFont val="Times New Roman"/>
        <family val="1"/>
      </rPr>
      <t xml:space="preserve"> AUXILIARIES</t>
    </r>
  </si>
  <si>
    <t>TRANSFERS (TO) FROM CURRENT UNRESTRICTED EDUCATION &amp; GENERAL FUNDS</t>
  </si>
  <si>
    <t>Mandatory Transfers:</t>
  </si>
  <si>
    <t xml:space="preserve">   Cragmor Hall</t>
  </si>
  <si>
    <t xml:space="preserve">   University Hall</t>
  </si>
  <si>
    <t xml:space="preserve">   Energy Performance</t>
  </si>
  <si>
    <t xml:space="preserve">   Science and Engineering Building</t>
  </si>
  <si>
    <t>Subtotal Mandatory Transfers:</t>
  </si>
  <si>
    <t>Non-mandatory Transfers:</t>
  </si>
  <si>
    <t xml:space="preserve">   Other</t>
  </si>
  <si>
    <t xml:space="preserve">   Fixed Assets addition</t>
  </si>
  <si>
    <t>Subtotal Non-mandatory Transfers:</t>
  </si>
  <si>
    <r>
      <t xml:space="preserve">TOTAL TRANSFERS </t>
    </r>
    <r>
      <rPr>
        <b/>
        <sz val="9"/>
        <rFont val="Times New Roman"/>
        <family val="1"/>
      </rPr>
      <t>(TO) FROM FUNDS CURRENT UNRESTRICTED</t>
    </r>
  </si>
  <si>
    <t>2008-09 Appropriation</t>
  </si>
  <si>
    <t>2009-10 Appropriation</t>
  </si>
  <si>
    <t>2010-11 Appropriation</t>
  </si>
  <si>
    <t>State Project Number,  Project Name</t>
  </si>
  <si>
    <t>Prior Appropriations</t>
  </si>
  <si>
    <t>Bill Number</t>
  </si>
  <si>
    <t>by Bill Number</t>
  </si>
  <si>
    <t>Const. Fund</t>
  </si>
  <si>
    <t>-------------------------------------------------------</t>
  </si>
  <si>
    <t xml:space="preserve">   Dwire Hall Renovation and Technology upgrade P0519</t>
  </si>
  <si>
    <t xml:space="preserve">   Science and Engineering Building P0708</t>
  </si>
  <si>
    <t xml:space="preserve">   Science and Engineering Building P0408</t>
  </si>
  <si>
    <t xml:space="preserve">   Renovate Existing Science Building C9109</t>
  </si>
  <si>
    <t xml:space="preserve">   Repair structural damage M06014</t>
  </si>
  <si>
    <t xml:space="preserve">   Fire Alarm System upgrade M07015</t>
  </si>
  <si>
    <t xml:space="preserve">   Upg ADA Accessibility M07016</t>
  </si>
  <si>
    <t xml:space="preserve">   Cragmor Hall Water Lines M08004</t>
  </si>
  <si>
    <t xml:space="preserve">   University Hall RTU M08023</t>
  </si>
  <si>
    <t xml:space="preserve">   Upgrd Fire Sprinkler, University Hall</t>
  </si>
  <si>
    <t>TOTAL APPROPRIATIONS</t>
  </si>
  <si>
    <t>NAME:  UNIVERSITY OF COLORADO DENVER - DOWNTOWN CAMPUS</t>
  </si>
  <si>
    <t>Institution No.:  GFD</t>
  </si>
  <si>
    <t>fixed asset additions</t>
  </si>
  <si>
    <t xml:space="preserve">     Lawrence Court - 1475 Lawrence</t>
  </si>
  <si>
    <t>FY10 the rental tennants of 1475 have moved.</t>
  </si>
  <si>
    <t>Facilities &amp; Administrative Reimbursements (Indirect Cost Recoveries)</t>
  </si>
  <si>
    <t>Technology fees for FY08 and the majority of this fee  FY09 was reported under the Bursar's charge for service; which is reported under miscellaneous revenue.</t>
  </si>
  <si>
    <t>Federal Stabilization Funds (ARRA)(RSC 7540)</t>
  </si>
  <si>
    <t xml:space="preserve">2009-10 </t>
  </si>
  <si>
    <t>APPROPRIATED EDUCATION &amp; GENERAL FEES (Program Code 1100)</t>
  </si>
  <si>
    <t>1/ The student FTE data is course driven and will not match the FTE breakdown in Format 30.</t>
  </si>
  <si>
    <t>Engineering</t>
  </si>
  <si>
    <t>Arts &amp; Media</t>
  </si>
  <si>
    <t>Public Affairs</t>
  </si>
  <si>
    <t>Business</t>
  </si>
  <si>
    <t>Education</t>
  </si>
  <si>
    <t>Non-Degree</t>
  </si>
  <si>
    <t>Arch &amp; Planning</t>
  </si>
  <si>
    <t>Liberal Arts and Sciences</t>
  </si>
  <si>
    <t>Upper Division</t>
  </si>
  <si>
    <t xml:space="preserve">Lower Disvision </t>
  </si>
  <si>
    <t xml:space="preserve">Upper Level </t>
  </si>
  <si>
    <t xml:space="preserve">Lower Level </t>
  </si>
  <si>
    <t>Institution No.:  GFE</t>
  </si>
  <si>
    <t>NAME: UNIVERSITY OF COLORADO DENVER - AMC</t>
  </si>
  <si>
    <t>Other Appropriated Unrestricted E&amp;G (w/out ARRA)</t>
  </si>
  <si>
    <t>Non State Exempt App Unrestricted E &amp; G Program Code 11XX</t>
  </si>
  <si>
    <t>Note: Numbers for students represents Headcounts and not FTE numbers.</t>
  </si>
  <si>
    <t xml:space="preserve">     Dental Hygiene</t>
  </si>
  <si>
    <t xml:space="preserve">     Nursing</t>
  </si>
  <si>
    <t xml:space="preserve">     Basic/Clinical Science</t>
  </si>
  <si>
    <t xml:space="preserve">     Public Health</t>
  </si>
  <si>
    <t xml:space="preserve">     Pharmacy</t>
  </si>
  <si>
    <t xml:space="preserve">     Medicine - MD</t>
  </si>
  <si>
    <t xml:space="preserve">     Medicine - Doctor of Physical Therapy</t>
  </si>
  <si>
    <t xml:space="preserve">     Dentistry</t>
  </si>
  <si>
    <t>2008-2009</t>
  </si>
  <si>
    <t>2009-2010</t>
  </si>
  <si>
    <t>Ratio</t>
  </si>
  <si>
    <t>Professional</t>
  </si>
  <si>
    <t>AMC Student FTE is based on student level, not course level.</t>
  </si>
  <si>
    <t>student activity fees are remapped in 2010 to instructional fees (660,000)</t>
  </si>
  <si>
    <t>Sales &amp; Services of Hospitals and Clinics</t>
  </si>
  <si>
    <t>Tobacco</t>
  </si>
  <si>
    <t>GAR rate increased in FY09 which would increase the credit to expense</t>
  </si>
  <si>
    <t>FY09, RC1 and RC2 Contra offset amounts hit in the OCE line and were not allocated to the salary and benefit lines.  In FY10 &amp; FY11, these amounts were moved to the applicable salary and benefit lines.</t>
  </si>
  <si>
    <t>UNRESTRICTED EDUCATION &amp; GENERAL - OPERATION &amp; MAINTENANCE OF PLANT Con't</t>
  </si>
  <si>
    <t xml:space="preserve">    Environ Health &amp; Safety II</t>
  </si>
  <si>
    <t xml:space="preserve">    Campus Services Building</t>
  </si>
  <si>
    <t xml:space="preserve">    Education Building IB</t>
  </si>
  <si>
    <t xml:space="preserve">    Education Building II North &amp; South</t>
  </si>
  <si>
    <t xml:space="preserve">    Library</t>
  </si>
  <si>
    <t xml:space="preserve">    Academic Offices West</t>
  </si>
  <si>
    <t xml:space="preserve">    Henderson Parking Structure</t>
  </si>
  <si>
    <t xml:space="preserve">    Pascal Expansion</t>
  </si>
  <si>
    <t xml:space="preserve">     Center for Bioethics &amp; Humanities</t>
  </si>
  <si>
    <t xml:space="preserve">      RC2</t>
  </si>
  <si>
    <t xml:space="preserve">      Bldg 610*</t>
  </si>
  <si>
    <t xml:space="preserve">      Pharmacy &amp; Pharm. Sci</t>
  </si>
  <si>
    <t xml:space="preserve">    Decommissioning of School of Dentistry</t>
  </si>
  <si>
    <t xml:space="preserve">    Carpenter &amp; Paint Shops 9th Ave</t>
  </si>
  <si>
    <t xml:space="preserve">    Warehouse 9th Ave</t>
  </si>
  <si>
    <t xml:space="preserve">    Denison Auditorium &amp; Library</t>
  </si>
  <si>
    <t xml:space="preserve">    Childhood Diagnostic Center</t>
  </si>
  <si>
    <t xml:space="preserve">    Barbara Davis Center 9th Ave</t>
  </si>
  <si>
    <t xml:space="preserve">    Office Annex</t>
  </si>
  <si>
    <t xml:space="preserve">    Clermont Building</t>
  </si>
  <si>
    <t xml:space="preserve">    Colorado Psychiatric Hospital</t>
  </si>
  <si>
    <t xml:space="preserve">    School of Medicine</t>
  </si>
  <si>
    <t xml:space="preserve">    School of Nursing</t>
  </si>
  <si>
    <t xml:space="preserve">    Research Bridge</t>
  </si>
  <si>
    <t xml:space="preserve">    Biomedical Research Building</t>
  </si>
  <si>
    <t xml:space="preserve">    Webb Waring</t>
  </si>
  <si>
    <t xml:space="preserve">     Bonfils Building</t>
  </si>
  <si>
    <t xml:space="preserve">     Health &amp; Safety Bldg/Garages (Cooling Tower)</t>
  </si>
  <si>
    <t xml:space="preserve">     UCH Admin Bldg (AOB)</t>
  </si>
  <si>
    <t>*  Building 610 has been added back in to be used for short term and/or long term storage.</t>
  </si>
  <si>
    <t>`</t>
  </si>
  <si>
    <t>Fixed Asset Allowance</t>
  </si>
  <si>
    <t>rounding</t>
  </si>
  <si>
    <t xml:space="preserve">Institution No.:  </t>
  </si>
  <si>
    <t>Board of Regents &amp; System Administration</t>
  </si>
  <si>
    <t xml:space="preserve">University of Colorado Denver </t>
  </si>
  <si>
    <t xml:space="preserve">University of Colorado Anschutz Medical Campus </t>
  </si>
  <si>
    <t xml:space="preserve">Business School Purchase and Rennovation of 1475 Lawrence Street </t>
  </si>
  <si>
    <t>Auraria Science Building</t>
  </si>
  <si>
    <t>9th Avenue Remediation</t>
  </si>
  <si>
    <t>Replace Water Piping, Bldg 500</t>
  </si>
  <si>
    <t xml:space="preserve">AHEC Art Building Repair/Replace Indoor Air Quality, Window, and HVAC </t>
  </si>
  <si>
    <t>Various Controlled Maintenance</t>
  </si>
  <si>
    <t>Fitzsimons, I-225/Colfax Interchange</t>
  </si>
  <si>
    <t>Fitzsimons, Lazarra Center For Oral Facial Health 4th Floor Addition</t>
  </si>
  <si>
    <t>Lease Purchase of Academic Facilities at Fitzsimons</t>
  </si>
  <si>
    <t>Fitzsimons, Infrastructure Phase 10b</t>
  </si>
  <si>
    <t>Anschutz Facility, Linear Accelerator Vault</t>
  </si>
  <si>
    <t>New Pharmacy Research Building</t>
  </si>
  <si>
    <t>Aspen Satellite Campus, Given Institution renovation</t>
  </si>
  <si>
    <t>Fitzsimons, Infrastructure Phase 10</t>
  </si>
  <si>
    <t xml:space="preserve">University of Colorado at Boulder </t>
  </si>
  <si>
    <t>Format   070</t>
  </si>
  <si>
    <t xml:space="preserve">Scholarship Allowance </t>
  </si>
  <si>
    <t xml:space="preserve">Scholarship Allowance related to Education &amp; General </t>
  </si>
  <si>
    <t>Format 1</t>
  </si>
  <si>
    <t>Date: 10/01/05</t>
  </si>
  <si>
    <t>Total Tuition Includes Stipend Reimbursement</t>
  </si>
  <si>
    <t>University of Colorado at Colorado Springs</t>
  </si>
  <si>
    <t>NAME:  University of Colorado -  Colorado Springs</t>
  </si>
  <si>
    <t>Scholarship Allowance</t>
  </si>
  <si>
    <t xml:space="preserve">COFRS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</si>
</sst>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_);\(#,##0.0\)"/>
    <numFmt numFmtId="166" formatCode="0.0_)"/>
    <numFmt numFmtId="167" formatCode="0.0%"/>
    <numFmt numFmtId="168" formatCode="0.0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"/>
    <numFmt numFmtId="174" formatCode="_(* #,##0.0_);_(* \(#,##0.0\);_(* &quot;-&quot;??_);_(@_)"/>
    <numFmt numFmtId="175" formatCode="_(* #,##0_);_(* \(#,##0\);_(* &quot;-&quot;??_);_(@_)"/>
    <numFmt numFmtId="176" formatCode="_(* #,##0.0_);_(* \(#,##0.0\);_(* &quot;-&quot;?_);_(@_)"/>
    <numFmt numFmtId="177" formatCode="_(* #,##0.000_);_(* \(#,##0.000\);_(* &quot;-&quot;??_);_(@_)"/>
    <numFmt numFmtId="178" formatCode="_(* #,##0.0_);_(* \(#,##0.0\);_(* &quot;-&quot;_);_(@_)"/>
    <numFmt numFmtId="179" formatCode="_(* #,##0.00_);_(* \(#,##0.00\);_(* &quot;-&quot;_);_(@_)"/>
    <numFmt numFmtId="180" formatCode="0.0000"/>
    <numFmt numFmtId="181" formatCode="#,##0.0000_);\(#,##0.0000\)"/>
    <numFmt numFmtId="182" formatCode="#,##0.000_);\(#,##0.000\)"/>
    <numFmt numFmtId="183" formatCode="0.00_);\(0.00\)"/>
    <numFmt numFmtId="184" formatCode="_(&quot;$&quot;* #,##0_);_(&quot;$&quot;* \(#,##0\);_(&quot;$&quot;* &quot;-&quot;??_);_(@_)"/>
  </numFmts>
  <fonts count="60">
    <font>
      <sz val="10"/>
      <name val="Courier"/>
      <family val="0"/>
    </font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36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i/>
      <sz val="36"/>
      <name val="Times New Roman"/>
      <family val="1"/>
    </font>
    <font>
      <b/>
      <sz val="22"/>
      <name val="Times New Roman"/>
      <family val="1"/>
    </font>
    <font>
      <b/>
      <sz val="8"/>
      <name val="Times New Roman"/>
      <family val="1"/>
    </font>
    <font>
      <strike/>
      <sz val="9"/>
      <name val="Times New Roman"/>
      <family val="1"/>
    </font>
    <font>
      <b/>
      <strike/>
      <sz val="9"/>
      <name val="Times New Roman"/>
      <family val="1"/>
    </font>
    <font>
      <sz val="10"/>
      <name val="Times New Roman"/>
      <family val="1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u val="single"/>
      <sz val="9"/>
      <name val="Times New Roman"/>
      <family val="1"/>
    </font>
    <font>
      <sz val="9"/>
      <color indexed="10"/>
      <name val="Times New Roman"/>
      <family val="1"/>
    </font>
    <font>
      <sz val="7"/>
      <name val="Arial"/>
      <family val="2"/>
    </font>
    <font>
      <sz val="8"/>
      <name val="Times New Roman"/>
      <family val="1"/>
    </font>
    <font>
      <sz val="12"/>
      <name val="Arial MT"/>
      <family val="0"/>
    </font>
    <font>
      <sz val="9"/>
      <color indexed="8"/>
      <name val="Times New Roman"/>
      <family val="1"/>
    </font>
    <font>
      <b/>
      <sz val="9"/>
      <name val="Tahoma"/>
      <family val="0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urie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78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69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left"/>
      <protection/>
    </xf>
    <xf numFmtId="0" fontId="2" fillId="33" borderId="0" xfId="0" applyFont="1" applyFill="1" applyAlignment="1">
      <alignment/>
    </xf>
    <xf numFmtId="0" fontId="2" fillId="33" borderId="0" xfId="0" applyFont="1" applyFill="1" applyAlignment="1" applyProtection="1">
      <alignment horizontal="right"/>
      <protection/>
    </xf>
    <xf numFmtId="0" fontId="2" fillId="33" borderId="0" xfId="0" applyFont="1" applyFill="1" applyAlignment="1" applyProtection="1">
      <alignment horizontal="fill"/>
      <protection/>
    </xf>
    <xf numFmtId="169" fontId="2" fillId="33" borderId="0" xfId="0" applyNumberFormat="1" applyFont="1" applyFill="1" applyAlignment="1" applyProtection="1">
      <alignment horizontal="fill"/>
      <protection/>
    </xf>
    <xf numFmtId="39" fontId="2" fillId="33" borderId="0" xfId="0" applyNumberFormat="1" applyFont="1" applyFill="1" applyAlignment="1" applyProtection="1">
      <alignment horizontal="fill"/>
      <protection/>
    </xf>
    <xf numFmtId="0" fontId="2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horizontal="fill"/>
      <protection/>
    </xf>
    <xf numFmtId="169" fontId="2" fillId="0" borderId="0" xfId="0" applyNumberFormat="1" applyFont="1" applyFill="1" applyAlignment="1" applyProtection="1">
      <alignment horizontal="fill"/>
      <protection/>
    </xf>
    <xf numFmtId="3" fontId="2" fillId="0" borderId="0" xfId="0" applyNumberFormat="1" applyFont="1" applyFill="1" applyAlignment="1">
      <alignment/>
    </xf>
    <xf numFmtId="39" fontId="2" fillId="0" borderId="0" xfId="0" applyNumberFormat="1" applyFont="1" applyFill="1" applyAlignment="1" applyProtection="1">
      <alignment horizontal="fill"/>
      <protection/>
    </xf>
    <xf numFmtId="3" fontId="2" fillId="0" borderId="0" xfId="0" applyNumberFormat="1" applyFont="1" applyFill="1" applyAlignment="1" applyProtection="1">
      <alignment horizontal="fill"/>
      <protection/>
    </xf>
    <xf numFmtId="3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164" fontId="2" fillId="0" borderId="0" xfId="0" applyNumberFormat="1" applyFont="1" applyFill="1" applyAlignment="1" applyProtection="1">
      <alignment/>
      <protection/>
    </xf>
    <xf numFmtId="169" fontId="2" fillId="0" borderId="0" xfId="0" applyNumberFormat="1" applyFont="1" applyFill="1" applyAlignment="1" applyProtection="1">
      <alignment/>
      <protection locked="0"/>
    </xf>
    <xf numFmtId="3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/>
    </xf>
    <xf numFmtId="2" fontId="2" fillId="0" borderId="0" xfId="0" applyNumberFormat="1" applyFont="1" applyFill="1" applyAlignment="1">
      <alignment horizontal="center"/>
    </xf>
    <xf numFmtId="169" fontId="2" fillId="0" borderId="0" xfId="0" applyNumberFormat="1" applyFont="1" applyFill="1" applyAlignment="1">
      <alignment/>
    </xf>
    <xf numFmtId="2" fontId="2" fillId="0" borderId="0" xfId="0" applyNumberFormat="1" applyFont="1" applyFill="1" applyAlignment="1" applyProtection="1">
      <alignment horizontal="center"/>
      <protection/>
    </xf>
    <xf numFmtId="3" fontId="9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 applyProtection="1">
      <alignment horizontal="left"/>
      <protection locked="0"/>
    </xf>
    <xf numFmtId="3" fontId="3" fillId="0" borderId="0" xfId="0" applyNumberFormat="1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left"/>
      <protection locked="0"/>
    </xf>
    <xf numFmtId="39" fontId="2" fillId="0" borderId="0" xfId="0" applyNumberFormat="1" applyFont="1" applyFill="1" applyAlignment="1" applyProtection="1">
      <alignment/>
      <protection/>
    </xf>
    <xf numFmtId="3" fontId="9" fillId="0" borderId="0" xfId="0" applyNumberFormat="1" applyFont="1" applyFill="1" applyAlignment="1" applyProtection="1">
      <alignment horizontal="left"/>
      <protection locked="0"/>
    </xf>
    <xf numFmtId="164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11" fillId="0" borderId="0" xfId="0" applyFont="1" applyFill="1" applyAlignment="1" applyProtection="1">
      <alignment horizontal="right"/>
      <protection/>
    </xf>
    <xf numFmtId="166" fontId="2" fillId="0" borderId="0" xfId="0" applyNumberFormat="1" applyFont="1" applyFill="1" applyAlignment="1" applyProtection="1">
      <alignment/>
      <protection/>
    </xf>
    <xf numFmtId="0" fontId="12" fillId="0" borderId="0" xfId="0" applyFont="1" applyFill="1" applyAlignment="1">
      <alignment/>
    </xf>
    <xf numFmtId="6" fontId="12" fillId="0" borderId="0" xfId="0" applyNumberFormat="1" applyFont="1" applyFill="1" applyAlignment="1">
      <alignment/>
    </xf>
    <xf numFmtId="0" fontId="2" fillId="0" borderId="0" xfId="97" applyFont="1">
      <alignment/>
      <protection/>
    </xf>
    <xf numFmtId="37" fontId="2" fillId="0" borderId="0" xfId="97" applyNumberFormat="1" applyFont="1" applyFill="1" applyAlignment="1" applyProtection="1">
      <alignment horizontal="center"/>
      <protection/>
    </xf>
    <xf numFmtId="165" fontId="2" fillId="0" borderId="0" xfId="97" applyNumberFormat="1" applyFont="1" applyFill="1" applyAlignment="1" applyProtection="1">
      <alignment horizontal="fill"/>
      <protection/>
    </xf>
    <xf numFmtId="0" fontId="2" fillId="0" borderId="0" xfId="97" applyFont="1" applyFill="1" applyAlignment="1" applyProtection="1">
      <alignment horizontal="fill"/>
      <protection/>
    </xf>
    <xf numFmtId="37" fontId="2" fillId="0" borderId="0" xfId="97" applyNumberFormat="1" applyFont="1" applyFill="1" applyAlignment="1" applyProtection="1">
      <alignment horizontal="fill"/>
      <protection/>
    </xf>
    <xf numFmtId="0" fontId="2" fillId="0" borderId="0" xfId="97" applyFont="1" applyFill="1" applyAlignment="1" applyProtection="1">
      <alignment horizontal="left"/>
      <protection/>
    </xf>
    <xf numFmtId="0" fontId="2" fillId="0" borderId="0" xfId="97" applyFont="1" applyFill="1">
      <alignment/>
      <protection/>
    </xf>
    <xf numFmtId="39" fontId="2" fillId="0" borderId="0" xfId="97" applyNumberFormat="1" applyFont="1" applyFill="1" applyProtection="1">
      <alignment/>
      <protection/>
    </xf>
    <xf numFmtId="37" fontId="2" fillId="0" borderId="0" xfId="97" applyNumberFormat="1" applyFont="1" applyFill="1" applyProtection="1">
      <alignment/>
      <protection/>
    </xf>
    <xf numFmtId="166" fontId="2" fillId="0" borderId="0" xfId="97" applyNumberFormat="1" applyFont="1" applyFill="1" applyProtection="1">
      <alignment/>
      <protection/>
    </xf>
    <xf numFmtId="37" fontId="2" fillId="0" borderId="0" xfId="97" applyNumberFormat="1" applyFont="1">
      <alignment/>
      <protection/>
    </xf>
    <xf numFmtId="0" fontId="10" fillId="0" borderId="0" xfId="97" applyFont="1" applyFill="1" applyAlignment="1" applyProtection="1">
      <alignment horizontal="left"/>
      <protection/>
    </xf>
    <xf numFmtId="39" fontId="2" fillId="0" borderId="0" xfId="97" applyNumberFormat="1" applyFont="1" applyFill="1" applyAlignment="1" applyProtection="1">
      <alignment horizontal="fill"/>
      <protection/>
    </xf>
    <xf numFmtId="37" fontId="2" fillId="0" borderId="0" xfId="97" applyNumberFormat="1" applyFont="1" applyFill="1" applyAlignment="1" applyProtection="1">
      <alignment horizontal="right"/>
      <protection/>
    </xf>
    <xf numFmtId="165" fontId="2" fillId="0" borderId="0" xfId="97" applyNumberFormat="1" applyFont="1" applyFill="1" applyProtection="1">
      <alignment/>
      <protection/>
    </xf>
    <xf numFmtId="3" fontId="2" fillId="0" borderId="0" xfId="97" applyNumberFormat="1" applyFont="1" applyFill="1">
      <alignment/>
      <protection/>
    </xf>
    <xf numFmtId="3" fontId="2" fillId="0" borderId="0" xfId="97" applyNumberFormat="1" applyFont="1" applyFill="1" applyProtection="1">
      <alignment/>
      <protection/>
    </xf>
    <xf numFmtId="164" fontId="2" fillId="0" borderId="0" xfId="97" applyNumberFormat="1" applyFont="1" applyFill="1" applyAlignment="1" applyProtection="1">
      <alignment horizontal="center"/>
      <protection/>
    </xf>
    <xf numFmtId="37" fontId="2" fillId="0" borderId="0" xfId="97" applyNumberFormat="1" applyFont="1" applyFill="1" applyProtection="1">
      <alignment/>
      <protection locked="0"/>
    </xf>
    <xf numFmtId="0" fontId="2" fillId="34" borderId="0" xfId="97" applyFont="1" applyFill="1" applyAlignment="1" applyProtection="1">
      <alignment horizontal="left"/>
      <protection/>
    </xf>
    <xf numFmtId="0" fontId="2" fillId="34" borderId="0" xfId="97" applyFont="1" applyFill="1">
      <alignment/>
      <protection/>
    </xf>
    <xf numFmtId="1" fontId="2" fillId="0" borderId="0" xfId="97" applyNumberFormat="1" applyFont="1" applyFill="1" applyProtection="1">
      <alignment/>
      <protection/>
    </xf>
    <xf numFmtId="0" fontId="2" fillId="0" borderId="0" xfId="97" applyFont="1" applyFill="1" applyBorder="1" applyAlignment="1" applyProtection="1">
      <alignment horizontal="left"/>
      <protection/>
    </xf>
    <xf numFmtId="0" fontId="2" fillId="0" borderId="0" xfId="97" applyFont="1" applyFill="1" applyBorder="1">
      <alignment/>
      <protection/>
    </xf>
    <xf numFmtId="0" fontId="2" fillId="0" borderId="0" xfId="97" applyFont="1" applyFill="1" applyProtection="1">
      <alignment/>
      <protection locked="0"/>
    </xf>
    <xf numFmtId="1" fontId="2" fillId="0" borderId="0" xfId="97" applyNumberFormat="1" applyFont="1" applyFill="1">
      <alignment/>
      <protection/>
    </xf>
    <xf numFmtId="164" fontId="2" fillId="0" borderId="0" xfId="97" applyNumberFormat="1" applyFont="1" applyFill="1" applyProtection="1">
      <alignment/>
      <protection/>
    </xf>
    <xf numFmtId="37" fontId="2" fillId="34" borderId="0" xfId="97" applyNumberFormat="1" applyFont="1" applyFill="1" applyProtection="1">
      <alignment/>
      <protection/>
    </xf>
    <xf numFmtId="1" fontId="2" fillId="0" borderId="0" xfId="97" applyNumberFormat="1" applyFont="1" applyFill="1" applyAlignment="1" applyProtection="1">
      <alignment horizontal="right"/>
      <protection/>
    </xf>
    <xf numFmtId="3" fontId="2" fillId="0" borderId="0" xfId="97" applyNumberFormat="1" applyFont="1" applyFill="1" applyAlignment="1" applyProtection="1">
      <alignment horizontal="fill"/>
      <protection/>
    </xf>
    <xf numFmtId="0" fontId="2" fillId="0" borderId="0" xfId="97" applyFont="1" applyFill="1" applyProtection="1">
      <alignment/>
      <protection/>
    </xf>
    <xf numFmtId="0" fontId="2" fillId="0" borderId="0" xfId="97" applyFont="1" applyFill="1" applyAlignment="1">
      <alignment horizontal="right"/>
      <protection/>
    </xf>
    <xf numFmtId="0" fontId="2" fillId="34" borderId="0" xfId="97" applyFont="1" applyFill="1" applyProtection="1">
      <alignment/>
      <protection/>
    </xf>
    <xf numFmtId="37" fontId="2" fillId="34" borderId="0" xfId="97" applyNumberFormat="1" applyFont="1" applyFill="1" applyProtection="1">
      <alignment/>
      <protection locked="0"/>
    </xf>
    <xf numFmtId="0" fontId="2" fillId="34" borderId="0" xfId="97" applyFont="1" applyFill="1" applyProtection="1">
      <alignment/>
      <protection locked="0"/>
    </xf>
    <xf numFmtId="0" fontId="2" fillId="0" borderId="0" xfId="97" applyFont="1" applyFill="1" applyAlignment="1">
      <alignment horizontal="center"/>
      <protection/>
    </xf>
    <xf numFmtId="0" fontId="2" fillId="0" borderId="0" xfId="97" applyFont="1" applyFill="1" applyBorder="1" applyProtection="1">
      <alignment/>
      <protection locked="0"/>
    </xf>
    <xf numFmtId="37" fontId="2" fillId="0" borderId="10" xfId="97" applyNumberFormat="1" applyFont="1" applyFill="1" applyBorder="1" applyAlignment="1" applyProtection="1">
      <alignment horizontal="center"/>
      <protection/>
    </xf>
    <xf numFmtId="0" fontId="2" fillId="0" borderId="0" xfId="97" applyFont="1" applyFill="1" applyAlignment="1" applyProtection="1">
      <alignment horizontal="center"/>
      <protection/>
    </xf>
    <xf numFmtId="0" fontId="2" fillId="0" borderId="0" xfId="97" applyFont="1" applyFill="1" applyAlignment="1" applyProtection="1">
      <alignment horizontal="right"/>
      <protection/>
    </xf>
    <xf numFmtId="37" fontId="2" fillId="0" borderId="0" xfId="97" applyNumberFormat="1" applyFont="1" applyFill="1">
      <alignment/>
      <protection/>
    </xf>
    <xf numFmtId="0" fontId="11" fillId="0" borderId="0" xfId="97" applyFont="1" applyFill="1" applyAlignment="1" applyProtection="1">
      <alignment horizontal="right"/>
      <protection/>
    </xf>
    <xf numFmtId="169" fontId="2" fillId="0" borderId="0" xfId="97" applyNumberFormat="1" applyFont="1" applyFill="1" applyProtection="1">
      <alignment/>
      <protection/>
    </xf>
    <xf numFmtId="169" fontId="2" fillId="0" borderId="0" xfId="97" applyNumberFormat="1" applyFont="1" applyFill="1">
      <alignment/>
      <protection/>
    </xf>
    <xf numFmtId="3" fontId="2" fillId="0" borderId="0" xfId="97" applyNumberFormat="1" applyFont="1" applyFill="1" applyAlignment="1">
      <alignment horizontal="center"/>
      <protection/>
    </xf>
    <xf numFmtId="3" fontId="2" fillId="0" borderId="0" xfId="97" applyNumberFormat="1" applyFont="1" applyFill="1" applyAlignment="1" applyProtection="1">
      <alignment horizontal="center"/>
      <protection/>
    </xf>
    <xf numFmtId="0" fontId="10" fillId="0" borderId="0" xfId="97" applyFont="1" applyFill="1">
      <alignment/>
      <protection/>
    </xf>
    <xf numFmtId="1" fontId="2" fillId="0" borderId="0" xfId="97" applyNumberFormat="1" applyFont="1" applyFill="1" applyAlignment="1">
      <alignment horizontal="right"/>
      <protection/>
    </xf>
    <xf numFmtId="0" fontId="7" fillId="0" borderId="0" xfId="0" applyFont="1" applyFill="1" applyAlignment="1">
      <alignment/>
    </xf>
    <xf numFmtId="0" fontId="3" fillId="0" borderId="0" xfId="97" applyFont="1" applyFill="1" applyAlignment="1" applyProtection="1">
      <alignment horizontal="left"/>
      <protection locked="0"/>
    </xf>
    <xf numFmtId="3" fontId="3" fillId="0" borderId="0" xfId="97" applyNumberFormat="1" applyFont="1" applyFill="1" applyAlignment="1" applyProtection="1">
      <alignment horizontal="right"/>
      <protection/>
    </xf>
    <xf numFmtId="0" fontId="3" fillId="0" borderId="0" xfId="97" applyFont="1" applyFill="1">
      <alignment/>
      <protection/>
    </xf>
    <xf numFmtId="3" fontId="9" fillId="0" borderId="0" xfId="97" applyNumberFormat="1" applyFont="1" applyFill="1" applyAlignment="1" applyProtection="1">
      <alignment horizontal="left"/>
      <protection locked="0"/>
    </xf>
    <xf numFmtId="169" fontId="2" fillId="0" borderId="0" xfId="97" applyNumberFormat="1" applyFont="1" applyFill="1" applyAlignment="1" applyProtection="1">
      <alignment horizontal="fill"/>
      <protection/>
    </xf>
    <xf numFmtId="169" fontId="2" fillId="0" borderId="0" xfId="97" applyNumberFormat="1" applyFont="1" applyFill="1" applyAlignment="1" applyProtection="1">
      <alignment horizontal="center"/>
      <protection/>
    </xf>
    <xf numFmtId="179" fontId="2" fillId="0" borderId="0" xfId="97" applyNumberFormat="1" applyFont="1" applyFill="1" applyAlignment="1">
      <alignment horizontal="center"/>
      <protection/>
    </xf>
    <xf numFmtId="41" fontId="2" fillId="0" borderId="0" xfId="97" applyNumberFormat="1" applyFont="1" applyFill="1" applyAlignment="1">
      <alignment horizontal="center"/>
      <protection/>
    </xf>
    <xf numFmtId="2" fontId="2" fillId="0" borderId="0" xfId="97" applyNumberFormat="1" applyFont="1" applyFill="1" applyAlignment="1">
      <alignment horizontal="center"/>
      <protection/>
    </xf>
    <xf numFmtId="41" fontId="2" fillId="0" borderId="0" xfId="97" applyNumberFormat="1" applyFont="1" applyFill="1" applyAlignment="1" applyProtection="1">
      <alignment horizontal="fill"/>
      <protection/>
    </xf>
    <xf numFmtId="175" fontId="2" fillId="0" borderId="0" xfId="42" applyNumberFormat="1" applyFont="1" applyFill="1" applyAlignment="1" applyProtection="1">
      <alignment horizontal="fill"/>
      <protection/>
    </xf>
    <xf numFmtId="2" fontId="2" fillId="0" borderId="0" xfId="97" applyNumberFormat="1" applyFont="1" applyFill="1" applyAlignment="1" applyProtection="1">
      <alignment horizontal="center"/>
      <protection/>
    </xf>
    <xf numFmtId="0" fontId="3" fillId="0" borderId="0" xfId="97" applyFont="1" applyFill="1" applyAlignment="1" applyProtection="1">
      <alignment horizontal="left"/>
      <protection/>
    </xf>
    <xf numFmtId="166" fontId="2" fillId="0" borderId="0" xfId="97" applyNumberFormat="1" applyFont="1" applyFill="1" applyAlignment="1" applyProtection="1">
      <alignment horizontal="center"/>
      <protection/>
    </xf>
    <xf numFmtId="0" fontId="2" fillId="33" borderId="0" xfId="97" applyFont="1" applyFill="1">
      <alignment/>
      <protection/>
    </xf>
    <xf numFmtId="0" fontId="2" fillId="33" borderId="0" xfId="97" applyFont="1" applyFill="1" applyAlignment="1" applyProtection="1">
      <alignment horizontal="right"/>
      <protection/>
    </xf>
    <xf numFmtId="0" fontId="2" fillId="33" borderId="0" xfId="97" applyFont="1" applyFill="1" applyAlignment="1" applyProtection="1">
      <alignment horizontal="fill"/>
      <protection/>
    </xf>
    <xf numFmtId="37" fontId="2" fillId="33" borderId="0" xfId="97" applyNumberFormat="1" applyFont="1" applyFill="1" applyAlignment="1" applyProtection="1">
      <alignment horizontal="right"/>
      <protection/>
    </xf>
    <xf numFmtId="169" fontId="2" fillId="33" borderId="0" xfId="97" applyNumberFormat="1" applyFont="1" applyFill="1" applyAlignment="1" applyProtection="1">
      <alignment horizontal="fill"/>
      <protection/>
    </xf>
    <xf numFmtId="39" fontId="2" fillId="33" borderId="0" xfId="97" applyNumberFormat="1" applyFont="1" applyFill="1" applyAlignment="1" applyProtection="1">
      <alignment horizontal="fill"/>
      <protection/>
    </xf>
    <xf numFmtId="165" fontId="2" fillId="33" borderId="0" xfId="97" applyNumberFormat="1" applyFont="1" applyFill="1" applyAlignment="1" applyProtection="1">
      <alignment horizontal="center"/>
      <protection/>
    </xf>
    <xf numFmtId="164" fontId="3" fillId="0" borderId="0" xfId="97" applyNumberFormat="1" applyFont="1" applyFill="1" applyProtection="1">
      <alignment/>
      <protection/>
    </xf>
    <xf numFmtId="169" fontId="3" fillId="0" borderId="0" xfId="97" applyNumberFormat="1" applyFont="1" applyFill="1" applyProtection="1">
      <alignment/>
      <protection/>
    </xf>
    <xf numFmtId="3" fontId="3" fillId="0" borderId="0" xfId="97" applyNumberFormat="1" applyFont="1" applyFill="1" applyProtection="1">
      <alignment/>
      <protection/>
    </xf>
    <xf numFmtId="37" fontId="3" fillId="0" borderId="0" xfId="97" applyNumberFormat="1" applyFont="1" applyFill="1" applyAlignment="1" applyProtection="1">
      <alignment horizontal="center"/>
      <protection/>
    </xf>
    <xf numFmtId="0" fontId="12" fillId="0" borderId="0" xfId="97" applyFont="1" applyFill="1">
      <alignment/>
      <protection/>
    </xf>
    <xf numFmtId="6" fontId="12" fillId="0" borderId="0" xfId="97" applyNumberFormat="1" applyFont="1" applyFill="1">
      <alignment/>
      <protection/>
    </xf>
    <xf numFmtId="37" fontId="3" fillId="0" borderId="0" xfId="97" applyNumberFormat="1" applyFont="1" applyFill="1" applyProtection="1">
      <alignment/>
      <protection/>
    </xf>
    <xf numFmtId="175" fontId="2" fillId="0" borderId="0" xfId="42" applyNumberFormat="1" applyFont="1" applyFill="1" applyAlignment="1" applyProtection="1">
      <alignment horizontal="right"/>
      <protection/>
    </xf>
    <xf numFmtId="43" fontId="2" fillId="0" borderId="0" xfId="42" applyNumberFormat="1" applyFont="1" applyFill="1" applyAlignment="1" applyProtection="1">
      <alignment horizontal="right"/>
      <protection/>
    </xf>
    <xf numFmtId="43" fontId="2" fillId="0" borderId="0" xfId="42" applyNumberFormat="1" applyFont="1" applyFill="1" applyAlignment="1">
      <alignment horizontal="right"/>
    </xf>
    <xf numFmtId="175" fontId="2" fillId="0" borderId="0" xfId="42" applyNumberFormat="1" applyFont="1" applyFill="1" applyAlignment="1">
      <alignment horizontal="right"/>
    </xf>
    <xf numFmtId="43" fontId="16" fillId="0" borderId="0" xfId="42" applyNumberFormat="1" applyFont="1" applyFill="1" applyAlignment="1">
      <alignment horizontal="right"/>
    </xf>
    <xf numFmtId="43" fontId="2" fillId="0" borderId="0" xfId="42" applyNumberFormat="1" applyFont="1" applyFill="1" applyAlignment="1" applyProtection="1">
      <alignment horizontal="right"/>
      <protection locked="0"/>
    </xf>
    <xf numFmtId="175" fontId="2" fillId="0" borderId="0" xfId="42" applyNumberFormat="1" applyFont="1" applyFill="1" applyAlignment="1" applyProtection="1">
      <alignment horizontal="right"/>
      <protection locked="0"/>
    </xf>
    <xf numFmtId="9" fontId="2" fillId="0" borderId="0" xfId="102" applyFont="1" applyFill="1" applyAlignment="1">
      <alignment horizontal="right"/>
    </xf>
    <xf numFmtId="174" fontId="2" fillId="0" borderId="0" xfId="42" applyNumberFormat="1" applyFont="1" applyFill="1" applyAlignment="1" applyProtection="1">
      <alignment/>
      <protection/>
    </xf>
    <xf numFmtId="3" fontId="2" fillId="0" borderId="0" xfId="42" applyNumberFormat="1" applyFont="1" applyFill="1" applyAlignment="1" applyProtection="1">
      <alignment/>
      <protection/>
    </xf>
    <xf numFmtId="3" fontId="2" fillId="0" borderId="0" xfId="102" applyNumberFormat="1" applyFont="1" applyFill="1" applyAlignment="1" applyProtection="1">
      <alignment/>
      <protection/>
    </xf>
    <xf numFmtId="3" fontId="2" fillId="0" borderId="0" xfId="102" applyNumberFormat="1" applyFont="1" applyFill="1" applyAlignment="1" applyProtection="1">
      <alignment horizontal="left"/>
      <protection/>
    </xf>
    <xf numFmtId="174" fontId="2" fillId="0" borderId="0" xfId="42" applyNumberFormat="1" applyFont="1" applyFill="1" applyAlignment="1" applyProtection="1">
      <alignment/>
      <protection locked="0"/>
    </xf>
    <xf numFmtId="3" fontId="2" fillId="0" borderId="0" xfId="102" applyNumberFormat="1" applyFont="1" applyFill="1" applyAlignment="1" applyProtection="1">
      <alignment/>
      <protection locked="0"/>
    </xf>
    <xf numFmtId="174" fontId="2" fillId="0" borderId="0" xfId="42" applyNumberFormat="1" applyFont="1" applyFill="1" applyAlignment="1">
      <alignment/>
    </xf>
    <xf numFmtId="0" fontId="17" fillId="0" borderId="0" xfId="97" applyFont="1" applyFill="1">
      <alignment/>
      <protection/>
    </xf>
    <xf numFmtId="169" fontId="17" fillId="0" borderId="0" xfId="97" applyNumberFormat="1" applyFont="1" applyFill="1">
      <alignment/>
      <protection/>
    </xf>
    <xf numFmtId="3" fontId="17" fillId="0" borderId="0" xfId="97" applyNumberFormat="1" applyFont="1" applyFill="1">
      <alignment/>
      <protection/>
    </xf>
    <xf numFmtId="0" fontId="17" fillId="0" borderId="0" xfId="97" applyFont="1" applyFill="1" applyAlignment="1" applyProtection="1">
      <alignment horizontal="left"/>
      <protection/>
    </xf>
    <xf numFmtId="37" fontId="3" fillId="0" borderId="0" xfId="97" applyNumberFormat="1" applyFont="1" applyFill="1" applyAlignment="1" applyProtection="1">
      <alignment/>
      <protection/>
    </xf>
    <xf numFmtId="169" fontId="2" fillId="0" borderId="0" xfId="97" applyNumberFormat="1" applyFont="1" applyFill="1" applyProtection="1">
      <alignment/>
      <protection locked="0"/>
    </xf>
    <xf numFmtId="0" fontId="3" fillId="0" borderId="0" xfId="97" applyFont="1" applyFill="1" applyAlignment="1" applyProtection="1" quotePrefix="1">
      <alignment horizontal="left"/>
      <protection/>
    </xf>
    <xf numFmtId="165" fontId="3" fillId="0" borderId="0" xfId="97" applyNumberFormat="1" applyFont="1" applyFill="1" applyAlignment="1" applyProtection="1">
      <alignment horizontal="center"/>
      <protection/>
    </xf>
    <xf numFmtId="174" fontId="2" fillId="0" borderId="0" xfId="42" applyNumberFormat="1" applyFont="1" applyFill="1" applyAlignment="1">
      <alignment horizontal="right"/>
    </xf>
    <xf numFmtId="174" fontId="2" fillId="0" borderId="0" xfId="42" applyNumberFormat="1" applyFont="1" applyFill="1" applyAlignment="1" applyProtection="1">
      <alignment horizontal="right"/>
      <protection/>
    </xf>
    <xf numFmtId="2" fontId="2" fillId="0" borderId="0" xfId="97" applyNumberFormat="1" applyFont="1" applyFill="1" applyAlignment="1" applyProtection="1">
      <alignment horizontal="right"/>
      <protection/>
    </xf>
    <xf numFmtId="2" fontId="2" fillId="0" borderId="0" xfId="97" applyNumberFormat="1" applyFont="1" applyFill="1">
      <alignment/>
      <protection/>
    </xf>
    <xf numFmtId="43" fontId="2" fillId="0" borderId="0" xfId="97" applyNumberFormat="1" applyFont="1" applyFill="1" applyAlignment="1">
      <alignment horizontal="right"/>
      <protection/>
    </xf>
    <xf numFmtId="169" fontId="10" fillId="0" borderId="0" xfId="97" applyNumberFormat="1" applyFont="1" applyFill="1">
      <alignment/>
      <protection/>
    </xf>
    <xf numFmtId="3" fontId="10" fillId="0" borderId="0" xfId="97" applyNumberFormat="1" applyFont="1" applyFill="1" applyProtection="1">
      <alignment/>
      <protection/>
    </xf>
    <xf numFmtId="0" fontId="2" fillId="0" borderId="0" xfId="97" applyFont="1" applyFill="1" applyAlignment="1">
      <alignment horizontal="right" wrapText="1"/>
      <protection/>
    </xf>
    <xf numFmtId="43" fontId="2" fillId="0" borderId="0" xfId="97" applyNumberFormat="1" applyFont="1" applyFill="1" applyAlignment="1" applyProtection="1">
      <alignment horizontal="fill"/>
      <protection/>
    </xf>
    <xf numFmtId="0" fontId="2" fillId="33" borderId="0" xfId="97" applyFont="1" applyFill="1" applyAlignment="1">
      <alignment wrapText="1"/>
      <protection/>
    </xf>
    <xf numFmtId="165" fontId="2" fillId="33" borderId="0" xfId="97" applyNumberFormat="1" applyFont="1" applyFill="1" applyAlignment="1" applyProtection="1">
      <alignment horizontal="fill"/>
      <protection/>
    </xf>
    <xf numFmtId="3" fontId="3" fillId="0" borderId="0" xfId="97" applyNumberFormat="1" applyFont="1" applyFill="1" applyAlignment="1" applyProtection="1">
      <alignment horizontal="left"/>
      <protection/>
    </xf>
    <xf numFmtId="39" fontId="3" fillId="0" borderId="0" xfId="97" applyNumberFormat="1" applyFont="1" applyFill="1" applyProtection="1">
      <alignment/>
      <protection/>
    </xf>
    <xf numFmtId="175" fontId="2" fillId="0" borderId="0" xfId="42" applyNumberFormat="1" applyFont="1" applyFill="1" applyAlignment="1">
      <alignment/>
    </xf>
    <xf numFmtId="43" fontId="2" fillId="0" borderId="0" xfId="42" applyFont="1" applyFill="1" applyAlignment="1" applyProtection="1">
      <alignment horizontal="fill"/>
      <protection/>
    </xf>
    <xf numFmtId="3" fontId="2" fillId="0" borderId="0" xfId="97" applyNumberFormat="1" applyFont="1" applyFill="1" applyProtection="1">
      <alignment/>
      <protection locked="0"/>
    </xf>
    <xf numFmtId="175" fontId="2" fillId="0" borderId="0" xfId="42" applyNumberFormat="1" applyFont="1" applyFill="1" applyAlignment="1" applyProtection="1">
      <alignment/>
      <protection locked="0"/>
    </xf>
    <xf numFmtId="175" fontId="2" fillId="0" borderId="0" xfId="42" applyNumberFormat="1" applyFont="1" applyFill="1" applyAlignment="1">
      <alignment horizontal="center"/>
    </xf>
    <xf numFmtId="175" fontId="2" fillId="0" borderId="0" xfId="42" applyNumberFormat="1" applyFont="1" applyFill="1" applyAlignment="1" applyProtection="1">
      <alignment horizontal="center"/>
      <protection/>
    </xf>
    <xf numFmtId="169" fontId="10" fillId="0" borderId="0" xfId="97" applyNumberFormat="1" applyFont="1" applyFill="1" applyAlignment="1" applyProtection="1">
      <alignment horizontal="left"/>
      <protection/>
    </xf>
    <xf numFmtId="43" fontId="2" fillId="0" borderId="0" xfId="42" applyNumberFormat="1" applyFont="1" applyFill="1" applyAlignment="1" applyProtection="1">
      <alignment horizontal="center"/>
      <protection locked="0"/>
    </xf>
    <xf numFmtId="175" fontId="2" fillId="0" borderId="0" xfId="42" applyNumberFormat="1" applyFont="1" applyFill="1" applyAlignment="1" applyProtection="1">
      <alignment horizontal="center"/>
      <protection locked="0"/>
    </xf>
    <xf numFmtId="174" fontId="2" fillId="0" borderId="0" xfId="42" applyNumberFormat="1" applyFont="1" applyFill="1" applyAlignment="1" applyProtection="1">
      <alignment horizontal="center"/>
      <protection locked="0"/>
    </xf>
    <xf numFmtId="43" fontId="2" fillId="0" borderId="0" xfId="42" applyNumberFormat="1" applyFont="1" applyFill="1" applyAlignment="1" applyProtection="1">
      <alignment horizontal="center"/>
      <protection/>
    </xf>
    <xf numFmtId="43" fontId="2" fillId="0" borderId="0" xfId="42" applyNumberFormat="1" applyFont="1" applyFill="1" applyAlignment="1">
      <alignment horizontal="center"/>
    </xf>
    <xf numFmtId="0" fontId="2" fillId="35" borderId="0" xfId="97" applyFont="1" applyFill="1" applyAlignment="1" applyProtection="1">
      <alignment horizontal="left" wrapText="1"/>
      <protection/>
    </xf>
    <xf numFmtId="43" fontId="2" fillId="35" borderId="0" xfId="42" applyNumberFormat="1" applyFont="1" applyFill="1" applyAlignment="1" applyProtection="1">
      <alignment horizontal="center"/>
      <protection locked="0"/>
    </xf>
    <xf numFmtId="175" fontId="2" fillId="35" borderId="0" xfId="42" applyNumberFormat="1" applyFont="1" applyFill="1" applyAlignment="1" applyProtection="1">
      <alignment horizontal="center"/>
      <protection locked="0"/>
    </xf>
    <xf numFmtId="174" fontId="2" fillId="0" borderId="0" xfId="42" applyNumberFormat="1" applyFont="1" applyFill="1" applyAlignment="1">
      <alignment horizontal="center"/>
    </xf>
    <xf numFmtId="2" fontId="2" fillId="0" borderId="0" xfId="97" applyNumberFormat="1" applyFont="1" applyFill="1" applyAlignment="1" applyProtection="1">
      <alignment horizontal="right"/>
      <protection locked="0"/>
    </xf>
    <xf numFmtId="2" fontId="2" fillId="0" borderId="0" xfId="97" applyNumberFormat="1" applyFont="1" applyFill="1" applyAlignment="1" applyProtection="1">
      <alignment horizontal="center"/>
      <protection locked="0"/>
    </xf>
    <xf numFmtId="2" fontId="2" fillId="0" borderId="0" xfId="97" applyNumberFormat="1" applyFont="1" applyFill="1" applyAlignment="1">
      <alignment horizontal="right"/>
      <protection/>
    </xf>
    <xf numFmtId="0" fontId="2" fillId="0" borderId="0" xfId="97" applyFont="1" applyFill="1" quotePrefix="1">
      <alignment/>
      <protection/>
    </xf>
    <xf numFmtId="2" fontId="2" fillId="0" borderId="0" xfId="97" applyNumberFormat="1" applyFont="1" applyFill="1" applyProtection="1">
      <alignment/>
      <protection locked="0"/>
    </xf>
    <xf numFmtId="177" fontId="2" fillId="0" borderId="0" xfId="42" applyNumberFormat="1" applyFont="1" applyFill="1" applyAlignment="1" applyProtection="1">
      <alignment horizontal="right"/>
      <protection locked="0"/>
    </xf>
    <xf numFmtId="177" fontId="2" fillId="0" borderId="0" xfId="42" applyNumberFormat="1" applyFont="1" applyFill="1" applyAlignment="1">
      <alignment horizontal="right"/>
    </xf>
    <xf numFmtId="2" fontId="2" fillId="0" borderId="0" xfId="97" applyNumberFormat="1" applyFont="1" applyFill="1" applyAlignment="1" applyProtection="1">
      <alignment horizontal="fill"/>
      <protection/>
    </xf>
    <xf numFmtId="2" fontId="2" fillId="0" borderId="0" xfId="42" applyNumberFormat="1" applyFont="1" applyFill="1" applyAlignment="1" applyProtection="1">
      <alignment horizontal="right"/>
      <protection locked="0"/>
    </xf>
    <xf numFmtId="2" fontId="2" fillId="0" borderId="0" xfId="42" applyNumberFormat="1" applyFont="1" applyFill="1" applyAlignment="1">
      <alignment horizontal="right"/>
    </xf>
    <xf numFmtId="43" fontId="2" fillId="0" borderId="0" xfId="42" applyNumberFormat="1" applyFont="1" applyFill="1" applyAlignment="1" applyProtection="1">
      <alignment/>
      <protection locked="0"/>
    </xf>
    <xf numFmtId="4" fontId="2" fillId="0" borderId="0" xfId="42" applyNumberFormat="1" applyFont="1" applyFill="1" applyAlignment="1" applyProtection="1">
      <alignment horizontal="center"/>
      <protection locked="0"/>
    </xf>
    <xf numFmtId="4" fontId="2" fillId="0" borderId="0" xfId="42" applyNumberFormat="1" applyFont="1" applyFill="1" applyAlignment="1">
      <alignment horizontal="center"/>
    </xf>
    <xf numFmtId="4" fontId="2" fillId="0" borderId="0" xfId="42" applyNumberFormat="1" applyFont="1" applyFill="1" applyAlignment="1" applyProtection="1">
      <alignment/>
      <protection locked="0"/>
    </xf>
    <xf numFmtId="4" fontId="2" fillId="0" borderId="0" xfId="97" applyNumberFormat="1" applyFont="1" applyFill="1" applyAlignment="1" applyProtection="1">
      <alignment horizontal="fill"/>
      <protection/>
    </xf>
    <xf numFmtId="0" fontId="18" fillId="0" borderId="0" xfId="97" applyFont="1" applyFill="1" applyAlignment="1" applyProtection="1">
      <alignment horizontal="left"/>
      <protection/>
    </xf>
    <xf numFmtId="169" fontId="2" fillId="0" borderId="0" xfId="97" applyNumberFormat="1" applyFont="1" applyFill="1" applyAlignment="1" applyProtection="1">
      <alignment horizontal="left"/>
      <protection/>
    </xf>
    <xf numFmtId="0" fontId="3" fillId="0" borderId="0" xfId="97" applyFont="1" applyFill="1" applyAlignment="1">
      <alignment horizontal="center"/>
      <protection/>
    </xf>
    <xf numFmtId="3" fontId="10" fillId="0" borderId="0" xfId="97" applyNumberFormat="1" applyFont="1" applyFill="1" applyAlignment="1" applyProtection="1">
      <alignment horizontal="left"/>
      <protection/>
    </xf>
    <xf numFmtId="169" fontId="3" fillId="0" borderId="0" xfId="97" applyNumberFormat="1" applyFont="1" applyFill="1">
      <alignment/>
      <protection/>
    </xf>
    <xf numFmtId="5" fontId="2" fillId="0" borderId="0" xfId="97" applyNumberFormat="1" applyFont="1" applyFill="1" applyAlignment="1">
      <alignment horizontal="center"/>
      <protection/>
    </xf>
    <xf numFmtId="183" fontId="2" fillId="0" borderId="0" xfId="97" applyNumberFormat="1" applyFont="1" applyFill="1">
      <alignment/>
      <protection/>
    </xf>
    <xf numFmtId="183" fontId="2" fillId="0" borderId="0" xfId="97" applyNumberFormat="1" applyFont="1" applyFill="1" applyAlignment="1" applyProtection="1">
      <alignment horizontal="fill"/>
      <protection/>
    </xf>
    <xf numFmtId="183" fontId="2" fillId="0" borderId="0" xfId="42" applyNumberFormat="1" applyFont="1" applyFill="1" applyAlignment="1">
      <alignment horizontal="center"/>
    </xf>
    <xf numFmtId="183" fontId="2" fillId="0" borderId="0" xfId="97" applyNumberFormat="1" applyFont="1" applyFill="1" applyAlignment="1" applyProtection="1">
      <alignment horizontal="center"/>
      <protection/>
    </xf>
    <xf numFmtId="37" fontId="2" fillId="0" borderId="0" xfId="97" applyNumberFormat="1" applyFont="1" applyFill="1" applyBorder="1" applyAlignment="1" applyProtection="1">
      <alignment horizontal="center"/>
      <protection/>
    </xf>
    <xf numFmtId="183" fontId="3" fillId="0" borderId="0" xfId="97" applyNumberFormat="1" applyFont="1" applyFill="1">
      <alignment/>
      <protection/>
    </xf>
    <xf numFmtId="37" fontId="2" fillId="0" borderId="0" xfId="42" applyNumberFormat="1" applyFont="1" applyFill="1" applyAlignment="1">
      <alignment horizontal="right"/>
    </xf>
    <xf numFmtId="37" fontId="2" fillId="0" borderId="0" xfId="42" applyNumberFormat="1" applyFont="1" applyFill="1" applyAlignment="1" applyProtection="1">
      <alignment horizontal="center"/>
      <protection locked="0"/>
    </xf>
    <xf numFmtId="183" fontId="2" fillId="0" borderId="0" xfId="42" applyNumberFormat="1" applyFont="1" applyFill="1" applyAlignment="1" applyProtection="1">
      <alignment horizontal="center"/>
      <protection locked="0"/>
    </xf>
    <xf numFmtId="183" fontId="2" fillId="0" borderId="0" xfId="97" applyNumberFormat="1" applyFont="1" applyFill="1" applyAlignment="1">
      <alignment horizontal="center"/>
      <protection/>
    </xf>
    <xf numFmtId="183" fontId="2" fillId="34" borderId="0" xfId="97" applyNumberFormat="1" applyFont="1" applyFill="1">
      <alignment/>
      <protection/>
    </xf>
    <xf numFmtId="183" fontId="2" fillId="0" borderId="0" xfId="42" applyNumberFormat="1" applyFont="1" applyFill="1" applyAlignment="1">
      <alignment horizontal="right"/>
    </xf>
    <xf numFmtId="183" fontId="2" fillId="0" borderId="0" xfId="97" applyNumberFormat="1" applyFont="1" applyFill="1" applyAlignment="1">
      <alignment horizontal="right"/>
      <protection/>
    </xf>
    <xf numFmtId="183" fontId="2" fillId="0" borderId="0" xfId="42" applyNumberFormat="1" applyFont="1" applyFill="1" applyAlignment="1" applyProtection="1">
      <alignment horizontal="right"/>
      <protection locked="0"/>
    </xf>
    <xf numFmtId="4" fontId="2" fillId="0" borderId="0" xfId="42" applyNumberFormat="1" applyFont="1" applyFill="1" applyAlignment="1" applyProtection="1">
      <alignment horizontal="right"/>
      <protection locked="0"/>
    </xf>
    <xf numFmtId="43" fontId="2" fillId="0" borderId="0" xfId="97" applyNumberFormat="1" applyFont="1" applyFill="1" applyProtection="1">
      <alignment/>
      <protection locked="0"/>
    </xf>
    <xf numFmtId="39" fontId="2" fillId="0" borderId="0" xfId="42" applyNumberFormat="1" applyFont="1" applyFill="1" applyAlignment="1">
      <alignment horizontal="right"/>
    </xf>
    <xf numFmtId="183" fontId="2" fillId="0" borderId="0" xfId="97" applyNumberFormat="1" applyFont="1" applyFill="1" applyAlignment="1" applyProtection="1">
      <alignment horizontal="right"/>
      <protection locked="0"/>
    </xf>
    <xf numFmtId="175" fontId="2" fillId="34" borderId="0" xfId="42" applyNumberFormat="1" applyFont="1" applyFill="1" applyAlignment="1">
      <alignment/>
    </xf>
    <xf numFmtId="175" fontId="2" fillId="0" borderId="0" xfId="97" applyNumberFormat="1" applyFont="1" applyFill="1" applyAlignment="1">
      <alignment horizontal="left" indent="1"/>
      <protection/>
    </xf>
    <xf numFmtId="37" fontId="2" fillId="0" borderId="0" xfId="42" applyNumberFormat="1" applyFont="1" applyFill="1" applyAlignment="1" applyProtection="1">
      <alignment horizontal="right"/>
      <protection locked="0"/>
    </xf>
    <xf numFmtId="175" fontId="2" fillId="0" borderId="0" xfId="42" applyNumberFormat="1" applyFont="1" applyFill="1" applyAlignment="1" applyProtection="1" quotePrefix="1">
      <alignment horizontal="right"/>
      <protection/>
    </xf>
    <xf numFmtId="37" fontId="2" fillId="0" borderId="0" xfId="97" applyNumberFormat="1" applyFont="1" applyFill="1" applyBorder="1" applyAlignment="1" applyProtection="1">
      <alignment/>
      <protection/>
    </xf>
    <xf numFmtId="183" fontId="2" fillId="0" borderId="0" xfId="97" applyNumberFormat="1" applyFont="1" applyFill="1" applyBorder="1" applyAlignment="1" applyProtection="1">
      <alignment horizontal="fill"/>
      <protection/>
    </xf>
    <xf numFmtId="169" fontId="2" fillId="0" borderId="0" xfId="97" applyNumberFormat="1" applyFont="1" applyFill="1" applyBorder="1" applyAlignment="1" applyProtection="1">
      <alignment horizontal="fill"/>
      <protection/>
    </xf>
    <xf numFmtId="165" fontId="2" fillId="0" borderId="0" xfId="97" applyNumberFormat="1" applyFont="1" applyFill="1" applyBorder="1" applyAlignment="1" applyProtection="1">
      <alignment/>
      <protection/>
    </xf>
    <xf numFmtId="183" fontId="2" fillId="33" borderId="0" xfId="97" applyNumberFormat="1" applyFont="1" applyFill="1" applyAlignment="1" applyProtection="1">
      <alignment horizontal="right"/>
      <protection/>
    </xf>
    <xf numFmtId="3" fontId="2" fillId="33" borderId="0" xfId="97" applyNumberFormat="1" applyFont="1" applyFill="1" applyAlignment="1" applyProtection="1">
      <alignment horizontal="right"/>
      <protection/>
    </xf>
    <xf numFmtId="3" fontId="2" fillId="0" borderId="0" xfId="42" applyNumberFormat="1" applyFont="1" applyFill="1" applyAlignment="1">
      <alignment horizontal="right"/>
    </xf>
    <xf numFmtId="3" fontId="2" fillId="0" borderId="0" xfId="42" applyNumberFormat="1" applyFont="1" applyFill="1" applyAlignment="1" applyProtection="1">
      <alignment horizontal="right"/>
      <protection/>
    </xf>
    <xf numFmtId="39" fontId="2" fillId="0" borderId="0" xfId="42" applyNumberFormat="1" applyFont="1" applyFill="1" applyAlignment="1" applyProtection="1">
      <alignment horizontal="right"/>
      <protection/>
    </xf>
    <xf numFmtId="39" fontId="2" fillId="0" borderId="0" xfId="97" applyNumberFormat="1" applyFont="1" applyFill="1">
      <alignment/>
      <protection/>
    </xf>
    <xf numFmtId="39" fontId="2" fillId="0" borderId="0" xfId="42" applyNumberFormat="1" applyFont="1" applyFill="1" applyAlignment="1" applyProtection="1">
      <alignment horizontal="right"/>
      <protection locked="0"/>
    </xf>
    <xf numFmtId="39" fontId="2" fillId="0" borderId="0" xfId="97" applyNumberFormat="1" applyFont="1" applyFill="1" applyAlignment="1" applyProtection="1">
      <alignment horizontal="right"/>
      <protection/>
    </xf>
    <xf numFmtId="183" fontId="2" fillId="0" borderId="0" xfId="97" applyNumberFormat="1" applyFont="1" applyFill="1" applyProtection="1">
      <alignment/>
      <protection/>
    </xf>
    <xf numFmtId="183" fontId="17" fillId="0" borderId="0" xfId="97" applyNumberFormat="1" applyFont="1" applyFill="1">
      <alignment/>
      <protection/>
    </xf>
    <xf numFmtId="3" fontId="2" fillId="0" borderId="0" xfId="42" applyNumberFormat="1" applyFont="1" applyFill="1" applyAlignment="1">
      <alignment/>
    </xf>
    <xf numFmtId="175" fontId="2" fillId="0" borderId="0" xfId="42" applyNumberFormat="1" applyFont="1" applyFill="1" applyAlignment="1" applyProtection="1">
      <alignment/>
      <protection/>
    </xf>
    <xf numFmtId="4" fontId="2" fillId="0" borderId="0" xfId="97" applyNumberFormat="1" applyFont="1" applyFill="1">
      <alignment/>
      <protection/>
    </xf>
    <xf numFmtId="4" fontId="2" fillId="0" borderId="0" xfId="42" applyNumberFormat="1" applyFont="1" applyFill="1" applyAlignment="1" applyProtection="1">
      <alignment horizontal="right"/>
      <protection/>
    </xf>
    <xf numFmtId="4" fontId="2" fillId="0" borderId="0" xfId="42" applyNumberFormat="1" applyFont="1" applyFill="1" applyAlignment="1">
      <alignment horizontal="right"/>
    </xf>
    <xf numFmtId="183" fontId="2" fillId="33" borderId="0" xfId="97" applyNumberFormat="1" applyFont="1" applyFill="1" applyAlignment="1" applyProtection="1">
      <alignment horizontal="fill"/>
      <protection/>
    </xf>
    <xf numFmtId="37" fontId="2" fillId="0" borderId="0" xfId="97" applyNumberFormat="1" applyFont="1" applyFill="1" applyAlignment="1">
      <alignment horizontal="right"/>
      <protection/>
    </xf>
    <xf numFmtId="3" fontId="2" fillId="0" borderId="0" xfId="97" applyNumberFormat="1" applyFont="1" applyFill="1" applyAlignment="1">
      <alignment horizontal="right"/>
      <protection/>
    </xf>
    <xf numFmtId="41" fontId="2" fillId="0" borderId="0" xfId="97" applyNumberFormat="1" applyFont="1" applyFill="1" applyAlignment="1">
      <alignment/>
      <protection/>
    </xf>
    <xf numFmtId="37" fontId="2" fillId="33" borderId="0" xfId="97" applyNumberFormat="1" applyFont="1" applyFill="1" applyAlignment="1">
      <alignment horizontal="right"/>
      <protection/>
    </xf>
    <xf numFmtId="169" fontId="2" fillId="0" borderId="0" xfId="97" applyNumberFormat="1" applyFont="1" applyFill="1" applyAlignment="1">
      <alignment horizontal="center"/>
      <protection/>
    </xf>
    <xf numFmtId="175" fontId="2" fillId="0" borderId="0" xfId="42" applyNumberFormat="1" applyFont="1" applyAlignment="1">
      <alignment/>
    </xf>
    <xf numFmtId="175" fontId="2" fillId="0" borderId="0" xfId="97" applyNumberFormat="1" applyFont="1" applyFill="1" quotePrefix="1">
      <alignment/>
      <protection/>
    </xf>
    <xf numFmtId="39" fontId="2" fillId="0" borderId="0" xfId="97" applyNumberFormat="1" applyFont="1" applyFill="1" applyAlignment="1">
      <alignment horizontal="right"/>
      <protection/>
    </xf>
    <xf numFmtId="175" fontId="2" fillId="34" borderId="0" xfId="42" applyNumberFormat="1" applyFont="1" applyFill="1" applyAlignment="1">
      <alignment/>
    </xf>
    <xf numFmtId="41" fontId="2" fillId="34" borderId="0" xfId="97" applyNumberFormat="1" applyFont="1" applyFill="1" applyProtection="1">
      <alignment/>
      <protection locked="0"/>
    </xf>
    <xf numFmtId="43" fontId="2" fillId="0" borderId="0" xfId="97" applyNumberFormat="1" applyFont="1" applyFill="1">
      <alignment/>
      <protection/>
    </xf>
    <xf numFmtId="3" fontId="2" fillId="0" borderId="0" xfId="42" applyNumberFormat="1" applyFont="1" applyFill="1" applyAlignment="1" applyProtection="1">
      <alignment horizontal="right"/>
      <protection locked="0"/>
    </xf>
    <xf numFmtId="39" fontId="2" fillId="0" borderId="0" xfId="42" applyNumberFormat="1" applyFont="1" applyFill="1" applyAlignment="1">
      <alignment horizontal="center"/>
    </xf>
    <xf numFmtId="175" fontId="2" fillId="0" borderId="0" xfId="97" applyNumberFormat="1" applyFont="1" applyFill="1">
      <alignment/>
      <protection/>
    </xf>
    <xf numFmtId="0" fontId="6" fillId="0" borderId="0" xfId="97" applyFont="1" applyFill="1">
      <alignment/>
      <protection/>
    </xf>
    <xf numFmtId="0" fontId="2" fillId="0" borderId="0" xfId="0" applyFont="1" applyFill="1" applyAlignment="1" applyProtection="1">
      <alignment/>
      <protection/>
    </xf>
    <xf numFmtId="5" fontId="2" fillId="0" borderId="0" xfId="0" applyNumberFormat="1" applyFont="1" applyFill="1" applyAlignment="1" applyProtection="1">
      <alignment horizontal="center"/>
      <protection/>
    </xf>
    <xf numFmtId="5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 applyProtection="1">
      <alignment horizontal="fill"/>
      <protection/>
    </xf>
    <xf numFmtId="0" fontId="2" fillId="0" borderId="0" xfId="0" applyFont="1" applyFill="1" applyBorder="1" applyAlignment="1">
      <alignment horizontal="left" wrapText="1"/>
    </xf>
    <xf numFmtId="184" fontId="2" fillId="0" borderId="0" xfId="83" applyNumberFormat="1" applyFont="1" applyBorder="1" applyAlignment="1">
      <alignment horizontal="left" wrapText="1"/>
    </xf>
    <xf numFmtId="0" fontId="2" fillId="0" borderId="0" xfId="0" applyFont="1" applyFill="1" applyBorder="1" applyAlignment="1">
      <alignment/>
    </xf>
    <xf numFmtId="5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vertical="top"/>
      <protection/>
    </xf>
    <xf numFmtId="5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84" fontId="20" fillId="0" borderId="0" xfId="83" applyNumberFormat="1" applyFont="1" applyBorder="1" applyAlignment="1">
      <alignment wrapText="1"/>
    </xf>
    <xf numFmtId="5" fontId="2" fillId="0" borderId="0" xfId="0" applyNumberFormat="1" applyFont="1" applyFill="1" applyAlignment="1" applyProtection="1">
      <alignment/>
      <protection locked="0"/>
    </xf>
    <xf numFmtId="165" fontId="2" fillId="0" borderId="0" xfId="0" applyNumberFormat="1" applyFont="1" applyFill="1" applyAlignment="1" applyProtection="1" quotePrefix="1">
      <alignment horizontal="fill"/>
      <protection/>
    </xf>
    <xf numFmtId="5" fontId="2" fillId="0" borderId="0" xfId="0" applyNumberFormat="1" applyFont="1" applyFill="1" applyAlignment="1" applyProtection="1">
      <alignment horizontal="fill"/>
      <protection/>
    </xf>
    <xf numFmtId="184" fontId="20" fillId="0" borderId="0" xfId="83" applyNumberFormat="1" applyFont="1" applyBorder="1" applyAlignment="1" quotePrefix="1">
      <alignment horizontal="left" wrapText="1"/>
    </xf>
    <xf numFmtId="184" fontId="20" fillId="0" borderId="0" xfId="83" applyNumberFormat="1" applyFont="1" applyBorder="1" applyAlignment="1">
      <alignment horizontal="left" wrapText="1"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Fill="1" applyAlignment="1" applyProtection="1">
      <alignment horizontal="fill"/>
      <protection/>
    </xf>
    <xf numFmtId="0" fontId="2" fillId="0" borderId="0" xfId="0" applyFont="1" applyAlignment="1">
      <alignment horizontal="left"/>
    </xf>
    <xf numFmtId="165" fontId="2" fillId="0" borderId="0" xfId="0" applyNumberFormat="1" applyFont="1" applyFill="1" applyAlignment="1" applyProtection="1">
      <alignment horizontal="left"/>
      <protection/>
    </xf>
    <xf numFmtId="37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right"/>
      <protection/>
    </xf>
    <xf numFmtId="5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wrapText="1"/>
      <protection/>
    </xf>
    <xf numFmtId="0" fontId="2" fillId="0" borderId="0" xfId="0" applyNumberFormat="1" applyFont="1" applyFill="1" applyAlignment="1" applyProtection="1">
      <alignment horizontal="fill"/>
      <protection/>
    </xf>
    <xf numFmtId="37" fontId="2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fill"/>
      <protection/>
    </xf>
    <xf numFmtId="0" fontId="2" fillId="0" borderId="0" xfId="0" applyFont="1" applyAlignment="1" applyProtection="1">
      <alignment horizontal="fill" wrapText="1"/>
      <protection/>
    </xf>
    <xf numFmtId="37" fontId="2" fillId="0" borderId="0" xfId="0" applyNumberFormat="1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164" fontId="2" fillId="0" borderId="0" xfId="0" applyNumberFormat="1" applyFont="1" applyAlignment="1" applyProtection="1">
      <alignment horizontal="center"/>
      <protection/>
    </xf>
    <xf numFmtId="37" fontId="2" fillId="0" borderId="10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39" fontId="2" fillId="0" borderId="0" xfId="0" applyNumberFormat="1" applyFont="1" applyAlignment="1" applyProtection="1">
      <alignment horizontal="center"/>
      <protection/>
    </xf>
    <xf numFmtId="37" fontId="2" fillId="0" borderId="0" xfId="0" applyNumberFormat="1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/>
      <protection/>
    </xf>
    <xf numFmtId="3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65" fontId="2" fillId="0" borderId="0" xfId="0" applyNumberFormat="1" applyFont="1" applyAlignment="1" applyProtection="1">
      <alignment horizontal="fill"/>
      <protection/>
    </xf>
    <xf numFmtId="164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 locked="0"/>
    </xf>
    <xf numFmtId="37" fontId="2" fillId="0" borderId="0" xfId="0" applyNumberFormat="1" applyFont="1" applyFill="1" applyAlignment="1" applyProtection="1">
      <alignment/>
      <protection locked="0"/>
    </xf>
    <xf numFmtId="1" fontId="2" fillId="0" borderId="0" xfId="0" applyNumberFormat="1" applyFont="1" applyAlignment="1">
      <alignment/>
    </xf>
    <xf numFmtId="37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165" fontId="2" fillId="0" borderId="0" xfId="0" applyNumberFormat="1" applyFont="1" applyFill="1" applyAlignment="1" applyProtection="1">
      <alignment/>
      <protection/>
    </xf>
    <xf numFmtId="165" fontId="2" fillId="0" borderId="0" xfId="0" applyNumberFormat="1" applyFont="1" applyFill="1" applyAlignment="1" applyProtection="1">
      <alignment horizontal="center"/>
      <protection/>
    </xf>
    <xf numFmtId="37" fontId="10" fillId="0" borderId="0" xfId="0" applyNumberFormat="1" applyFont="1" applyAlignment="1" applyProtection="1">
      <alignment horizontal="left"/>
      <protection/>
    </xf>
    <xf numFmtId="0" fontId="2" fillId="34" borderId="0" xfId="0" applyFont="1" applyFill="1" applyAlignment="1">
      <alignment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Fill="1" applyAlignment="1">
      <alignment horizontal="right"/>
    </xf>
    <xf numFmtId="165" fontId="2" fillId="34" borderId="0" xfId="0" applyNumberFormat="1" applyFont="1" applyFill="1" applyAlignment="1" applyProtection="1">
      <alignment/>
      <protection locked="0"/>
    </xf>
    <xf numFmtId="37" fontId="2" fillId="34" borderId="0" xfId="0" applyNumberFormat="1" applyFont="1" applyFill="1" applyAlignment="1" applyProtection="1">
      <alignment/>
      <protection locked="0"/>
    </xf>
    <xf numFmtId="0" fontId="2" fillId="34" borderId="0" xfId="0" applyFont="1" applyFill="1" applyAlignment="1" applyProtection="1">
      <alignment/>
      <protection locked="0"/>
    </xf>
    <xf numFmtId="0" fontId="2" fillId="34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 horizontal="left"/>
      <protection/>
    </xf>
    <xf numFmtId="37" fontId="2" fillId="34" borderId="0" xfId="0" applyNumberFormat="1" applyFont="1" applyFill="1" applyAlignment="1" applyProtection="1">
      <alignment/>
      <protection/>
    </xf>
    <xf numFmtId="165" fontId="2" fillId="34" borderId="0" xfId="0" applyNumberFormat="1" applyFont="1" applyFill="1" applyAlignment="1" applyProtection="1">
      <alignment/>
      <protection/>
    </xf>
    <xf numFmtId="37" fontId="2" fillId="34" borderId="0" xfId="0" applyNumberFormat="1" applyFont="1" applyFill="1" applyAlignment="1" applyProtection="1">
      <alignment horizontal="fill"/>
      <protection/>
    </xf>
    <xf numFmtId="0" fontId="2" fillId="34" borderId="0" xfId="0" applyFont="1" applyFill="1" applyAlignment="1" applyProtection="1">
      <alignment horizontal="fill"/>
      <protection/>
    </xf>
    <xf numFmtId="37" fontId="2" fillId="34" borderId="0" xfId="0" applyNumberFormat="1" applyFont="1" applyFill="1" applyAlignment="1" applyProtection="1">
      <alignment horizontal="center"/>
      <protection/>
    </xf>
    <xf numFmtId="39" fontId="2" fillId="34" borderId="0" xfId="0" applyNumberFormat="1" applyFont="1" applyFill="1" applyAlignment="1" applyProtection="1">
      <alignment horizontal="center"/>
      <protection/>
    </xf>
    <xf numFmtId="164" fontId="2" fillId="34" borderId="0" xfId="0" applyNumberFormat="1" applyFont="1" applyFill="1" applyAlignment="1" applyProtection="1">
      <alignment horizontal="center"/>
      <protection/>
    </xf>
    <xf numFmtId="0" fontId="2" fillId="34" borderId="0" xfId="0" applyFont="1" applyFill="1" applyAlignment="1" applyProtection="1">
      <alignment horizontal="center"/>
      <protection/>
    </xf>
    <xf numFmtId="165" fontId="2" fillId="34" borderId="0" xfId="0" applyNumberFormat="1" applyFont="1" applyFill="1" applyAlignment="1" applyProtection="1">
      <alignment horizontal="center"/>
      <protection/>
    </xf>
    <xf numFmtId="39" fontId="2" fillId="34" borderId="0" xfId="0" applyNumberFormat="1" applyFont="1" applyFill="1" applyAlignment="1" applyProtection="1">
      <alignment/>
      <protection/>
    </xf>
    <xf numFmtId="0" fontId="2" fillId="34" borderId="0" xfId="0" applyFont="1" applyFill="1" applyAlignment="1" applyProtection="1">
      <alignment horizontal="left"/>
      <protection locked="0"/>
    </xf>
    <xf numFmtId="37" fontId="2" fillId="34" borderId="0" xfId="0" applyNumberFormat="1" applyFont="1" applyFill="1" applyAlignment="1" applyProtection="1">
      <alignment horizontal="right"/>
      <protection/>
    </xf>
    <xf numFmtId="164" fontId="2" fillId="34" borderId="0" xfId="0" applyNumberFormat="1" applyFont="1" applyFill="1" applyAlignment="1" applyProtection="1">
      <alignment/>
      <protection/>
    </xf>
    <xf numFmtId="37" fontId="2" fillId="36" borderId="0" xfId="0" applyNumberFormat="1" applyFont="1" applyFill="1" applyAlignment="1" applyProtection="1">
      <alignment/>
      <protection/>
    </xf>
    <xf numFmtId="39" fontId="2" fillId="36" borderId="0" xfId="0" applyNumberFormat="1" applyFont="1" applyFill="1" applyAlignment="1" applyProtection="1">
      <alignment/>
      <protection/>
    </xf>
    <xf numFmtId="164" fontId="2" fillId="36" borderId="0" xfId="0" applyNumberFormat="1" applyFont="1" applyFill="1" applyAlignment="1" applyProtection="1">
      <alignment/>
      <protection/>
    </xf>
    <xf numFmtId="0" fontId="2" fillId="36" borderId="0" xfId="0" applyFont="1" applyFill="1" applyAlignment="1">
      <alignment/>
    </xf>
    <xf numFmtId="0" fontId="2" fillId="0" borderId="0" xfId="0" applyFont="1" applyAlignment="1">
      <alignment horizontal="right"/>
    </xf>
    <xf numFmtId="165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39" fontId="2" fillId="0" borderId="0" xfId="0" applyNumberFormat="1" applyFont="1" applyFill="1" applyAlignment="1" applyProtection="1">
      <alignment/>
      <protection locked="0"/>
    </xf>
    <xf numFmtId="3" fontId="2" fillId="0" borderId="0" xfId="0" applyNumberFormat="1" applyFont="1" applyAlignment="1">
      <alignment/>
    </xf>
    <xf numFmtId="37" fontId="10" fillId="0" borderId="0" xfId="0" applyNumberFormat="1" applyFont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3" fontId="2" fillId="0" borderId="0" xfId="0" applyNumberFormat="1" applyFont="1" applyAlignment="1" applyProtection="1">
      <alignment/>
      <protection/>
    </xf>
    <xf numFmtId="181" fontId="2" fillId="0" borderId="0" xfId="0" applyNumberFormat="1" applyFont="1" applyAlignment="1" applyProtection="1">
      <alignment/>
      <protection/>
    </xf>
    <xf numFmtId="181" fontId="2" fillId="0" borderId="0" xfId="0" applyNumberFormat="1" applyFont="1" applyAlignment="1" applyProtection="1">
      <alignment/>
      <protection locked="0"/>
    </xf>
    <xf numFmtId="181" fontId="2" fillId="0" borderId="0" xfId="0" applyNumberFormat="1" applyFont="1" applyFill="1" applyAlignment="1" applyProtection="1">
      <alignment/>
      <protection/>
    </xf>
    <xf numFmtId="39" fontId="2" fillId="0" borderId="0" xfId="0" applyNumberFormat="1" applyFont="1" applyFill="1" applyAlignment="1" applyProtection="1">
      <alignment horizontal="center"/>
      <protection locked="0"/>
    </xf>
    <xf numFmtId="181" fontId="2" fillId="0" borderId="0" xfId="0" applyNumberFormat="1" applyFont="1" applyFill="1" applyAlignment="1" applyProtection="1">
      <alignment/>
      <protection locked="0"/>
    </xf>
    <xf numFmtId="169" fontId="2" fillId="0" borderId="0" xfId="0" applyNumberFormat="1" applyFont="1" applyAlignment="1" applyProtection="1">
      <alignment/>
      <protection/>
    </xf>
    <xf numFmtId="182" fontId="2" fillId="0" borderId="0" xfId="0" applyNumberFormat="1" applyFont="1" applyAlignment="1" applyProtection="1">
      <alignment/>
      <protection locked="0"/>
    </xf>
    <xf numFmtId="180" fontId="2" fillId="0" borderId="0" xfId="0" applyNumberFormat="1" applyFont="1" applyAlignment="1">
      <alignment/>
    </xf>
    <xf numFmtId="37" fontId="2" fillId="0" borderId="0" xfId="0" applyNumberFormat="1" applyFont="1" applyAlignment="1" applyProtection="1">
      <alignment horizontal="left"/>
      <protection/>
    </xf>
    <xf numFmtId="1" fontId="2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Fill="1" applyAlignment="1" applyProtection="1">
      <alignment horizontal="right"/>
      <protection/>
    </xf>
    <xf numFmtId="165" fontId="2" fillId="34" borderId="0" xfId="0" applyNumberFormat="1" applyFont="1" applyFill="1" applyAlignment="1" applyProtection="1">
      <alignment horizontal="fill"/>
      <protection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37" fontId="2" fillId="6" borderId="0" xfId="0" applyNumberFormat="1" applyFont="1" applyFill="1" applyAlignment="1" applyProtection="1">
      <alignment/>
      <protection/>
    </xf>
    <xf numFmtId="165" fontId="2" fillId="6" borderId="0" xfId="0" applyNumberFormat="1" applyFont="1" applyFill="1" applyAlignment="1" applyProtection="1">
      <alignment horizontal="fill"/>
      <protection/>
    </xf>
    <xf numFmtId="0" fontId="2" fillId="6" borderId="0" xfId="0" applyFont="1" applyFill="1" applyAlignment="1">
      <alignment/>
    </xf>
    <xf numFmtId="165" fontId="2" fillId="0" borderId="0" xfId="0" applyNumberFormat="1" applyFont="1" applyAlignment="1">
      <alignment/>
    </xf>
    <xf numFmtId="37" fontId="2" fillId="0" borderId="0" xfId="0" applyNumberFormat="1" applyFont="1" applyAlignment="1" applyProtection="1">
      <alignment horizontal="right"/>
      <protection locked="0"/>
    </xf>
    <xf numFmtId="169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3" fontId="2" fillId="0" borderId="0" xfId="0" applyNumberFormat="1" applyFont="1" applyAlignment="1" applyProtection="1">
      <alignment horizontal="center"/>
      <protection/>
    </xf>
    <xf numFmtId="167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>
      <alignment horizontal="center"/>
    </xf>
    <xf numFmtId="39" fontId="2" fillId="0" borderId="0" xfId="0" applyNumberFormat="1" applyFont="1" applyAlignment="1" applyProtection="1">
      <alignment/>
      <protection locked="0"/>
    </xf>
    <xf numFmtId="37" fontId="2" fillId="0" borderId="0" xfId="0" applyNumberFormat="1" applyFont="1" applyFill="1" applyAlignment="1" applyProtection="1">
      <alignment horizontal="right"/>
      <protection/>
    </xf>
    <xf numFmtId="37" fontId="2" fillId="6" borderId="0" xfId="0" applyNumberFormat="1" applyFont="1" applyFill="1" applyAlignment="1">
      <alignment/>
    </xf>
    <xf numFmtId="39" fontId="2" fillId="6" borderId="0" xfId="0" applyNumberFormat="1" applyFont="1" applyFill="1" applyAlignment="1" applyProtection="1">
      <alignment horizontal="fill"/>
      <protection/>
    </xf>
    <xf numFmtId="0" fontId="2" fillId="6" borderId="0" xfId="0" applyFont="1" applyFill="1" applyAlignment="1" applyProtection="1">
      <alignment horizontal="right"/>
      <protection/>
    </xf>
    <xf numFmtId="0" fontId="2" fillId="6" borderId="0" xfId="0" applyFont="1" applyFill="1" applyAlignment="1" applyProtection="1">
      <alignment horizontal="fill"/>
      <protection/>
    </xf>
    <xf numFmtId="39" fontId="2" fillId="0" borderId="0" xfId="0" applyNumberFormat="1" applyFont="1" applyAlignment="1" applyProtection="1">
      <alignment horizontal="fill"/>
      <protection/>
    </xf>
    <xf numFmtId="166" fontId="10" fillId="0" borderId="0" xfId="0" applyNumberFormat="1" applyFont="1" applyFill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165" fontId="2" fillId="0" borderId="0" xfId="0" applyNumberFormat="1" applyFont="1" applyAlignment="1" applyProtection="1">
      <alignment horizontal="center"/>
      <protection/>
    </xf>
    <xf numFmtId="175" fontId="2" fillId="0" borderId="0" xfId="0" applyNumberFormat="1" applyFont="1" applyFill="1" applyAlignment="1">
      <alignment/>
    </xf>
    <xf numFmtId="3" fontId="9" fillId="0" borderId="0" xfId="97" applyNumberFormat="1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41" fontId="2" fillId="0" borderId="0" xfId="0" applyNumberFormat="1" applyFont="1" applyFill="1" applyAlignment="1">
      <alignment horizontal="center"/>
    </xf>
    <xf numFmtId="179" fontId="2" fillId="0" borderId="0" xfId="0" applyNumberFormat="1" applyFont="1" applyFill="1" applyAlignment="1">
      <alignment horizontal="center"/>
    </xf>
    <xf numFmtId="41" fontId="2" fillId="0" borderId="0" xfId="97" applyNumberFormat="1" applyFont="1" applyFill="1">
      <alignment/>
      <protection/>
    </xf>
    <xf numFmtId="37" fontId="3" fillId="0" borderId="0" xfId="0" applyNumberFormat="1" applyFont="1" applyFill="1" applyAlignment="1" applyProtection="1">
      <alignment horizontal="center"/>
      <protection/>
    </xf>
    <xf numFmtId="3" fontId="3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right"/>
    </xf>
    <xf numFmtId="166" fontId="2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>
      <alignment/>
    </xf>
    <xf numFmtId="41" fontId="2" fillId="0" borderId="0" xfId="0" applyNumberFormat="1" applyFont="1" applyFill="1" applyAlignment="1" applyProtection="1">
      <alignment horizontal="fill"/>
      <protection/>
    </xf>
    <xf numFmtId="37" fontId="2" fillId="33" borderId="0" xfId="0" applyNumberFormat="1" applyFont="1" applyFill="1" applyAlignment="1" applyProtection="1">
      <alignment horizontal="right"/>
      <protection/>
    </xf>
    <xf numFmtId="165" fontId="2" fillId="33" borderId="0" xfId="0" applyNumberFormat="1" applyFont="1" applyFill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/>
      <protection/>
    </xf>
    <xf numFmtId="169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Alignment="1" applyProtection="1">
      <alignment/>
      <protection/>
    </xf>
    <xf numFmtId="39" fontId="3" fillId="0" borderId="0" xfId="0" applyNumberFormat="1" applyFont="1" applyFill="1" applyAlignment="1" applyProtection="1">
      <alignment/>
      <protection/>
    </xf>
    <xf numFmtId="37" fontId="3" fillId="0" borderId="0" xfId="0" applyNumberFormat="1" applyFont="1" applyFill="1" applyAlignment="1" applyProtection="1">
      <alignment/>
      <protection/>
    </xf>
    <xf numFmtId="0" fontId="17" fillId="0" borderId="0" xfId="0" applyFont="1" applyFill="1" applyAlignment="1">
      <alignment/>
    </xf>
    <xf numFmtId="169" fontId="17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0" fontId="17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 quotePrefix="1">
      <alignment horizontal="left"/>
      <protection/>
    </xf>
    <xf numFmtId="37" fontId="3" fillId="0" borderId="0" xfId="0" applyNumberFormat="1" applyFont="1" applyFill="1" applyAlignment="1" applyProtection="1" quotePrefix="1">
      <alignment horizontal="left"/>
      <protection locked="0"/>
    </xf>
    <xf numFmtId="2" fontId="2" fillId="0" borderId="0" xfId="0" applyNumberFormat="1" applyFont="1" applyFill="1" applyAlignment="1" applyProtection="1">
      <alignment horizontal="right"/>
      <protection/>
    </xf>
    <xf numFmtId="2" fontId="2" fillId="0" borderId="0" xfId="0" applyNumberFormat="1" applyFont="1" applyFill="1" applyAlignment="1">
      <alignment/>
    </xf>
    <xf numFmtId="43" fontId="2" fillId="0" borderId="0" xfId="0" applyNumberFormat="1" applyFont="1" applyFill="1" applyAlignment="1">
      <alignment horizontal="right"/>
    </xf>
    <xf numFmtId="169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right" wrapText="1"/>
    </xf>
    <xf numFmtId="43" fontId="2" fillId="0" borderId="0" xfId="0" applyNumberFormat="1" applyFont="1" applyFill="1" applyAlignment="1" applyProtection="1">
      <alignment horizontal="fill"/>
      <protection/>
    </xf>
    <xf numFmtId="0" fontId="2" fillId="33" borderId="0" xfId="0" applyFont="1" applyFill="1" applyAlignment="1">
      <alignment wrapText="1"/>
    </xf>
    <xf numFmtId="165" fontId="2" fillId="33" borderId="0" xfId="0" applyNumberFormat="1" applyFont="1" applyFill="1" applyAlignment="1" applyProtection="1">
      <alignment horizontal="fill"/>
      <protection/>
    </xf>
    <xf numFmtId="3" fontId="3" fillId="0" borderId="0" xfId="0" applyNumberFormat="1" applyFont="1" applyFill="1" applyAlignment="1" applyProtection="1">
      <alignment horizontal="left"/>
      <protection/>
    </xf>
    <xf numFmtId="0" fontId="10" fillId="0" borderId="0" xfId="0" applyFont="1" applyFill="1" applyAlignment="1">
      <alignment/>
    </xf>
    <xf numFmtId="1" fontId="2" fillId="0" borderId="0" xfId="0" applyNumberFormat="1" applyFont="1" applyFill="1" applyAlignment="1">
      <alignment horizontal="right"/>
    </xf>
    <xf numFmtId="169" fontId="10" fillId="0" borderId="0" xfId="0" applyNumberFormat="1" applyFont="1" applyFill="1" applyAlignment="1" applyProtection="1">
      <alignment horizontal="left"/>
      <protection/>
    </xf>
    <xf numFmtId="0" fontId="2" fillId="35" borderId="0" xfId="0" applyFont="1" applyFill="1" applyAlignment="1" applyProtection="1">
      <alignment/>
      <protection/>
    </xf>
    <xf numFmtId="0" fontId="2" fillId="35" borderId="0" xfId="0" applyFont="1" applyFill="1" applyAlignment="1">
      <alignment/>
    </xf>
    <xf numFmtId="0" fontId="2" fillId="35" borderId="0" xfId="0" applyFont="1" applyFill="1" applyAlignment="1" applyProtection="1">
      <alignment horizontal="left" wrapText="1"/>
      <protection/>
    </xf>
    <xf numFmtId="0" fontId="2" fillId="35" borderId="0" xfId="0" applyFont="1" applyFill="1" applyAlignment="1" applyProtection="1">
      <alignment/>
      <protection locked="0"/>
    </xf>
    <xf numFmtId="0" fontId="2" fillId="35" borderId="0" xfId="0" applyFont="1" applyFill="1" applyAlignment="1" applyProtection="1">
      <alignment horizontal="left"/>
      <protection/>
    </xf>
    <xf numFmtId="2" fontId="2" fillId="0" borderId="0" xfId="0" applyNumberFormat="1" applyFont="1" applyFill="1" applyAlignment="1" applyProtection="1">
      <alignment horizontal="right"/>
      <protection locked="0"/>
    </xf>
    <xf numFmtId="2" fontId="2" fillId="0" borderId="0" xfId="0" applyNumberFormat="1" applyFont="1" applyFill="1" applyAlignment="1" applyProtection="1">
      <alignment horizontal="center"/>
      <protection locked="0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 quotePrefix="1">
      <alignment/>
    </xf>
    <xf numFmtId="2" fontId="2" fillId="0" borderId="0" xfId="0" applyNumberFormat="1" applyFont="1" applyFill="1" applyAlignment="1" applyProtection="1">
      <alignment/>
      <protection locked="0"/>
    </xf>
    <xf numFmtId="2" fontId="2" fillId="0" borderId="0" xfId="0" applyNumberFormat="1" applyFont="1" applyFill="1" applyAlignment="1" applyProtection="1">
      <alignment horizontal="fill"/>
      <protection/>
    </xf>
    <xf numFmtId="175" fontId="2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 applyProtection="1">
      <alignment horizontal="fill"/>
      <protection/>
    </xf>
    <xf numFmtId="0" fontId="18" fillId="0" borderId="0" xfId="0" applyFont="1" applyFill="1" applyAlignment="1" applyProtection="1">
      <alignment horizontal="left"/>
      <protection/>
    </xf>
    <xf numFmtId="175" fontId="2" fillId="0" borderId="0" xfId="0" applyNumberFormat="1" applyFont="1" applyFill="1" applyAlignment="1" applyProtection="1">
      <alignment horizontal="center"/>
      <protection locked="0"/>
    </xf>
    <xf numFmtId="169" fontId="2" fillId="35" borderId="0" xfId="0" applyNumberFormat="1" applyFont="1" applyFill="1" applyAlignment="1" applyProtection="1">
      <alignment/>
      <protection/>
    </xf>
    <xf numFmtId="3" fontId="2" fillId="35" borderId="0" xfId="0" applyNumberFormat="1" applyFont="1" applyFill="1" applyAlignment="1" applyProtection="1">
      <alignment/>
      <protection/>
    </xf>
    <xf numFmtId="169" fontId="2" fillId="0" borderId="0" xfId="0" applyNumberFormat="1" applyFont="1" applyFill="1" applyAlignment="1" applyProtection="1">
      <alignment horizontal="left"/>
      <protection/>
    </xf>
    <xf numFmtId="0" fontId="3" fillId="0" borderId="0" xfId="0" applyFont="1" applyFill="1" applyAlignment="1">
      <alignment horizontal="center"/>
    </xf>
    <xf numFmtId="3" fontId="10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Alignment="1">
      <alignment horizontal="left"/>
    </xf>
    <xf numFmtId="169" fontId="3" fillId="0" borderId="0" xfId="0" applyNumberFormat="1" applyFont="1" applyFill="1" applyAlignment="1">
      <alignment/>
    </xf>
    <xf numFmtId="0" fontId="2" fillId="37" borderId="0" xfId="0" applyFont="1" applyFill="1" applyAlignment="1">
      <alignment/>
    </xf>
    <xf numFmtId="0" fontId="2" fillId="37" borderId="0" xfId="0" applyFont="1" applyFill="1" applyAlignment="1" applyProtection="1">
      <alignment horizontal="right"/>
      <protection/>
    </xf>
    <xf numFmtId="0" fontId="2" fillId="37" borderId="0" xfId="0" applyFont="1" applyFill="1" applyAlignment="1" applyProtection="1">
      <alignment horizontal="fill"/>
      <protection/>
    </xf>
    <xf numFmtId="175" fontId="2" fillId="37" borderId="0" xfId="42" applyNumberFormat="1" applyFont="1" applyFill="1" applyAlignment="1">
      <alignment horizontal="center"/>
    </xf>
    <xf numFmtId="39" fontId="3" fillId="0" borderId="0" xfId="0" applyNumberFormat="1" applyFont="1" applyFill="1" applyAlignment="1" applyProtection="1">
      <alignment horizontal="center"/>
      <protection/>
    </xf>
    <xf numFmtId="37" fontId="3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3" fillId="0" borderId="0" xfId="97" applyFont="1" applyFill="1" applyAlignment="1">
      <alignment horizontal="center"/>
      <protection/>
    </xf>
    <xf numFmtId="39" fontId="3" fillId="0" borderId="0" xfId="97" applyNumberFormat="1" applyFont="1" applyFill="1" applyAlignment="1" applyProtection="1">
      <alignment horizontal="center"/>
      <protection/>
    </xf>
    <xf numFmtId="0" fontId="4" fillId="0" borderId="0" xfId="97" applyFont="1" applyFill="1" applyAlignment="1">
      <alignment horizontal="left"/>
      <protection/>
    </xf>
    <xf numFmtId="0" fontId="5" fillId="0" borderId="0" xfId="97" applyFont="1" applyFill="1" applyAlignment="1">
      <alignment horizontal="left"/>
      <protection/>
    </xf>
    <xf numFmtId="0" fontId="7" fillId="0" borderId="0" xfId="97" applyFont="1" applyFill="1" applyAlignment="1">
      <alignment horizontal="center"/>
      <protection/>
    </xf>
    <xf numFmtId="39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 locked="0"/>
    </xf>
    <xf numFmtId="37" fontId="2" fillId="0" borderId="10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49" fontId="2" fillId="0" borderId="0" xfId="0" applyNumberFormat="1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164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7" fontId="2" fillId="0" borderId="0" xfId="0" applyNumberFormat="1" applyFont="1" applyFill="1" applyAlignment="1" applyProtection="1">
      <alignment horizontal="center"/>
      <protection/>
    </xf>
    <xf numFmtId="165" fontId="3" fillId="0" borderId="0" xfId="0" applyNumberFormat="1" applyFont="1" applyFill="1" applyAlignment="1" applyProtection="1">
      <alignment horizontal="center"/>
      <protection/>
    </xf>
    <xf numFmtId="164" fontId="3" fillId="0" borderId="0" xfId="97" applyNumberFormat="1" applyFont="1" applyFill="1" applyAlignment="1" applyProtection="1">
      <alignment horizontal="center"/>
      <protection/>
    </xf>
    <xf numFmtId="37" fontId="2" fillId="0" borderId="0" xfId="97" applyNumberFormat="1" applyFont="1" applyFill="1" applyAlignment="1" applyProtection="1">
      <alignment horizontal="center"/>
      <protection/>
    </xf>
    <xf numFmtId="37" fontId="2" fillId="0" borderId="10" xfId="97" applyNumberFormat="1" applyFont="1" applyFill="1" applyBorder="1" applyAlignment="1" applyProtection="1">
      <alignment horizontal="center"/>
      <protection/>
    </xf>
    <xf numFmtId="37" fontId="15" fillId="0" borderId="10" xfId="97" applyNumberFormat="1" applyFont="1" applyFill="1" applyBorder="1" applyAlignment="1" applyProtection="1">
      <alignment horizontal="center"/>
      <protection/>
    </xf>
    <xf numFmtId="165" fontId="3" fillId="0" borderId="0" xfId="97" applyNumberFormat="1" applyFont="1" applyFill="1" applyAlignment="1" applyProtection="1">
      <alignment horizontal="center"/>
      <protection/>
    </xf>
    <xf numFmtId="37" fontId="3" fillId="0" borderId="0" xfId="97" applyNumberFormat="1" applyFont="1" applyFill="1" applyAlignment="1" applyProtection="1">
      <alignment horizontal="center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0 3" xfId="46"/>
    <cellStyle name="Comma 11" xfId="47"/>
    <cellStyle name="Comma 11 2" xfId="48"/>
    <cellStyle name="Comma 11 3" xfId="49"/>
    <cellStyle name="Comma 12" xfId="50"/>
    <cellStyle name="Comma 12 2" xfId="51"/>
    <cellStyle name="Comma 12 3" xfId="52"/>
    <cellStyle name="Comma 13 2" xfId="53"/>
    <cellStyle name="Comma 13 3" xfId="54"/>
    <cellStyle name="Comma 17" xfId="55"/>
    <cellStyle name="Comma 17 2" xfId="56"/>
    <cellStyle name="Comma 17 3" xfId="57"/>
    <cellStyle name="Comma 18" xfId="58"/>
    <cellStyle name="Comma 18 2" xfId="59"/>
    <cellStyle name="Comma 18 3" xfId="60"/>
    <cellStyle name="Comma 23" xfId="61"/>
    <cellStyle name="Comma 23 2" xfId="62"/>
    <cellStyle name="Comma 23 3" xfId="63"/>
    <cellStyle name="Comma 3 2" xfId="64"/>
    <cellStyle name="Comma 3 3" xfId="65"/>
    <cellStyle name="Comma 4" xfId="66"/>
    <cellStyle name="Comma 4 2" xfId="67"/>
    <cellStyle name="Comma 4 3" xfId="68"/>
    <cellStyle name="Comma 5 2" xfId="69"/>
    <cellStyle name="Comma 5 3" xfId="70"/>
    <cellStyle name="Comma 6" xfId="71"/>
    <cellStyle name="Comma 6 2" xfId="72"/>
    <cellStyle name="Comma 6 3" xfId="73"/>
    <cellStyle name="Comma 7" xfId="74"/>
    <cellStyle name="Comma 7 2" xfId="75"/>
    <cellStyle name="Comma 7 3" xfId="76"/>
    <cellStyle name="Comma 8" xfId="77"/>
    <cellStyle name="Comma 8 2" xfId="78"/>
    <cellStyle name="Comma 8 3" xfId="79"/>
    <cellStyle name="Comma 9" xfId="80"/>
    <cellStyle name="Comma 9 2" xfId="81"/>
    <cellStyle name="Comma 9 3" xfId="82"/>
    <cellStyle name="Currency" xfId="83"/>
    <cellStyle name="Currency [0]" xfId="84"/>
    <cellStyle name="Explanatory Text" xfId="85"/>
    <cellStyle name="Followed Hyperlink" xfId="86"/>
    <cellStyle name="Good" xfId="87"/>
    <cellStyle name="Heading 1" xfId="88"/>
    <cellStyle name="Heading 2" xfId="89"/>
    <cellStyle name="Heading 3" xfId="90"/>
    <cellStyle name="Heading 4" xfId="91"/>
    <cellStyle name="Hyperlink" xfId="92"/>
    <cellStyle name="Hyperlink 2" xfId="93"/>
    <cellStyle name="Input" xfId="94"/>
    <cellStyle name="Linked Cell" xfId="95"/>
    <cellStyle name="Neutral" xfId="96"/>
    <cellStyle name="Normal 2" xfId="97"/>
    <cellStyle name="Normal 3" xfId="98"/>
    <cellStyle name="Normal 4" xfId="99"/>
    <cellStyle name="Note" xfId="100"/>
    <cellStyle name="Output" xfId="101"/>
    <cellStyle name="Percent" xfId="102"/>
    <cellStyle name="Title" xfId="103"/>
    <cellStyle name="Total" xfId="104"/>
    <cellStyle name="Warning Tex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U106"/>
  <sheetViews>
    <sheetView showGridLines="0" tabSelected="1" view="pageBreakPreview" zoomScale="75" zoomScaleNormal="75" zoomScaleSheetLayoutView="75" workbookViewId="0" topLeftCell="A1">
      <selection activeCell="B41" sqref="B41"/>
    </sheetView>
  </sheetViews>
  <sheetFormatPr defaultColWidth="9.625" defaultRowHeight="12.75"/>
  <cols>
    <col min="1" max="1" width="3.25390625" style="5" bestFit="1" customWidth="1"/>
    <col min="2" max="2" width="33.00390625" style="5" customWidth="1"/>
    <col min="3" max="3" width="18.625" style="5" customWidth="1"/>
    <col min="4" max="4" width="8.125" style="5" customWidth="1"/>
    <col min="5" max="5" width="7.50390625" style="5" customWidth="1"/>
    <col min="6" max="6" width="10.625" style="5" customWidth="1"/>
    <col min="7" max="7" width="13.75390625" style="5" customWidth="1"/>
    <col min="8" max="8" width="11.625" style="26" customWidth="1"/>
    <col min="9" max="9" width="12.625" style="16" customWidth="1"/>
    <col min="10" max="10" width="5.00390625" style="5" customWidth="1"/>
    <col min="11" max="11" width="7.625" style="26" bestFit="1" customWidth="1"/>
    <col min="12" max="12" width="13.50390625" style="16" bestFit="1" customWidth="1"/>
    <col min="13" max="16384" width="9.625" style="5" customWidth="1"/>
  </cols>
  <sheetData>
    <row r="1" ht="12">
      <c r="L1" s="28" t="s">
        <v>71</v>
      </c>
    </row>
    <row r="3" spans="1:12" ht="45">
      <c r="A3" s="450" t="s">
        <v>35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</row>
    <row r="6" spans="1:12" s="29" customFormat="1" ht="33">
      <c r="A6" s="451" t="s">
        <v>72</v>
      </c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451"/>
    </row>
    <row r="7" spans="1:12" s="29" customFormat="1" ht="33">
      <c r="A7" s="451" t="s">
        <v>73</v>
      </c>
      <c r="B7" s="451"/>
      <c r="C7" s="451"/>
      <c r="D7" s="451"/>
      <c r="E7" s="451"/>
      <c r="F7" s="451"/>
      <c r="G7" s="451"/>
      <c r="H7" s="451"/>
      <c r="I7" s="451"/>
      <c r="J7" s="451"/>
      <c r="K7" s="451"/>
      <c r="L7" s="451"/>
    </row>
    <row r="18" spans="1:12" ht="45">
      <c r="A18" s="452" t="s">
        <v>375</v>
      </c>
      <c r="B18" s="452"/>
      <c r="C18" s="452"/>
      <c r="D18" s="452"/>
      <c r="E18" s="452"/>
      <c r="F18" s="452"/>
      <c r="G18" s="452"/>
      <c r="H18" s="452"/>
      <c r="I18" s="452"/>
      <c r="J18" s="452"/>
      <c r="K18" s="452"/>
      <c r="L18" s="452"/>
    </row>
    <row r="32" spans="1:12" ht="27">
      <c r="A32" s="453" t="s">
        <v>74</v>
      </c>
      <c r="B32" s="453"/>
      <c r="C32" s="453"/>
      <c r="D32" s="453"/>
      <c r="E32" s="453"/>
      <c r="F32" s="453"/>
      <c r="G32" s="453"/>
      <c r="H32" s="453"/>
      <c r="I32" s="453"/>
      <c r="J32" s="453"/>
      <c r="K32" s="453"/>
      <c r="L32" s="453"/>
    </row>
    <row r="33" spans="1:12" ht="12">
      <c r="A33" s="30"/>
      <c r="H33" s="6"/>
      <c r="L33" s="31" t="s">
        <v>34</v>
      </c>
    </row>
    <row r="34" spans="1:12" ht="12">
      <c r="A34" s="448" t="s">
        <v>33</v>
      </c>
      <c r="B34" s="448"/>
      <c r="C34" s="448"/>
      <c r="D34" s="448"/>
      <c r="E34" s="448"/>
      <c r="F34" s="448"/>
      <c r="G34" s="448"/>
      <c r="H34" s="448"/>
      <c r="I34" s="448"/>
      <c r="J34" s="448"/>
      <c r="K34" s="448"/>
      <c r="L34" s="448"/>
    </row>
    <row r="35" spans="1:12" ht="12">
      <c r="A35" s="32"/>
      <c r="H35" s="6"/>
      <c r="J35" s="33"/>
      <c r="K35" s="6"/>
      <c r="L35" s="34" t="str">
        <f>$L$1</f>
        <v>Date: 10/1/2010</v>
      </c>
    </row>
    <row r="36" spans="1:12" ht="12">
      <c r="A36" s="14" t="s">
        <v>1</v>
      </c>
      <c r="B36" s="14" t="s">
        <v>1</v>
      </c>
      <c r="C36" s="14" t="s">
        <v>1</v>
      </c>
      <c r="D36" s="14" t="s">
        <v>1</v>
      </c>
      <c r="E36" s="14" t="s">
        <v>1</v>
      </c>
      <c r="F36" s="14"/>
      <c r="G36" s="14"/>
      <c r="H36" s="15" t="s">
        <v>1</v>
      </c>
      <c r="I36" s="18" t="s">
        <v>1</v>
      </c>
      <c r="J36" s="14" t="s">
        <v>1</v>
      </c>
      <c r="K36" s="15" t="s">
        <v>1</v>
      </c>
      <c r="L36" s="18" t="s">
        <v>1</v>
      </c>
    </row>
    <row r="37" spans="1:12" ht="12">
      <c r="A37" s="35" t="s">
        <v>2</v>
      </c>
      <c r="B37" s="4" t="s">
        <v>3</v>
      </c>
      <c r="D37" s="35" t="s">
        <v>2</v>
      </c>
      <c r="E37" s="1"/>
      <c r="F37" s="1"/>
      <c r="G37" s="1" t="s">
        <v>62</v>
      </c>
      <c r="H37" s="2"/>
      <c r="I37" s="3" t="s">
        <v>65</v>
      </c>
      <c r="J37" s="1"/>
      <c r="K37" s="2"/>
      <c r="L37" s="3" t="s">
        <v>70</v>
      </c>
    </row>
    <row r="38" spans="1:12" ht="12">
      <c r="A38" s="35" t="s">
        <v>4</v>
      </c>
      <c r="B38" s="36" t="s">
        <v>5</v>
      </c>
      <c r="D38" s="35" t="s">
        <v>4</v>
      </c>
      <c r="E38" s="1"/>
      <c r="F38" s="1" t="s">
        <v>19</v>
      </c>
      <c r="G38" s="1" t="s">
        <v>7</v>
      </c>
      <c r="H38" s="2" t="s">
        <v>6</v>
      </c>
      <c r="I38" s="3" t="s">
        <v>7</v>
      </c>
      <c r="J38" s="1"/>
      <c r="K38" s="2" t="s">
        <v>6</v>
      </c>
      <c r="L38" s="3" t="s">
        <v>8</v>
      </c>
    </row>
    <row r="39" spans="1:12" ht="12">
      <c r="A39" s="14" t="s">
        <v>1</v>
      </c>
      <c r="B39" s="14" t="s">
        <v>1</v>
      </c>
      <c r="C39" s="14" t="s">
        <v>1</v>
      </c>
      <c r="D39" s="14" t="s">
        <v>1</v>
      </c>
      <c r="E39" s="14" t="s">
        <v>1</v>
      </c>
      <c r="F39" s="14"/>
      <c r="G39" s="14"/>
      <c r="H39" s="15" t="s">
        <v>1</v>
      </c>
      <c r="I39" s="18" t="s">
        <v>1</v>
      </c>
      <c r="J39" s="14" t="s">
        <v>1</v>
      </c>
      <c r="K39" s="15" t="s">
        <v>1</v>
      </c>
      <c r="L39" s="18" t="s">
        <v>1</v>
      </c>
    </row>
    <row r="40" spans="1:12" ht="12">
      <c r="A40" s="24">
        <v>1</v>
      </c>
      <c r="B40" s="4" t="s">
        <v>9</v>
      </c>
      <c r="C40" s="13" t="s">
        <v>24</v>
      </c>
      <c r="D40" s="24">
        <v>1</v>
      </c>
      <c r="F40" s="159">
        <f>'System Admin'!F38+UCB!F38+UCCS!F38+UCD!F38+AMC!F38</f>
        <v>3966.7057270582454</v>
      </c>
      <c r="G40" s="159">
        <f>'System Admin'!G38+UCB!G38+UCCS!G38+UCD!G38+AMC!G38</f>
        <v>429332506.39</v>
      </c>
      <c r="H40" s="159">
        <f>'System Admin'!H38+UCB!H38+UCCS!H38+UCD!H38+AMC!H38</f>
        <v>4042.9395556393006</v>
      </c>
      <c r="I40" s="159">
        <f>'System Admin'!I38+UCB!I38+UCCS!I38+UCD!I38+AMC!I38</f>
        <v>439572320.46000004</v>
      </c>
      <c r="J40" s="159">
        <f>'System Admin'!J38+UCB!J38+UCCS!J38+UCD!J38+AMC!J38</f>
        <v>0</v>
      </c>
      <c r="K40" s="159">
        <f>'System Admin'!K38+UCB!K38+UCCS!K38+UCD!K38+AMC!K38</f>
        <v>4045.316186538671</v>
      </c>
      <c r="L40" s="159">
        <f>'System Admin'!L38+UCB!L38+UCCS!L38+UCD!L38+AMC!L38</f>
        <v>457020835</v>
      </c>
    </row>
    <row r="41" spans="1:12" ht="12">
      <c r="A41" s="24">
        <v>2</v>
      </c>
      <c r="B41" s="4" t="s">
        <v>10</v>
      </c>
      <c r="C41" s="13" t="s">
        <v>25</v>
      </c>
      <c r="D41" s="24">
        <v>2</v>
      </c>
      <c r="F41" s="159">
        <f>'System Admin'!F39+UCB!F39+UCCS!F39+UCD!F39+AMC!F39</f>
        <v>47.45</v>
      </c>
      <c r="G41" s="159">
        <f>'System Admin'!G39+UCB!G39+UCCS!G39+UCD!G39+AMC!G39</f>
        <v>8611445.780000001</v>
      </c>
      <c r="H41" s="159">
        <f>'System Admin'!H39+UCB!H39+UCCS!H39+UCD!H39+AMC!H39</f>
        <v>44.488121301775145</v>
      </c>
      <c r="I41" s="159">
        <f>'System Admin'!I39+UCB!I39+UCCS!I39+UCD!I39+AMC!I39</f>
        <v>8800506.420000002</v>
      </c>
      <c r="J41" s="159">
        <f>'System Admin'!J39+UCB!J39+UCCS!J39+UCD!J39+AMC!J39</f>
        <v>0</v>
      </c>
      <c r="K41" s="159">
        <f>'System Admin'!K39+UCB!K39+UCCS!K39+UCD!K39+AMC!K39</f>
        <v>42.64396449704142</v>
      </c>
      <c r="L41" s="159">
        <f>'System Admin'!L39+UCB!L39+UCCS!L39+UCD!L39+AMC!L39</f>
        <v>8715867</v>
      </c>
    </row>
    <row r="42" spans="1:12" ht="12">
      <c r="A42" s="24">
        <v>3</v>
      </c>
      <c r="B42" s="4" t="s">
        <v>11</v>
      </c>
      <c r="C42" s="13" t="s">
        <v>26</v>
      </c>
      <c r="D42" s="24">
        <v>3</v>
      </c>
      <c r="F42" s="159">
        <f>'System Admin'!F40+UCB!F40+UCCS!F40+UCD!F40+AMC!F40</f>
        <v>9.684352008719657</v>
      </c>
      <c r="G42" s="159">
        <f>'System Admin'!G40+UCB!G40+UCCS!G40+UCD!G40+AMC!G40</f>
        <v>1226280.4100000001</v>
      </c>
      <c r="H42" s="159">
        <f>'System Admin'!H40+UCB!H40+UCCS!H40+UCD!H40+AMC!H40</f>
        <v>9.73720662978189</v>
      </c>
      <c r="I42" s="159">
        <f>'System Admin'!I40+UCB!I40+UCCS!I40+UCD!I40+AMC!I40</f>
        <v>1165265.92</v>
      </c>
      <c r="J42" s="159">
        <f>'System Admin'!J40+UCB!J40+UCCS!J40+UCD!J40+AMC!J40</f>
        <v>0</v>
      </c>
      <c r="K42" s="159">
        <f>'System Admin'!K40+UCB!K40+UCCS!K40+UCD!K40+AMC!K40</f>
        <v>9.18835760067293</v>
      </c>
      <c r="L42" s="159">
        <f>'System Admin'!L40+UCB!L40+UCCS!L40+UCD!L40+AMC!L40</f>
        <v>1061619</v>
      </c>
    </row>
    <row r="43" spans="1:12" ht="12">
      <c r="A43" s="24">
        <v>4</v>
      </c>
      <c r="B43" s="4" t="s">
        <v>12</v>
      </c>
      <c r="C43" s="13" t="s">
        <v>27</v>
      </c>
      <c r="D43" s="24">
        <v>4</v>
      </c>
      <c r="F43" s="159">
        <f>'System Admin'!F41+UCB!F41+UCCS!F41+UCD!F41+AMC!F41</f>
        <v>979.0356327655431</v>
      </c>
      <c r="G43" s="159">
        <f>'System Admin'!G41+UCB!G41+UCCS!G41+UCD!G41+AMC!G41</f>
        <v>104348806.66</v>
      </c>
      <c r="H43" s="159">
        <f>'System Admin'!H41+UCB!H41+UCCS!H41+UCD!H41+AMC!H41</f>
        <v>999.1554363352909</v>
      </c>
      <c r="I43" s="159">
        <f>'System Admin'!I41+UCB!I41+UCCS!I41+UCD!I41+AMC!I41</f>
        <v>106802466.75999999</v>
      </c>
      <c r="J43" s="159">
        <f>'System Admin'!J41+UCB!J41+UCCS!J41+UCD!J41+AMC!J41</f>
        <v>0</v>
      </c>
      <c r="K43" s="159">
        <f>'System Admin'!K41+UCB!K41+UCCS!K41+UCD!K41+AMC!K41</f>
        <v>1010.9219552172578</v>
      </c>
      <c r="L43" s="159">
        <f>'System Admin'!L41+UCB!L41+UCCS!L41+UCD!L41+AMC!L41</f>
        <v>109324261</v>
      </c>
    </row>
    <row r="44" spans="1:12" ht="12">
      <c r="A44" s="24">
        <v>5</v>
      </c>
      <c r="B44" s="4" t="s">
        <v>13</v>
      </c>
      <c r="C44" s="13" t="s">
        <v>28</v>
      </c>
      <c r="D44" s="24">
        <v>5</v>
      </c>
      <c r="F44" s="159">
        <f>'System Admin'!F42+UCB!F42+UCCS!F42+UCD!F42+AMC!F42</f>
        <v>374.68844932606027</v>
      </c>
      <c r="G44" s="159">
        <f>'System Admin'!G42+UCB!G42+UCCS!G42+UCD!G42+AMC!G42</f>
        <v>35231070.78</v>
      </c>
      <c r="H44" s="159">
        <f>'System Admin'!H42+UCB!H42+UCCS!H42+UCD!H42+AMC!H42</f>
        <v>376.70165328588865</v>
      </c>
      <c r="I44" s="159">
        <f>'System Admin'!I42+UCB!I42+UCCS!I42+UCD!I42+AMC!I42</f>
        <v>35380483.76</v>
      </c>
      <c r="J44" s="159">
        <f>'System Admin'!J42+UCB!J42+UCCS!J42+UCD!J42+AMC!J42</f>
        <v>0</v>
      </c>
      <c r="K44" s="159">
        <f>'System Admin'!K42+UCB!K42+UCCS!K42+UCD!K42+AMC!K42</f>
        <v>366.38547673833904</v>
      </c>
      <c r="L44" s="159">
        <f>'System Admin'!L42+UCB!L42+UCCS!L42+UCD!L42+AMC!L42</f>
        <v>36544290</v>
      </c>
    </row>
    <row r="45" spans="1:12" ht="12">
      <c r="A45" s="24">
        <v>6</v>
      </c>
      <c r="B45" s="4" t="s">
        <v>14</v>
      </c>
      <c r="C45" s="13" t="s">
        <v>29</v>
      </c>
      <c r="D45" s="24">
        <v>6</v>
      </c>
      <c r="F45" s="159">
        <f>'System Admin'!F43+UCB!F43+UCCS!F43+UCD!F43+AMC!F43</f>
        <v>791.3138895638435</v>
      </c>
      <c r="G45" s="159">
        <f>'System Admin'!G43+UCB!G43+UCCS!G43+UCD!G43+AMC!G43</f>
        <v>83905409.27000001</v>
      </c>
      <c r="H45" s="159">
        <f>'System Admin'!H43+UCB!H43+UCCS!H43+UCD!H43+AMC!H43</f>
        <v>726.9934795687142</v>
      </c>
      <c r="I45" s="159">
        <f>'System Admin'!I43+UCB!I43+UCCS!I43+UCD!I43+AMC!I43</f>
        <v>74914570.19</v>
      </c>
      <c r="J45" s="159">
        <f>'System Admin'!J43+UCB!J43+UCCS!J43+UCD!J43+AMC!J43</f>
        <v>0</v>
      </c>
      <c r="K45" s="159">
        <f>'System Admin'!K43+UCB!K43+UCCS!K43+UCD!K43+AMC!K43</f>
        <v>703.381410231043</v>
      </c>
      <c r="L45" s="159">
        <f>'System Admin'!L43+UCB!L43+UCCS!L43+UCD!L43+AMC!L43</f>
        <v>78316967</v>
      </c>
    </row>
    <row r="46" spans="1:12" ht="12">
      <c r="A46" s="24">
        <v>7</v>
      </c>
      <c r="B46" s="4" t="s">
        <v>20</v>
      </c>
      <c r="C46" s="13" t="s">
        <v>30</v>
      </c>
      <c r="D46" s="24">
        <v>7</v>
      </c>
      <c r="F46" s="159">
        <f>'System Admin'!F44+UCB!F44+UCCS!F44+UCD!F44+AMC!F44</f>
        <v>714.6528467293913</v>
      </c>
      <c r="G46" s="159">
        <f>'System Admin'!G44+UCB!G44+UCCS!G44+UCD!G44+AMC!G44</f>
        <v>85282536.36</v>
      </c>
      <c r="H46" s="159">
        <f>'System Admin'!H44+UCB!H44+UCCS!H44+UCD!H44+AMC!H44</f>
        <v>626.0240250721025</v>
      </c>
      <c r="I46" s="159">
        <f>'System Admin'!I44+UCB!I44+UCCS!I44+UCD!I44+AMC!I44</f>
        <v>79226686.76</v>
      </c>
      <c r="J46" s="159">
        <f>'System Admin'!J44+UCB!J44+UCCS!J44+UCD!J44+AMC!J44</f>
        <v>0</v>
      </c>
      <c r="K46" s="159">
        <f>'System Admin'!K44+UCB!K44+UCCS!K44+UCD!K44+AMC!K44</f>
        <v>619.8409826496585</v>
      </c>
      <c r="L46" s="159">
        <f>'System Admin'!L44+UCB!L44+UCCS!L44+UCD!L44+AMC!L44</f>
        <v>84748762</v>
      </c>
    </row>
    <row r="47" spans="1:12" ht="12">
      <c r="A47" s="24">
        <v>8</v>
      </c>
      <c r="B47" s="4" t="s">
        <v>15</v>
      </c>
      <c r="C47" s="13" t="s">
        <v>31</v>
      </c>
      <c r="D47" s="24">
        <v>8</v>
      </c>
      <c r="F47" s="159">
        <f>'System Admin'!F45+UCB!F45+UCCS!F45+UCD!F45+AMC!F45</f>
        <v>0</v>
      </c>
      <c r="G47" s="159">
        <f>'System Admin'!G45+UCB!G45+UCCS!G45+UCD!G45+AMC!G45</f>
        <v>47353382.85</v>
      </c>
      <c r="H47" s="159">
        <f>'System Admin'!H45+UCB!H45+UCCS!H45+UCD!H45+AMC!H45</f>
        <v>0</v>
      </c>
      <c r="I47" s="159">
        <f>'System Admin'!I45+UCB!I45+UCCS!I45+UCD!I45+AMC!I45</f>
        <v>51460717.63</v>
      </c>
      <c r="J47" s="159">
        <f>'System Admin'!J45+UCB!J45+UCCS!J45+UCD!J45+AMC!J45</f>
        <v>0</v>
      </c>
      <c r="K47" s="159">
        <f>'System Admin'!K45+UCB!K45+UCCS!K45+UCD!K45+AMC!K45</f>
        <v>0</v>
      </c>
      <c r="L47" s="159">
        <f>'System Admin'!L45+UCB!L45+UCCS!L45+UCD!L45+AMC!L45</f>
        <v>57021297</v>
      </c>
    </row>
    <row r="48" spans="1:12" ht="12">
      <c r="A48" s="24">
        <v>9</v>
      </c>
      <c r="B48" s="4" t="s">
        <v>22</v>
      </c>
      <c r="C48" s="13" t="s">
        <v>32</v>
      </c>
      <c r="D48" s="24">
        <v>9</v>
      </c>
      <c r="F48" s="159">
        <f>'System Admin'!F46+UCB!F46+UCCS!F46+UCD!F46+AMC!F46</f>
        <v>0</v>
      </c>
      <c r="G48" s="159">
        <f>'System Admin'!G46+UCB!G46+UCCS!G46+UCD!G46+AMC!G46</f>
        <v>17562</v>
      </c>
      <c r="H48" s="159">
        <f>'System Admin'!H46+UCB!H46+UCCS!H46+UCD!H46+AMC!H46</f>
        <v>0</v>
      </c>
      <c r="I48" s="159">
        <f>'System Admin'!I46+UCB!I46+UCCS!I46+UCD!I46+AMC!I46</f>
        <v>-4028</v>
      </c>
      <c r="J48" s="159">
        <f>'System Admin'!J46+UCB!J46+UCCS!J46+UCD!J46+AMC!J46</f>
        <v>0</v>
      </c>
      <c r="K48" s="159">
        <f>'System Admin'!K46+UCB!K46+UCCS!K46+UCD!K46+AMC!K46</f>
        <v>0</v>
      </c>
      <c r="L48" s="159">
        <f>'System Admin'!L46+UCB!L46+UCCS!L46+UCD!L46+AMC!L46</f>
        <v>0</v>
      </c>
    </row>
    <row r="49" spans="1:12" ht="12">
      <c r="A49" s="24">
        <v>10</v>
      </c>
      <c r="B49" s="4" t="s">
        <v>16</v>
      </c>
      <c r="C49" s="13" t="s">
        <v>21</v>
      </c>
      <c r="D49" s="24">
        <v>10</v>
      </c>
      <c r="F49" s="159">
        <f>'System Admin'!F47+UCB!F47+UCCS!F47+UCD!F47+AMC!F47</f>
        <v>0</v>
      </c>
      <c r="G49" s="159">
        <f>'System Admin'!G47+UCB!G47+UCCS!G47+UCD!G47+AMC!G47</f>
        <v>137743931.1</v>
      </c>
      <c r="H49" s="159">
        <f>'System Admin'!H47+UCB!H47+UCCS!H47+UCD!H47+AMC!H47</f>
        <v>0</v>
      </c>
      <c r="I49" s="159">
        <f>'System Admin'!I47+UCB!I47+UCCS!I47+UCD!I47+AMC!I47</f>
        <v>188709927.64</v>
      </c>
      <c r="J49" s="159">
        <f>'System Admin'!J47+UCB!J47+UCCS!J47+UCD!J47+AMC!J47</f>
        <v>0</v>
      </c>
      <c r="K49" s="159">
        <f>'System Admin'!K47+UCB!K47+UCCS!K47+UCD!K47+AMC!K47</f>
        <v>0</v>
      </c>
      <c r="L49" s="159">
        <f>'System Admin'!L47+UCB!L47+UCCS!L47+UCD!L47+AMC!L47</f>
        <v>172795394</v>
      </c>
    </row>
    <row r="50" spans="1:12" s="48" customFormat="1" ht="12">
      <c r="A50" s="72"/>
      <c r="B50" s="47"/>
      <c r="C50" s="81"/>
      <c r="D50" s="72"/>
      <c r="E50" s="45" t="s">
        <v>1</v>
      </c>
      <c r="F50" s="45"/>
      <c r="G50" s="100"/>
      <c r="H50" s="95" t="s">
        <v>1</v>
      </c>
      <c r="I50" s="100"/>
      <c r="J50" s="54"/>
      <c r="K50" s="95"/>
      <c r="L50" s="100"/>
    </row>
    <row r="51" spans="1:12" ht="15" customHeight="1">
      <c r="A51" s="5">
        <v>11</v>
      </c>
      <c r="B51" s="4" t="s">
        <v>59</v>
      </c>
      <c r="D51" s="5">
        <v>11</v>
      </c>
      <c r="F51" s="159">
        <f>SUM(F40:F49)</f>
        <v>6883.530897451804</v>
      </c>
      <c r="G51" s="159">
        <f>SUM(G40:G49)</f>
        <v>933052931.6</v>
      </c>
      <c r="H51" s="160">
        <f>SUM(H40:H49)</f>
        <v>6826.039477832854</v>
      </c>
      <c r="I51" s="160">
        <f>SUM(I40:I49)</f>
        <v>986028917.54</v>
      </c>
      <c r="J51" s="159"/>
      <c r="K51" s="160">
        <f>SUM(K40:K49)</f>
        <v>6797.678333472683</v>
      </c>
      <c r="L51" s="160">
        <f>SUM(L40:L49)</f>
        <v>1005549292</v>
      </c>
    </row>
    <row r="52" spans="1:12" ht="12">
      <c r="A52" s="24"/>
      <c r="D52" s="24"/>
      <c r="E52" s="14" t="s">
        <v>1</v>
      </c>
      <c r="F52" s="14"/>
      <c r="G52" s="14"/>
      <c r="H52" s="15" t="s">
        <v>1</v>
      </c>
      <c r="I52" s="18"/>
      <c r="J52" s="17"/>
      <c r="K52" s="15"/>
      <c r="L52" s="18"/>
    </row>
    <row r="53" spans="1:12" ht="12">
      <c r="A53" s="5">
        <v>12</v>
      </c>
      <c r="B53" s="4" t="s">
        <v>17</v>
      </c>
      <c r="D53" s="5">
        <v>12</v>
      </c>
      <c r="F53" s="25"/>
      <c r="G53" s="25"/>
      <c r="H53" s="27"/>
      <c r="I53" s="27"/>
      <c r="J53" s="25"/>
      <c r="K53" s="27"/>
      <c r="L53" s="27"/>
    </row>
    <row r="54" spans="1:16" ht="12">
      <c r="A54" s="24">
        <v>13</v>
      </c>
      <c r="B54" s="4" t="s">
        <v>51</v>
      </c>
      <c r="C54" s="13" t="s">
        <v>57</v>
      </c>
      <c r="D54" s="24">
        <v>13</v>
      </c>
      <c r="F54" s="159">
        <f>'System Admin'!F52+UCB!F52+UCCS!F53+UCD!F52+AMC!F52</f>
        <v>0</v>
      </c>
      <c r="G54" s="159">
        <f>'System Admin'!G52+UCB!G52+UCCS!G53+UCD!G52+AMC!G52</f>
        <v>17997300</v>
      </c>
      <c r="H54" s="159">
        <f>'System Admin'!H52+UCB!H52+UCCS!H53+UCD!H52+AMC!H52</f>
        <v>0</v>
      </c>
      <c r="I54" s="159">
        <f>'System Admin'!I52+UCB!I52+UCCS!I53+UCD!I52+AMC!I52</f>
        <v>17150000</v>
      </c>
      <c r="J54" s="159">
        <f>'System Admin'!J52+UCB!J52+UCCS!J53+UCD!J52+AMC!J52</f>
        <v>0</v>
      </c>
      <c r="K54" s="159">
        <f>'System Admin'!K52+UCB!K52+UCCS!K53+UCD!K52+AMC!K52</f>
        <v>0</v>
      </c>
      <c r="L54" s="159">
        <f>'System Admin'!L52+UCB!L52+UCCS!L53+UCD!L52+AMC!L52</f>
        <v>16004485</v>
      </c>
      <c r="P54" s="5" t="s">
        <v>0</v>
      </c>
    </row>
    <row r="55" spans="1:12" ht="12">
      <c r="A55" s="24">
        <v>14</v>
      </c>
      <c r="B55" s="4" t="s">
        <v>52</v>
      </c>
      <c r="C55" s="13" t="s">
        <v>58</v>
      </c>
      <c r="D55" s="24">
        <v>14</v>
      </c>
      <c r="F55" s="159">
        <f>'System Admin'!F53+UCB!F53+UCCS!F54+UCD!F53+AMC!F53</f>
        <v>0</v>
      </c>
      <c r="G55" s="159">
        <f>'System Admin'!G53+UCB!G53+UCCS!G54+UCD!G53+AMC!G53</f>
        <v>101940267.66</v>
      </c>
      <c r="H55" s="159">
        <f>'System Admin'!H53+UCB!H53+UCCS!H54+UCD!H53+AMC!H53</f>
        <v>0</v>
      </c>
      <c r="I55" s="159">
        <f>'System Admin'!I53+UCB!I53+UCCS!I54+UCD!I53+AMC!I53</f>
        <v>50138099.22</v>
      </c>
      <c r="J55" s="159">
        <f>'System Admin'!J53+UCB!J53+UCCS!J54+UCD!J53+AMC!J53</f>
        <v>0</v>
      </c>
      <c r="K55" s="159">
        <f>'System Admin'!K53+UCB!K53+UCCS!K54+UCD!K53+AMC!K53</f>
        <v>0</v>
      </c>
      <c r="L55" s="159">
        <f>'System Admin'!L53+UCB!L53+UCCS!L54+UCD!L53+AMC!L53</f>
        <v>103757823</v>
      </c>
    </row>
    <row r="56" spans="1:12" ht="12">
      <c r="A56" s="24">
        <v>15</v>
      </c>
      <c r="B56" s="4" t="s">
        <v>54</v>
      </c>
      <c r="C56" s="13"/>
      <c r="D56" s="24">
        <v>15</v>
      </c>
      <c r="F56" s="159">
        <f>'System Admin'!F54+UCB!F54+UCCS!F55+UCD!F54+AMC!F54</f>
        <v>0</v>
      </c>
      <c r="G56" s="159">
        <f>'System Admin'!G54+UCB!G54+UCCS!G55+UCD!G54+AMC!G54</f>
        <v>57163715</v>
      </c>
      <c r="H56" s="159">
        <f>'System Admin'!H54+UCB!H54+UCCS!H55+UCD!H54+AMC!H54</f>
        <v>0</v>
      </c>
      <c r="I56" s="159">
        <f>'System Admin'!I54+UCB!I54+UCCS!I55+UCD!I54+AMC!I54</f>
        <v>38072993</v>
      </c>
      <c r="J56" s="159">
        <f>'System Admin'!J54+UCB!J54+UCCS!J55+UCD!J54+AMC!J54</f>
        <v>0</v>
      </c>
      <c r="K56" s="159">
        <f>'System Admin'!K54+UCB!K54+UCCS!K55+UCD!K54+AMC!K54</f>
        <v>0</v>
      </c>
      <c r="L56" s="159">
        <f>'System Admin'!L54+UCB!L54+UCCS!L55+UCD!L54+AMC!L54</f>
        <v>55346160</v>
      </c>
    </row>
    <row r="57" spans="1:12" ht="12">
      <c r="A57" s="24">
        <v>16</v>
      </c>
      <c r="B57" s="4" t="s">
        <v>53</v>
      </c>
      <c r="C57" s="13"/>
      <c r="D57" s="24">
        <v>16</v>
      </c>
      <c r="F57" s="159">
        <f>'System Admin'!F55+UCB!F55+UCCS!F56+UCD!F55+AMC!F55</f>
        <v>5423</v>
      </c>
      <c r="G57" s="159">
        <f>'System Admin'!G55+UCB!G55+UCCS!G56+UCD!G55+AMC!G55</f>
        <v>192746197.01</v>
      </c>
      <c r="H57" s="159">
        <f>'System Admin'!H55+UCB!H55+UCCS!H56+UCD!H55+AMC!H55</f>
        <v>0</v>
      </c>
      <c r="I57" s="159">
        <f>'System Admin'!I55+UCB!I55+UCCS!I56+UCD!I55+AMC!I55</f>
        <v>215934219.06</v>
      </c>
      <c r="J57" s="159">
        <f>'System Admin'!J55+UCB!J55+UCCS!J56+UCD!J55+AMC!J55</f>
        <v>0</v>
      </c>
      <c r="K57" s="159">
        <f>'System Admin'!K55+UCB!K55+UCCS!K56+UCD!K55+AMC!K55</f>
        <v>0</v>
      </c>
      <c r="L57" s="159">
        <f>'System Admin'!L55+UCB!L55+UCCS!L56+UCD!L55+AMC!L55</f>
        <v>229703711</v>
      </c>
    </row>
    <row r="58" spans="1:255" ht="12">
      <c r="A58" s="13">
        <v>17</v>
      </c>
      <c r="B58" s="37" t="s">
        <v>55</v>
      </c>
      <c r="C58" s="13"/>
      <c r="D58" s="13">
        <v>17</v>
      </c>
      <c r="E58" s="13"/>
      <c r="F58" s="159">
        <f>'System Admin'!F56+UCB!F56+UCCS!F57+UCD!F56+AMC!F56</f>
        <v>28396.449999999997</v>
      </c>
      <c r="G58" s="159">
        <f>'System Admin'!G56+UCB!G56+UCCS!G57+UCD!G56+AMC!G56</f>
        <v>249909912.01</v>
      </c>
      <c r="H58" s="159">
        <f>'System Admin'!H56+UCB!H56+UCCS!H57+UCD!H56+AMC!H56</f>
        <v>23785.879999999997</v>
      </c>
      <c r="I58" s="159">
        <f>'System Admin'!I56+UCB!I56+UCCS!I57+UCD!I56+AMC!I56</f>
        <v>254007212.06</v>
      </c>
      <c r="J58" s="159">
        <f>'System Admin'!J56+UCB!J56+UCCS!J57+UCD!J56+AMC!J56</f>
        <v>0</v>
      </c>
      <c r="K58" s="159">
        <f>'System Admin'!K56+UCB!K56+UCCS!K57+UCD!K56+AMC!K56</f>
        <v>23698</v>
      </c>
      <c r="L58" s="159">
        <f>'System Admin'!L56+UCB!L56+UCCS!L57+UCD!L56+AMC!L56</f>
        <v>285049871</v>
      </c>
      <c r="M58" s="13"/>
      <c r="N58" s="37"/>
      <c r="O58" s="13"/>
      <c r="P58" s="37"/>
      <c r="Q58" s="13"/>
      <c r="R58" s="37"/>
      <c r="S58" s="13"/>
      <c r="T58" s="37"/>
      <c r="U58" s="13"/>
      <c r="V58" s="37"/>
      <c r="W58" s="13"/>
      <c r="X58" s="37"/>
      <c r="Y58" s="13"/>
      <c r="Z58" s="37"/>
      <c r="AA58" s="13"/>
      <c r="AB58" s="37"/>
      <c r="AC58" s="13"/>
      <c r="AD58" s="37"/>
      <c r="AE58" s="13"/>
      <c r="AF58" s="37"/>
      <c r="AG58" s="13"/>
      <c r="AH58" s="37"/>
      <c r="AI58" s="13"/>
      <c r="AJ58" s="37"/>
      <c r="AK58" s="13"/>
      <c r="AL58" s="37"/>
      <c r="AM58" s="13"/>
      <c r="AN58" s="37"/>
      <c r="AO58" s="13"/>
      <c r="AP58" s="37"/>
      <c r="AQ58" s="13"/>
      <c r="AR58" s="37"/>
      <c r="AS58" s="13"/>
      <c r="AT58" s="37"/>
      <c r="AU58" s="13"/>
      <c r="AV58" s="37"/>
      <c r="AW58" s="13"/>
      <c r="AX58" s="37"/>
      <c r="AY58" s="13"/>
      <c r="AZ58" s="37"/>
      <c r="BA58" s="13"/>
      <c r="BB58" s="37"/>
      <c r="BC58" s="13"/>
      <c r="BD58" s="37"/>
      <c r="BE58" s="13"/>
      <c r="BF58" s="37"/>
      <c r="BG58" s="13"/>
      <c r="BH58" s="37"/>
      <c r="BI58" s="13"/>
      <c r="BJ58" s="37"/>
      <c r="BK58" s="13"/>
      <c r="BL58" s="37"/>
      <c r="BM58" s="13"/>
      <c r="BN58" s="37"/>
      <c r="BO58" s="13"/>
      <c r="BP58" s="37"/>
      <c r="BQ58" s="13"/>
      <c r="BR58" s="37"/>
      <c r="BS58" s="13"/>
      <c r="BT58" s="37"/>
      <c r="BU58" s="13"/>
      <c r="BV58" s="37"/>
      <c r="BW58" s="13"/>
      <c r="BX58" s="37"/>
      <c r="BY58" s="13"/>
      <c r="BZ58" s="37"/>
      <c r="CA58" s="13"/>
      <c r="CB58" s="37"/>
      <c r="CC58" s="13"/>
      <c r="CD58" s="37"/>
      <c r="CE58" s="13"/>
      <c r="CF58" s="37"/>
      <c r="CG58" s="13"/>
      <c r="CH58" s="37"/>
      <c r="CI58" s="13"/>
      <c r="CJ58" s="37"/>
      <c r="CK58" s="13"/>
      <c r="CL58" s="37"/>
      <c r="CM58" s="13"/>
      <c r="CN58" s="37"/>
      <c r="CO58" s="13"/>
      <c r="CP58" s="37"/>
      <c r="CQ58" s="13"/>
      <c r="CR58" s="37"/>
      <c r="CS58" s="13"/>
      <c r="CT58" s="37"/>
      <c r="CU58" s="13"/>
      <c r="CV58" s="37"/>
      <c r="CW58" s="13"/>
      <c r="CX58" s="37"/>
      <c r="CY58" s="13"/>
      <c r="CZ58" s="37"/>
      <c r="DA58" s="13"/>
      <c r="DB58" s="37"/>
      <c r="DC58" s="13"/>
      <c r="DD58" s="37"/>
      <c r="DE58" s="13"/>
      <c r="DF58" s="37"/>
      <c r="DG58" s="13"/>
      <c r="DH58" s="37"/>
      <c r="DI58" s="13"/>
      <c r="DJ58" s="37"/>
      <c r="DK58" s="13"/>
      <c r="DL58" s="37"/>
      <c r="DM58" s="13"/>
      <c r="DN58" s="37"/>
      <c r="DO58" s="13"/>
      <c r="DP58" s="37"/>
      <c r="DQ58" s="13"/>
      <c r="DR58" s="37"/>
      <c r="DS58" s="13"/>
      <c r="DT58" s="37"/>
      <c r="DU58" s="13"/>
      <c r="DV58" s="37"/>
      <c r="DW58" s="13"/>
      <c r="DX58" s="37"/>
      <c r="DY58" s="13"/>
      <c r="DZ58" s="37"/>
      <c r="EA58" s="13"/>
      <c r="EB58" s="37"/>
      <c r="EC58" s="13"/>
      <c r="ED58" s="37"/>
      <c r="EE58" s="13"/>
      <c r="EF58" s="37"/>
      <c r="EG58" s="13"/>
      <c r="EH58" s="37"/>
      <c r="EI58" s="13"/>
      <c r="EJ58" s="37"/>
      <c r="EK58" s="13"/>
      <c r="EL58" s="37"/>
      <c r="EM58" s="13"/>
      <c r="EN58" s="37"/>
      <c r="EO58" s="13"/>
      <c r="EP58" s="37"/>
      <c r="EQ58" s="13"/>
      <c r="ER58" s="37"/>
      <c r="ES58" s="13"/>
      <c r="ET58" s="37"/>
      <c r="EU58" s="13"/>
      <c r="EV58" s="37"/>
      <c r="EW58" s="13"/>
      <c r="EX58" s="37"/>
      <c r="EY58" s="13"/>
      <c r="EZ58" s="37"/>
      <c r="FA58" s="13"/>
      <c r="FB58" s="37"/>
      <c r="FC58" s="13"/>
      <c r="FD58" s="37"/>
      <c r="FE58" s="13"/>
      <c r="FF58" s="37"/>
      <c r="FG58" s="13"/>
      <c r="FH58" s="37"/>
      <c r="FI58" s="13"/>
      <c r="FJ58" s="37"/>
      <c r="FK58" s="13"/>
      <c r="FL58" s="37"/>
      <c r="FM58" s="13"/>
      <c r="FN58" s="37"/>
      <c r="FO58" s="13"/>
      <c r="FP58" s="37"/>
      <c r="FQ58" s="13"/>
      <c r="FR58" s="37"/>
      <c r="FS58" s="13"/>
      <c r="FT58" s="37"/>
      <c r="FU58" s="13"/>
      <c r="FV58" s="37"/>
      <c r="FW58" s="13"/>
      <c r="FX58" s="37"/>
      <c r="FY58" s="13"/>
      <c r="FZ58" s="37"/>
      <c r="GA58" s="13"/>
      <c r="GB58" s="37"/>
      <c r="GC58" s="13"/>
      <c r="GD58" s="37"/>
      <c r="GE58" s="13"/>
      <c r="GF58" s="37"/>
      <c r="GG58" s="13"/>
      <c r="GH58" s="37"/>
      <c r="GI58" s="13"/>
      <c r="GJ58" s="37"/>
      <c r="GK58" s="13"/>
      <c r="GL58" s="37"/>
      <c r="GM58" s="13"/>
      <c r="GN58" s="37"/>
      <c r="GO58" s="13"/>
      <c r="GP58" s="37"/>
      <c r="GQ58" s="13"/>
      <c r="GR58" s="37"/>
      <c r="GS58" s="13"/>
      <c r="GT58" s="37"/>
      <c r="GU58" s="13"/>
      <c r="GV58" s="37"/>
      <c r="GW58" s="13"/>
      <c r="GX58" s="37"/>
      <c r="GY58" s="13"/>
      <c r="GZ58" s="37"/>
      <c r="HA58" s="13"/>
      <c r="HB58" s="37"/>
      <c r="HC58" s="13"/>
      <c r="HD58" s="37"/>
      <c r="HE58" s="13"/>
      <c r="HF58" s="37"/>
      <c r="HG58" s="13"/>
      <c r="HH58" s="37"/>
      <c r="HI58" s="13"/>
      <c r="HJ58" s="37"/>
      <c r="HK58" s="13"/>
      <c r="HL58" s="37"/>
      <c r="HM58" s="13"/>
      <c r="HN58" s="37"/>
      <c r="HO58" s="13"/>
      <c r="HP58" s="37"/>
      <c r="HQ58" s="13"/>
      <c r="HR58" s="37"/>
      <c r="HS58" s="13"/>
      <c r="HT58" s="37"/>
      <c r="HU58" s="13"/>
      <c r="HV58" s="37"/>
      <c r="HW58" s="13"/>
      <c r="HX58" s="37"/>
      <c r="HY58" s="13"/>
      <c r="HZ58" s="37"/>
      <c r="IA58" s="13"/>
      <c r="IB58" s="37"/>
      <c r="IC58" s="13"/>
      <c r="ID58" s="37"/>
      <c r="IE58" s="13"/>
      <c r="IF58" s="37"/>
      <c r="IG58" s="13"/>
      <c r="IH58" s="37"/>
      <c r="II58" s="13"/>
      <c r="IJ58" s="37"/>
      <c r="IK58" s="13"/>
      <c r="IL58" s="37"/>
      <c r="IM58" s="13"/>
      <c r="IN58" s="37"/>
      <c r="IO58" s="13"/>
      <c r="IP58" s="37"/>
      <c r="IQ58" s="13"/>
      <c r="IR58" s="37"/>
      <c r="IS58" s="13"/>
      <c r="IT58" s="37"/>
      <c r="IU58" s="13"/>
    </row>
    <row r="59" spans="1:12" ht="12">
      <c r="A59" s="24">
        <v>18</v>
      </c>
      <c r="B59" s="4" t="s">
        <v>56</v>
      </c>
      <c r="C59" s="13"/>
      <c r="D59" s="24">
        <v>18</v>
      </c>
      <c r="F59" s="159">
        <f>'System Admin'!F57+UCB!F57+UCCS!F58+UCD!F57+AMC!F57</f>
        <v>6782.4400000000005</v>
      </c>
      <c r="G59" s="159">
        <f>'System Admin'!G57+UCB!G57+UCCS!G58+UCD!G57+AMC!G57</f>
        <v>83646415.19</v>
      </c>
      <c r="H59" s="159">
        <f>'System Admin'!H57+UCB!H57+UCCS!H58+UCD!H57+AMC!H57</f>
        <v>6488.0599999999995</v>
      </c>
      <c r="I59" s="159">
        <f>'System Admin'!I57+UCB!I57+UCCS!I58+UCD!I57+AMC!I57</f>
        <v>95134331.03999999</v>
      </c>
      <c r="J59" s="159">
        <f>'System Admin'!J57+UCB!J57+UCCS!J58+UCD!J57+AMC!J57</f>
        <v>0</v>
      </c>
      <c r="K59" s="159">
        <f>'System Admin'!K57+UCB!K57+UCCS!K58+UCD!K57+AMC!K57</f>
        <v>6444</v>
      </c>
      <c r="L59" s="159">
        <f>'System Admin'!L57+UCB!L57+UCCS!L58+UCD!L57+AMC!L57</f>
        <v>101940360</v>
      </c>
    </row>
    <row r="60" spans="1:12" ht="12">
      <c r="A60" s="24">
        <v>19</v>
      </c>
      <c r="B60" s="4" t="s">
        <v>37</v>
      </c>
      <c r="C60" s="13"/>
      <c r="D60" s="24">
        <v>19</v>
      </c>
      <c r="F60" s="159">
        <f>'System Admin'!F58+UCB!F58+UCCS!F59+UCD!F58+AMC!F58</f>
        <v>10931.45</v>
      </c>
      <c r="G60" s="159">
        <f>'System Admin'!G58+UCB!G58+UCCS!G59+UCD!G58+AMC!G58</f>
        <v>272305684.67</v>
      </c>
      <c r="H60" s="159">
        <f>'System Admin'!H58+UCB!H58+UCCS!H59+UCD!H58+AMC!H58</f>
        <v>10745.96</v>
      </c>
      <c r="I60" s="159">
        <f>'System Admin'!I58+UCB!I58+UCCS!I59+UCD!I58+AMC!I58</f>
        <v>289879149.77</v>
      </c>
      <c r="J60" s="159">
        <f>'System Admin'!J58+UCB!J58+UCCS!J59+UCD!J58+AMC!J58</f>
        <v>0</v>
      </c>
      <c r="K60" s="159">
        <f>'System Admin'!K58+UCB!K58+UCCS!K59+UCD!K58+AMC!K58</f>
        <v>10843.01</v>
      </c>
      <c r="L60" s="159">
        <f>'System Admin'!L58+UCB!L58+UCCS!L59+UCD!L58+AMC!L58</f>
        <v>305904611</v>
      </c>
    </row>
    <row r="61" spans="1:12" ht="12">
      <c r="A61" s="24">
        <v>20</v>
      </c>
      <c r="B61" s="4" t="s">
        <v>36</v>
      </c>
      <c r="C61" s="13"/>
      <c r="D61" s="24">
        <v>20</v>
      </c>
      <c r="F61" s="159">
        <f>'System Admin'!F59+UCB!F59+UCCS!F60+UCD!F59+AMC!F59</f>
        <v>46110.34</v>
      </c>
      <c r="G61" s="159">
        <f>'System Admin'!G59+UCB!G59+UCCS!G60+UCD!G59+AMC!G59</f>
        <v>605862011.87</v>
      </c>
      <c r="H61" s="159">
        <f>'System Admin'!H59+UCB!H59+UCCS!H60+UCD!H59+AMC!H59</f>
        <v>41019.899999999994</v>
      </c>
      <c r="I61" s="159">
        <f>'System Admin'!I59+UCB!I59+UCCS!I60+UCD!I59+AMC!I59</f>
        <v>639020692.87</v>
      </c>
      <c r="J61" s="159">
        <f>'System Admin'!J59+UCB!J59+UCCS!J60+UCD!J59+AMC!J59</f>
        <v>0</v>
      </c>
      <c r="K61" s="159">
        <f>'System Admin'!K59+UCB!K59+UCCS!K60+UCD!K59+AMC!K59</f>
        <v>40985.01</v>
      </c>
      <c r="L61" s="159">
        <f>'System Admin'!L59+UCB!L59+UCCS!L60+UCD!L59+AMC!L59</f>
        <v>692894842</v>
      </c>
    </row>
    <row r="62" spans="1:12" ht="12">
      <c r="A62" s="13" t="s">
        <v>68</v>
      </c>
      <c r="B62" s="4" t="s">
        <v>66</v>
      </c>
      <c r="C62" s="13"/>
      <c r="D62" s="24">
        <v>21</v>
      </c>
      <c r="F62" s="159">
        <f>'System Admin'!F60+UCB!F60+UCCS!F61+UCD!F60+AMC!F60</f>
        <v>0</v>
      </c>
      <c r="G62" s="159">
        <f>'System Admin'!G60+UCB!G60+UCCS!G61+UCD!G60+AMC!G60</f>
        <v>18989487.699999996</v>
      </c>
      <c r="H62" s="159">
        <f>'System Admin'!H60+UCB!H60+UCCS!H61+UCD!H60+AMC!H60</f>
        <v>0</v>
      </c>
      <c r="I62" s="159">
        <f>'System Admin'!I60+UCB!I60+UCCS!I61+UCD!I60+AMC!I60</f>
        <v>23429628.080000006</v>
      </c>
      <c r="J62" s="159">
        <f>'System Admin'!J60+UCB!J60+UCCS!J61+UCD!J60+AMC!J60</f>
        <v>0</v>
      </c>
      <c r="K62" s="159">
        <f>'System Admin'!K60+UCB!K60+UCCS!K61+UCD!K60+AMC!K60</f>
        <v>0</v>
      </c>
      <c r="L62" s="159">
        <f>'System Admin'!L60+UCB!L60+UCCS!L61+UCD!L60+AMC!L60</f>
        <v>32709347</v>
      </c>
    </row>
    <row r="63" spans="1:12" ht="12">
      <c r="A63" s="13" t="s">
        <v>69</v>
      </c>
      <c r="B63" s="4" t="s">
        <v>67</v>
      </c>
      <c r="C63" s="13"/>
      <c r="D63" s="24"/>
      <c r="F63" s="159">
        <f>'System Admin'!F61+UCB!F61+UCCS!F62+UCD!F61+AMC!F61</f>
        <v>0</v>
      </c>
      <c r="G63" s="159">
        <f>'System Admin'!G61+UCB!G61+UCCS!G62+UCD!G61+AMC!G61</f>
        <v>49995466</v>
      </c>
      <c r="H63" s="159">
        <f>'System Admin'!H61+UCB!H61+UCCS!H62+UCD!H61+AMC!H61</f>
        <v>0</v>
      </c>
      <c r="I63" s="159">
        <f>'System Admin'!I61+UCB!I61+UCCS!I62+UCD!I61+AMC!I61</f>
        <v>120888357.6</v>
      </c>
      <c r="J63" s="159">
        <f>'System Admin'!J61+UCB!J61+UCCS!J62+UCD!J61+AMC!J61</f>
        <v>0</v>
      </c>
      <c r="K63" s="159">
        <f>'System Admin'!K61+UCB!K61+UCCS!K62+UCD!K61+AMC!K61</f>
        <v>0</v>
      </c>
      <c r="L63" s="159">
        <f>'System Admin'!L61+UCB!L61+UCCS!L62+UCD!L61+AMC!L61</f>
        <v>33361537</v>
      </c>
    </row>
    <row r="64" spans="1:12" s="48" customFormat="1" ht="12">
      <c r="A64" s="72"/>
      <c r="B64" s="47"/>
      <c r="C64" s="81"/>
      <c r="D64" s="72"/>
      <c r="E64" s="45" t="s">
        <v>1</v>
      </c>
      <c r="F64" s="45" t="s">
        <v>1</v>
      </c>
      <c r="G64" s="45" t="s">
        <v>1</v>
      </c>
      <c r="H64" s="45" t="s">
        <v>1</v>
      </c>
      <c r="I64" s="45" t="s">
        <v>1</v>
      </c>
      <c r="J64" s="45" t="s">
        <v>1</v>
      </c>
      <c r="K64" s="45" t="s">
        <v>1</v>
      </c>
      <c r="L64" s="45" t="s">
        <v>1</v>
      </c>
    </row>
    <row r="65" spans="1:12" ht="12">
      <c r="A65" s="24">
        <v>23</v>
      </c>
      <c r="B65" s="5" t="s">
        <v>38</v>
      </c>
      <c r="C65" s="38"/>
      <c r="D65" s="24">
        <v>23</v>
      </c>
      <c r="F65" s="159">
        <f>'System Admin'!F63+UCB!F63+UCCS!F64+UCD!F63+AMC!F63</f>
        <v>0</v>
      </c>
      <c r="G65" s="159">
        <f>'System Admin'!G63+UCB!G63+UCCS!G64+UCD!G63+AMC!G63</f>
        <v>794784533.23</v>
      </c>
      <c r="H65" s="159">
        <f>'System Admin'!H63+UCB!H63+UCCS!H64+UCD!H63+AMC!H63</f>
        <v>0</v>
      </c>
      <c r="I65" s="159">
        <f>'System Admin'!I63+UCB!I63+UCCS!I64+UCD!I63+AMC!I63</f>
        <v>850626777.77</v>
      </c>
      <c r="J65" s="159">
        <f>'System Admin'!J63+UCB!J63+UCCS!J64+UCD!J63+AMC!J63</f>
        <v>0</v>
      </c>
      <c r="K65" s="159">
        <f>'System Admin'!K63+UCB!K63+UCCS!K64+UCD!K63+AMC!K63</f>
        <v>0</v>
      </c>
      <c r="L65" s="159">
        <f>'System Admin'!L63+UCB!L63+UCCS!L64+UCD!L63+AMC!L63</f>
        <v>878728034</v>
      </c>
    </row>
    <row r="66" spans="1:12" ht="12">
      <c r="A66" s="24">
        <v>24</v>
      </c>
      <c r="B66" s="7"/>
      <c r="C66" s="4"/>
      <c r="D66" s="24">
        <v>24</v>
      </c>
      <c r="F66" s="159">
        <f>'System Admin'!F64+UCB!F64+UCCS!F65+UCD!F64+AMC!F64</f>
        <v>0</v>
      </c>
      <c r="G66" s="159">
        <f>'System Admin'!G64+UCB!G64+UCCS!G65+UCD!G64+AMC!G64</f>
        <v>0</v>
      </c>
      <c r="H66" s="159">
        <f>'System Admin'!H64+UCB!H64+UCCS!H65+UCD!H64+AMC!H64</f>
        <v>0</v>
      </c>
      <c r="I66" s="159">
        <f>'System Admin'!I64+UCB!I64+UCCS!I65+UCD!I64+AMC!I64</f>
        <v>0</v>
      </c>
      <c r="J66" s="159">
        <f>'System Admin'!J64+UCB!J64+UCCS!J65+UCD!J64+AMC!J64</f>
        <v>0</v>
      </c>
      <c r="K66" s="159">
        <f>'System Admin'!K64+UCB!K64+UCCS!K65+UCD!K64+AMC!K64</f>
        <v>0</v>
      </c>
      <c r="L66" s="159">
        <f>'System Admin'!L64+UCB!L64+UCCS!L65+UCD!L64+AMC!L64</f>
        <v>0</v>
      </c>
    </row>
    <row r="67" spans="1:12" ht="12">
      <c r="A67" s="24">
        <v>25</v>
      </c>
      <c r="B67" s="4" t="s">
        <v>47</v>
      </c>
      <c r="C67" s="13"/>
      <c r="D67" s="24">
        <v>25</v>
      </c>
      <c r="F67" s="159">
        <f>'System Admin'!F65+UCB!F65+UCCS!F66+UCD!F65+AMC!F65</f>
        <v>0</v>
      </c>
      <c r="G67" s="159">
        <f>'System Admin'!G65+UCB!G65+UCCS!G66+UCD!G65+AMC!G65</f>
        <v>138268397.12</v>
      </c>
      <c r="H67" s="159">
        <f>'System Admin'!H65+UCB!H65+UCCS!H66+UCD!H65+AMC!H65</f>
        <v>0</v>
      </c>
      <c r="I67" s="159">
        <f>'System Admin'!I65+UCB!I65+UCCS!I66+UCD!I65+AMC!I65</f>
        <v>135402138.84</v>
      </c>
      <c r="J67" s="159">
        <f>'System Admin'!J65+UCB!J65+UCCS!J66+UCD!J65+AMC!J65</f>
        <v>0</v>
      </c>
      <c r="K67" s="159">
        <f>'System Admin'!K65+UCB!K65+UCCS!K66+UCD!K65+AMC!K65</f>
        <v>0</v>
      </c>
      <c r="L67" s="159">
        <f>'System Admin'!L65+UCB!L65+UCCS!L66+UCD!L65+AMC!L65</f>
        <v>126821258</v>
      </c>
    </row>
    <row r="68" spans="1:12" s="48" customFormat="1" ht="12">
      <c r="A68" s="72"/>
      <c r="B68" s="47"/>
      <c r="C68" s="81"/>
      <c r="D68" s="72"/>
      <c r="E68" s="45" t="s">
        <v>1</v>
      </c>
      <c r="F68" s="45" t="s">
        <v>1</v>
      </c>
      <c r="G68" s="45" t="s">
        <v>1</v>
      </c>
      <c r="H68" s="45" t="s">
        <v>1</v>
      </c>
      <c r="I68" s="45" t="s">
        <v>1</v>
      </c>
      <c r="J68" s="45" t="s">
        <v>1</v>
      </c>
      <c r="K68" s="45" t="s">
        <v>1</v>
      </c>
      <c r="L68" s="45" t="s">
        <v>1</v>
      </c>
    </row>
    <row r="69" spans="1:12" ht="15" customHeight="1">
      <c r="A69" s="24">
        <v>27</v>
      </c>
      <c r="B69" s="4" t="s">
        <v>60</v>
      </c>
      <c r="D69" s="24">
        <v>27</v>
      </c>
      <c r="F69" s="159">
        <f>'System Admin'!F67+UCB!F67+UCCS!F68+UCD!F67+AMC!F67</f>
        <v>0</v>
      </c>
      <c r="G69" s="159">
        <f>'System Admin'!G67+UCB!G67+UCCS!G68+UCD!G67+AMC!G67</f>
        <v>933052930.3500001</v>
      </c>
      <c r="H69" s="159">
        <f>'System Admin'!H67+UCB!H67+UCCS!H68+UCD!H67+AMC!H67</f>
        <v>0</v>
      </c>
      <c r="I69" s="159">
        <f>'System Admin'!I67+UCB!I67+UCCS!I68+UCD!I67+AMC!I67</f>
        <v>986028916.61</v>
      </c>
      <c r="J69" s="159">
        <f>'System Admin'!J67+UCB!J67+UCCS!J68+UCD!J67+AMC!J67</f>
        <v>0</v>
      </c>
      <c r="K69" s="159">
        <f>'System Admin'!K67+UCB!K67+UCCS!K68+UCD!K67+AMC!K67</f>
        <v>0</v>
      </c>
      <c r="L69" s="159">
        <f>'System Admin'!L67+UCB!L67+UCCS!L68+UCD!L67+AMC!L67</f>
        <v>1005549292</v>
      </c>
    </row>
    <row r="70" spans="5:12" ht="12">
      <c r="E70" s="14"/>
      <c r="F70" s="14"/>
      <c r="G70" s="159"/>
      <c r="H70" s="159"/>
      <c r="I70" s="159"/>
      <c r="J70" s="159"/>
      <c r="K70" s="159"/>
      <c r="L70" s="159"/>
    </row>
    <row r="71" spans="5:6" ht="12">
      <c r="E71" s="14"/>
      <c r="F71" s="14"/>
    </row>
    <row r="72" spans="1:12" ht="12">
      <c r="A72" s="444"/>
      <c r="B72" s="444" t="s">
        <v>23</v>
      </c>
      <c r="C72" s="445"/>
      <c r="D72" s="444"/>
      <c r="E72" s="446"/>
      <c r="F72" s="446"/>
      <c r="G72" s="447">
        <f>'System Admin'!G69+UCB!G69+UCCS!G70+UCD!G69+AMC!G69</f>
        <v>95184472.89</v>
      </c>
      <c r="H72" s="447">
        <f>'System Admin'!H69+UCB!H69+UCCS!H70+UCD!H69+AMC!H69</f>
        <v>0</v>
      </c>
      <c r="I72" s="447">
        <f>'System Admin'!I69+UCB!I69+UCCS!I70+UCD!I69+AMC!I69</f>
        <v>105549593.03999999</v>
      </c>
      <c r="J72" s="447">
        <f>'System Admin'!J69+UCB!J69+UCCS!J70+UCD!J69+AMC!J69</f>
        <v>0</v>
      </c>
      <c r="K72" s="447">
        <f>'System Admin'!K69+UCB!K69+UCCS!K70+UCD!K69+AMC!K69</f>
        <v>0</v>
      </c>
      <c r="L72" s="447">
        <f>'System Admin'!L69+UCB!L69+UCCS!L70+UCD!L69+AMC!L69</f>
        <v>115703217</v>
      </c>
    </row>
    <row r="73" spans="3:12" ht="12">
      <c r="C73" s="13"/>
      <c r="E73" s="14"/>
      <c r="F73" s="14"/>
      <c r="G73" s="14"/>
      <c r="H73" s="15"/>
      <c r="J73" s="17"/>
      <c r="K73" s="15"/>
      <c r="L73" s="31" t="s">
        <v>626</v>
      </c>
    </row>
    <row r="74" spans="1:12" ht="12">
      <c r="A74" s="449" t="s">
        <v>64</v>
      </c>
      <c r="B74" s="449"/>
      <c r="C74" s="449"/>
      <c r="D74" s="449"/>
      <c r="E74" s="449"/>
      <c r="F74" s="449"/>
      <c r="G74" s="449"/>
      <c r="H74" s="449"/>
      <c r="I74" s="449"/>
      <c r="J74" s="449"/>
      <c r="K74" s="449"/>
      <c r="L74" s="449"/>
    </row>
    <row r="75" spans="1:12" ht="12">
      <c r="A75" s="32"/>
      <c r="I75" s="19"/>
      <c r="K75" s="6"/>
      <c r="L75" s="34" t="str">
        <f>$L$1</f>
        <v>Date: 10/1/2010</v>
      </c>
    </row>
    <row r="76" spans="1:12" ht="12">
      <c r="A76" s="14" t="s">
        <v>1</v>
      </c>
      <c r="B76" s="14" t="s">
        <v>1</v>
      </c>
      <c r="C76" s="14" t="s">
        <v>1</v>
      </c>
      <c r="D76" s="14" t="s">
        <v>1</v>
      </c>
      <c r="E76" s="14" t="s">
        <v>1</v>
      </c>
      <c r="F76" s="14"/>
      <c r="G76" s="14"/>
      <c r="H76" s="15" t="s">
        <v>1</v>
      </c>
      <c r="I76" s="18" t="s">
        <v>1</v>
      </c>
      <c r="J76" s="14" t="s">
        <v>1</v>
      </c>
      <c r="K76" s="15" t="s">
        <v>1</v>
      </c>
      <c r="L76" s="18" t="s">
        <v>1</v>
      </c>
    </row>
    <row r="77" spans="1:12" ht="12">
      <c r="A77" s="35" t="s">
        <v>2</v>
      </c>
      <c r="D77" s="35" t="s">
        <v>2</v>
      </c>
      <c r="E77" s="1"/>
      <c r="F77" s="1"/>
      <c r="G77" s="3" t="s">
        <v>62</v>
      </c>
      <c r="H77" s="2"/>
      <c r="I77" s="3" t="s">
        <v>65</v>
      </c>
      <c r="J77" s="1"/>
      <c r="K77" s="2"/>
      <c r="L77" s="3" t="s">
        <v>70</v>
      </c>
    </row>
    <row r="78" spans="1:12" ht="12">
      <c r="A78" s="35" t="s">
        <v>4</v>
      </c>
      <c r="B78" s="36" t="s">
        <v>18</v>
      </c>
      <c r="D78" s="35" t="s">
        <v>4</v>
      </c>
      <c r="E78" s="1"/>
      <c r="F78" s="1"/>
      <c r="G78" s="1" t="s">
        <v>7</v>
      </c>
      <c r="H78" s="2"/>
      <c r="I78" s="3" t="s">
        <v>7</v>
      </c>
      <c r="J78" s="1"/>
      <c r="K78" s="2"/>
      <c r="L78" s="3" t="s">
        <v>8</v>
      </c>
    </row>
    <row r="79" spans="1:12" ht="12">
      <c r="A79" s="14" t="s">
        <v>1</v>
      </c>
      <c r="B79" s="14" t="s">
        <v>1</v>
      </c>
      <c r="C79" s="14" t="s">
        <v>1</v>
      </c>
      <c r="D79" s="14" t="s">
        <v>1</v>
      </c>
      <c r="E79" s="14" t="s">
        <v>1</v>
      </c>
      <c r="F79" s="14"/>
      <c r="G79" s="14"/>
      <c r="H79" s="15" t="s">
        <v>1</v>
      </c>
      <c r="I79" s="18" t="s">
        <v>1</v>
      </c>
      <c r="J79" s="14" t="s">
        <v>1</v>
      </c>
      <c r="K79" s="15" t="s">
        <v>1</v>
      </c>
      <c r="L79" s="18" t="s">
        <v>1</v>
      </c>
    </row>
    <row r="80" spans="1:12" ht="12">
      <c r="A80" s="5">
        <v>12</v>
      </c>
      <c r="B80" s="5" t="s">
        <v>50</v>
      </c>
      <c r="D80" s="21">
        <v>12</v>
      </c>
      <c r="G80" s="155">
        <f>G55</f>
        <v>101940267.66</v>
      </c>
      <c r="I80" s="383">
        <f>I55</f>
        <v>50138099.22</v>
      </c>
      <c r="L80" s="16">
        <f>L55</f>
        <v>103757823</v>
      </c>
    </row>
    <row r="81" ht="12">
      <c r="D81" s="21"/>
    </row>
    <row r="82" ht="12">
      <c r="D82" s="21"/>
    </row>
    <row r="83" spans="4:7" ht="12">
      <c r="D83" s="21"/>
      <c r="G83" s="5" t="s">
        <v>0</v>
      </c>
    </row>
    <row r="84" ht="12">
      <c r="D84" s="21"/>
    </row>
    <row r="85" ht="12">
      <c r="D85" s="21"/>
    </row>
    <row r="86" ht="12">
      <c r="D86" s="21"/>
    </row>
    <row r="87" ht="12">
      <c r="D87" s="21"/>
    </row>
    <row r="88" ht="12">
      <c r="D88" s="21"/>
    </row>
    <row r="89" ht="12">
      <c r="D89" s="21"/>
    </row>
    <row r="90" ht="12">
      <c r="D90" s="21"/>
    </row>
    <row r="91" ht="12">
      <c r="D91" s="21"/>
    </row>
    <row r="92" ht="12">
      <c r="D92" s="21"/>
    </row>
    <row r="93" spans="2:4" ht="12">
      <c r="B93" s="5" t="s">
        <v>48</v>
      </c>
      <c r="D93" s="21"/>
    </row>
    <row r="94" spans="4:12" ht="12">
      <c r="D94" s="21"/>
      <c r="H94" s="5"/>
      <c r="I94" s="5"/>
      <c r="K94" s="5"/>
      <c r="L94" s="5"/>
    </row>
    <row r="95" spans="2:12" ht="12.75">
      <c r="B95" s="40"/>
      <c r="C95" s="41"/>
      <c r="D95" s="41"/>
      <c r="E95" s="41"/>
      <c r="H95" s="5"/>
      <c r="I95" s="5"/>
      <c r="K95" s="5"/>
      <c r="L95" s="5"/>
    </row>
    <row r="96" spans="2:12" ht="12.75">
      <c r="B96" s="40"/>
      <c r="C96" s="41"/>
      <c r="D96" s="41"/>
      <c r="E96" s="41"/>
      <c r="H96" s="5"/>
      <c r="I96" s="5"/>
      <c r="K96" s="5"/>
      <c r="L96" s="5"/>
    </row>
    <row r="97" spans="4:12" ht="12">
      <c r="D97" s="21"/>
      <c r="H97" s="5"/>
      <c r="I97" s="5"/>
      <c r="K97" s="5"/>
      <c r="L97" s="5"/>
    </row>
    <row r="98" spans="4:12" ht="12">
      <c r="D98" s="21"/>
      <c r="H98" s="5"/>
      <c r="I98" s="5"/>
      <c r="K98" s="5"/>
      <c r="L98" s="5"/>
    </row>
    <row r="99" spans="4:12" ht="12">
      <c r="D99" s="21"/>
      <c r="H99" s="5"/>
      <c r="I99" s="5"/>
      <c r="K99" s="5"/>
      <c r="L99" s="5"/>
    </row>
    <row r="100" spans="4:12" ht="12">
      <c r="D100" s="21"/>
      <c r="H100" s="5"/>
      <c r="I100" s="5"/>
      <c r="K100" s="5"/>
      <c r="L100" s="5"/>
    </row>
    <row r="101" spans="4:12" ht="12">
      <c r="D101" s="21"/>
      <c r="H101" s="5"/>
      <c r="I101" s="5"/>
      <c r="K101" s="5"/>
      <c r="L101" s="5"/>
    </row>
    <row r="102" spans="4:12" ht="12">
      <c r="D102" s="21"/>
      <c r="H102" s="5"/>
      <c r="I102" s="5"/>
      <c r="K102" s="5"/>
      <c r="L102" s="5"/>
    </row>
    <row r="103" spans="4:12" ht="12">
      <c r="D103" s="21"/>
      <c r="H103" s="5"/>
      <c r="I103" s="5"/>
      <c r="K103" s="5"/>
      <c r="L103" s="5"/>
    </row>
    <row r="104" spans="4:12" ht="12">
      <c r="D104" s="21"/>
      <c r="H104" s="5"/>
      <c r="I104" s="5"/>
      <c r="K104" s="5"/>
      <c r="L104" s="5"/>
    </row>
    <row r="105" spans="4:12" ht="12">
      <c r="D105" s="21"/>
      <c r="H105" s="5"/>
      <c r="I105" s="5"/>
      <c r="K105" s="5"/>
      <c r="L105" s="5"/>
    </row>
    <row r="106" spans="4:12" ht="12">
      <c r="D106" s="21"/>
      <c r="H106" s="5"/>
      <c r="I106" s="5"/>
      <c r="K106" s="5"/>
      <c r="L106" s="5"/>
    </row>
  </sheetData>
  <sheetProtection/>
  <mergeCells count="7">
    <mergeCell ref="A34:L34"/>
    <mergeCell ref="A74:L74"/>
    <mergeCell ref="A3:L3"/>
    <mergeCell ref="A6:L6"/>
    <mergeCell ref="A7:L7"/>
    <mergeCell ref="A18:L18"/>
    <mergeCell ref="A32:L32"/>
  </mergeCells>
  <printOptions horizontalCentered="1"/>
  <pageMargins left="0.3" right="0.3" top="1" bottom="1" header="0.5" footer="0.24"/>
  <pageSetup fitToHeight="3" horizontalDpi="600" verticalDpi="600" orientation="landscape" scale="82" r:id="rId1"/>
  <rowBreaks count="2" manualBreakCount="2">
    <brk id="32" max="11" man="1"/>
    <brk id="7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U140"/>
  <sheetViews>
    <sheetView showGridLines="0" view="pageBreakPreview" zoomScale="75" zoomScaleNormal="75" zoomScaleSheetLayoutView="75" workbookViewId="0" topLeftCell="A124">
      <selection activeCell="A18" sqref="A18:L18"/>
    </sheetView>
  </sheetViews>
  <sheetFormatPr defaultColWidth="9.625" defaultRowHeight="12.75"/>
  <cols>
    <col min="1" max="1" width="4.625" style="48" customWidth="1"/>
    <col min="2" max="2" width="33.00390625" style="48" customWidth="1"/>
    <col min="3" max="3" width="18.75390625" style="48" customWidth="1"/>
    <col min="4" max="4" width="8.125" style="48" customWidth="1"/>
    <col min="5" max="5" width="7.25390625" style="48" customWidth="1"/>
    <col min="6" max="6" width="10.625" style="48" customWidth="1"/>
    <col min="7" max="7" width="9.75390625" style="48" bestFit="1" customWidth="1"/>
    <col min="8" max="8" width="11.625" style="85" customWidth="1"/>
    <col min="9" max="9" width="12.625" style="57" customWidth="1"/>
    <col min="10" max="10" width="3.00390625" style="48" bestFit="1" customWidth="1"/>
    <col min="11" max="11" width="7.625" style="85" customWidth="1"/>
    <col min="12" max="12" width="14.375" style="57" bestFit="1" customWidth="1"/>
    <col min="13" max="16384" width="9.625" style="48" customWidth="1"/>
  </cols>
  <sheetData>
    <row r="1" ht="12">
      <c r="L1" s="384" t="s">
        <v>71</v>
      </c>
    </row>
    <row r="3" spans="1:12" ht="45">
      <c r="A3" s="456" t="s">
        <v>35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</row>
    <row r="6" spans="1:12" s="248" customFormat="1" ht="33">
      <c r="A6" s="457" t="s">
        <v>72</v>
      </c>
      <c r="B6" s="457"/>
      <c r="C6" s="457"/>
      <c r="D6" s="457"/>
      <c r="E6" s="457"/>
      <c r="F6" s="457"/>
      <c r="G6" s="457"/>
      <c r="H6" s="457"/>
      <c r="I6" s="457"/>
      <c r="J6" s="457"/>
      <c r="K6" s="457"/>
      <c r="L6" s="457"/>
    </row>
    <row r="7" spans="1:12" s="248" customFormat="1" ht="33">
      <c r="A7" s="457" t="s">
        <v>73</v>
      </c>
      <c r="B7" s="457"/>
      <c r="C7" s="457"/>
      <c r="D7" s="457"/>
      <c r="E7" s="457"/>
      <c r="F7" s="457"/>
      <c r="G7" s="457"/>
      <c r="H7" s="457"/>
      <c r="I7" s="457"/>
      <c r="J7" s="457"/>
      <c r="K7" s="457"/>
      <c r="L7" s="457"/>
    </row>
    <row r="18" spans="1:12" ht="45">
      <c r="A18" s="458" t="s">
        <v>608</v>
      </c>
      <c r="B18" s="458"/>
      <c r="C18" s="458"/>
      <c r="D18" s="458"/>
      <c r="E18" s="458"/>
      <c r="F18" s="458"/>
      <c r="G18" s="458"/>
      <c r="H18" s="458"/>
      <c r="I18" s="458"/>
      <c r="J18" s="458"/>
      <c r="K18" s="458"/>
      <c r="L18" s="458"/>
    </row>
    <row r="31" spans="1:12" ht="12">
      <c r="A31" s="91" t="s">
        <v>607</v>
      </c>
      <c r="H31" s="84"/>
      <c r="L31" s="92" t="s">
        <v>76</v>
      </c>
    </row>
    <row r="32" spans="1:12" s="93" customFormat="1" ht="12">
      <c r="A32" s="455" t="s">
        <v>77</v>
      </c>
      <c r="B32" s="455"/>
      <c r="C32" s="455"/>
      <c r="D32" s="455"/>
      <c r="E32" s="455"/>
      <c r="F32" s="455"/>
      <c r="G32" s="455"/>
      <c r="H32" s="455"/>
      <c r="I32" s="455"/>
      <c r="J32" s="455"/>
      <c r="K32" s="455"/>
      <c r="L32" s="455"/>
    </row>
    <row r="33" spans="1:12" ht="12">
      <c r="A33" s="91"/>
      <c r="H33" s="84"/>
      <c r="J33" s="49"/>
      <c r="K33" s="84"/>
      <c r="L33" s="94" t="str">
        <f>$L$1</f>
        <v>Date: 10/1/2010</v>
      </c>
    </row>
    <row r="34" spans="1:12" ht="12">
      <c r="A34" s="45" t="s">
        <v>1</v>
      </c>
      <c r="B34" s="45" t="s">
        <v>1</v>
      </c>
      <c r="C34" s="45" t="s">
        <v>1</v>
      </c>
      <c r="D34" s="45" t="s">
        <v>1</v>
      </c>
      <c r="E34" s="45" t="s">
        <v>1</v>
      </c>
      <c r="F34" s="45"/>
      <c r="G34" s="45"/>
      <c r="H34" s="95" t="s">
        <v>1</v>
      </c>
      <c r="I34" s="71" t="s">
        <v>1</v>
      </c>
      <c r="J34" s="45" t="s">
        <v>1</v>
      </c>
      <c r="K34" s="95" t="s">
        <v>1</v>
      </c>
      <c r="L34" s="71" t="s">
        <v>1</v>
      </c>
    </row>
    <row r="35" spans="1:12" ht="12">
      <c r="A35" s="59" t="s">
        <v>2</v>
      </c>
      <c r="B35" s="47" t="s">
        <v>3</v>
      </c>
      <c r="D35" s="59" t="s">
        <v>2</v>
      </c>
      <c r="E35" s="77"/>
      <c r="F35" s="77"/>
      <c r="G35" s="77" t="s">
        <v>62</v>
      </c>
      <c r="H35" s="96"/>
      <c r="I35" s="87" t="s">
        <v>65</v>
      </c>
      <c r="J35" s="77"/>
      <c r="K35" s="96"/>
      <c r="L35" s="87" t="s">
        <v>70</v>
      </c>
    </row>
    <row r="36" spans="1:12" ht="12">
      <c r="A36" s="59" t="s">
        <v>4</v>
      </c>
      <c r="B36" s="80" t="s">
        <v>5</v>
      </c>
      <c r="D36" s="59" t="s">
        <v>4</v>
      </c>
      <c r="E36" s="77"/>
      <c r="F36" s="77" t="s">
        <v>19</v>
      </c>
      <c r="G36" s="77" t="s">
        <v>7</v>
      </c>
      <c r="H36" s="96" t="s">
        <v>6</v>
      </c>
      <c r="I36" s="87" t="s">
        <v>7</v>
      </c>
      <c r="J36" s="77"/>
      <c r="K36" s="96" t="s">
        <v>6</v>
      </c>
      <c r="L36" s="87" t="s">
        <v>8</v>
      </c>
    </row>
    <row r="37" spans="1:12" ht="12">
      <c r="A37" s="45" t="s">
        <v>1</v>
      </c>
      <c r="B37" s="45" t="s">
        <v>1</v>
      </c>
      <c r="C37" s="45" t="s">
        <v>1</v>
      </c>
      <c r="D37" s="45" t="s">
        <v>1</v>
      </c>
      <c r="E37" s="45" t="s">
        <v>1</v>
      </c>
      <c r="F37" s="45"/>
      <c r="G37" s="45"/>
      <c r="H37" s="95" t="s">
        <v>1</v>
      </c>
      <c r="I37" s="95" t="s">
        <v>1</v>
      </c>
      <c r="J37" s="45" t="s">
        <v>1</v>
      </c>
      <c r="K37" s="95" t="s">
        <v>1</v>
      </c>
      <c r="L37" s="71" t="s">
        <v>1</v>
      </c>
    </row>
    <row r="38" spans="1:12" ht="12">
      <c r="A38" s="72">
        <v>1</v>
      </c>
      <c r="B38" s="47" t="s">
        <v>9</v>
      </c>
      <c r="C38" s="81" t="s">
        <v>24</v>
      </c>
      <c r="D38" s="72">
        <v>1</v>
      </c>
      <c r="F38" s="97">
        <v>0</v>
      </c>
      <c r="G38" s="97">
        <v>0</v>
      </c>
      <c r="H38" s="97">
        <v>0</v>
      </c>
      <c r="I38" s="97">
        <v>0</v>
      </c>
      <c r="J38" s="97">
        <v>0</v>
      </c>
      <c r="K38" s="97">
        <v>0</v>
      </c>
      <c r="L38" s="97">
        <v>0</v>
      </c>
    </row>
    <row r="39" spans="1:12" ht="12">
      <c r="A39" s="72">
        <v>2</v>
      </c>
      <c r="B39" s="47" t="s">
        <v>10</v>
      </c>
      <c r="C39" s="81" t="s">
        <v>25</v>
      </c>
      <c r="D39" s="72">
        <v>2</v>
      </c>
      <c r="F39" s="97">
        <v>0</v>
      </c>
      <c r="G39" s="97">
        <v>0</v>
      </c>
      <c r="H39" s="97">
        <v>0</v>
      </c>
      <c r="I39" s="97">
        <v>0</v>
      </c>
      <c r="J39" s="97">
        <v>0</v>
      </c>
      <c r="K39" s="97">
        <v>0</v>
      </c>
      <c r="L39" s="97">
        <v>0</v>
      </c>
    </row>
    <row r="40" spans="1:12" ht="12">
      <c r="A40" s="72">
        <v>3</v>
      </c>
      <c r="B40" s="47" t="s">
        <v>11</v>
      </c>
      <c r="C40" s="81" t="s">
        <v>26</v>
      </c>
      <c r="D40" s="72">
        <v>3</v>
      </c>
      <c r="F40" s="97">
        <v>0</v>
      </c>
      <c r="G40" s="97">
        <v>0</v>
      </c>
      <c r="H40" s="97">
        <v>0</v>
      </c>
      <c r="I40" s="97">
        <v>0</v>
      </c>
      <c r="J40" s="97">
        <v>0</v>
      </c>
      <c r="K40" s="97">
        <v>0</v>
      </c>
      <c r="L40" s="97">
        <v>0</v>
      </c>
    </row>
    <row r="41" spans="1:12" ht="12">
      <c r="A41" s="72">
        <v>4</v>
      </c>
      <c r="B41" s="47" t="s">
        <v>12</v>
      </c>
      <c r="C41" s="81" t="s">
        <v>27</v>
      </c>
      <c r="D41" s="72">
        <v>4</v>
      </c>
      <c r="F41" s="97">
        <v>0</v>
      </c>
      <c r="G41" s="97">
        <v>0</v>
      </c>
      <c r="H41" s="97">
        <v>0</v>
      </c>
      <c r="I41" s="97">
        <v>0</v>
      </c>
      <c r="J41" s="97">
        <v>0</v>
      </c>
      <c r="K41" s="97">
        <v>0</v>
      </c>
      <c r="L41" s="97">
        <v>0</v>
      </c>
    </row>
    <row r="42" spans="1:12" ht="12">
      <c r="A42" s="72">
        <v>5</v>
      </c>
      <c r="B42" s="47" t="s">
        <v>13</v>
      </c>
      <c r="C42" s="81" t="s">
        <v>28</v>
      </c>
      <c r="D42" s="72">
        <v>5</v>
      </c>
      <c r="F42" s="97">
        <v>0</v>
      </c>
      <c r="G42" s="97">
        <v>0</v>
      </c>
      <c r="H42" s="97">
        <v>0</v>
      </c>
      <c r="I42" s="97">
        <v>0</v>
      </c>
      <c r="J42" s="97">
        <v>0</v>
      </c>
      <c r="K42" s="97">
        <v>0</v>
      </c>
      <c r="L42" s="97">
        <v>0</v>
      </c>
    </row>
    <row r="43" spans="1:12" ht="12">
      <c r="A43" s="72">
        <v>6</v>
      </c>
      <c r="B43" s="47" t="s">
        <v>14</v>
      </c>
      <c r="C43" s="81" t="s">
        <v>29</v>
      </c>
      <c r="D43" s="72">
        <v>6</v>
      </c>
      <c r="F43" s="97">
        <v>0</v>
      </c>
      <c r="G43" s="97">
        <v>0</v>
      </c>
      <c r="H43" s="97">
        <v>0</v>
      </c>
      <c r="I43" s="97">
        <v>0</v>
      </c>
      <c r="J43" s="97">
        <v>0</v>
      </c>
      <c r="K43" s="97">
        <v>0</v>
      </c>
      <c r="L43" s="97">
        <v>0</v>
      </c>
    </row>
    <row r="44" spans="1:16" ht="12">
      <c r="A44" s="72">
        <v>7</v>
      </c>
      <c r="B44" s="47" t="s">
        <v>20</v>
      </c>
      <c r="C44" s="81" t="s">
        <v>30</v>
      </c>
      <c r="D44" s="72">
        <v>7</v>
      </c>
      <c r="F44" s="97">
        <v>0</v>
      </c>
      <c r="G44" s="97">
        <v>0</v>
      </c>
      <c r="H44" s="97">
        <v>0</v>
      </c>
      <c r="I44" s="97">
        <v>0</v>
      </c>
      <c r="J44" s="97">
        <v>0</v>
      </c>
      <c r="K44" s="97">
        <v>0</v>
      </c>
      <c r="L44" s="97">
        <v>0</v>
      </c>
      <c r="P44" s="48" t="s">
        <v>0</v>
      </c>
    </row>
    <row r="45" spans="1:12" ht="12">
      <c r="A45" s="72">
        <v>8</v>
      </c>
      <c r="B45" s="47" t="s">
        <v>15</v>
      </c>
      <c r="C45" s="81" t="s">
        <v>31</v>
      </c>
      <c r="D45" s="72">
        <v>8</v>
      </c>
      <c r="F45" s="97">
        <v>0</v>
      </c>
      <c r="G45" s="97">
        <v>0</v>
      </c>
      <c r="H45" s="97">
        <v>0</v>
      </c>
      <c r="I45" s="97">
        <v>0</v>
      </c>
      <c r="J45" s="97">
        <v>0</v>
      </c>
      <c r="K45" s="97">
        <v>0</v>
      </c>
      <c r="L45" s="97">
        <v>0</v>
      </c>
    </row>
    <row r="46" spans="1:12" ht="12">
      <c r="A46" s="72">
        <v>9</v>
      </c>
      <c r="B46" s="47" t="s">
        <v>22</v>
      </c>
      <c r="C46" s="81" t="s">
        <v>32</v>
      </c>
      <c r="D46" s="72">
        <v>9</v>
      </c>
      <c r="F46" s="97">
        <v>0</v>
      </c>
      <c r="G46" s="97">
        <v>0</v>
      </c>
      <c r="H46" s="97">
        <v>0</v>
      </c>
      <c r="I46" s="97">
        <v>0</v>
      </c>
      <c r="J46" s="97">
        <v>0</v>
      </c>
      <c r="K46" s="97">
        <v>0</v>
      </c>
      <c r="L46" s="97">
        <v>0</v>
      </c>
    </row>
    <row r="47" spans="1:12" ht="12">
      <c r="A47" s="72">
        <v>10</v>
      </c>
      <c r="B47" s="47" t="s">
        <v>16</v>
      </c>
      <c r="C47" s="81" t="s">
        <v>21</v>
      </c>
      <c r="D47" s="72">
        <v>10</v>
      </c>
      <c r="F47" s="97">
        <v>0</v>
      </c>
      <c r="G47" s="98">
        <f>+G138</f>
        <v>7745828</v>
      </c>
      <c r="H47" s="97">
        <v>0</v>
      </c>
      <c r="I47" s="98">
        <f>+I138</f>
        <v>8409043</v>
      </c>
      <c r="J47" s="99"/>
      <c r="K47" s="97">
        <v>0</v>
      </c>
      <c r="L47" s="98">
        <f>+L138</f>
        <v>8750000</v>
      </c>
    </row>
    <row r="48" spans="1:12" ht="12">
      <c r="A48" s="72"/>
      <c r="B48" s="47"/>
      <c r="C48" s="81"/>
      <c r="D48" s="72"/>
      <c r="E48" s="45" t="s">
        <v>1</v>
      </c>
      <c r="F48" s="45"/>
      <c r="G48" s="100"/>
      <c r="H48" s="95" t="s">
        <v>1</v>
      </c>
      <c r="I48" s="100"/>
      <c r="J48" s="54"/>
      <c r="K48" s="95"/>
      <c r="L48" s="100"/>
    </row>
    <row r="49" spans="1:12" ht="12">
      <c r="A49" s="48">
        <v>11</v>
      </c>
      <c r="B49" s="47" t="s">
        <v>59</v>
      </c>
      <c r="D49" s="48">
        <v>11</v>
      </c>
      <c r="F49" s="97">
        <f>SUM(F38:F47)</f>
        <v>0</v>
      </c>
      <c r="G49" s="98">
        <f>SUM(G38:G47)</f>
        <v>7745828</v>
      </c>
      <c r="H49" s="97">
        <f>SUM(H38:H47)</f>
        <v>0</v>
      </c>
      <c r="I49" s="98">
        <f>SUM(I38:I47)</f>
        <v>8409043</v>
      </c>
      <c r="J49" s="99"/>
      <c r="K49" s="97">
        <f>SUM(K38:K47)</f>
        <v>0</v>
      </c>
      <c r="L49" s="98">
        <f>SUM(L38:L47)</f>
        <v>8750000</v>
      </c>
    </row>
    <row r="50" spans="1:12" ht="12">
      <c r="A50" s="72"/>
      <c r="D50" s="72"/>
      <c r="E50" s="45" t="s">
        <v>1</v>
      </c>
      <c r="F50" s="45"/>
      <c r="G50" s="45"/>
      <c r="H50" s="95" t="s">
        <v>1</v>
      </c>
      <c r="I50" s="71"/>
      <c r="J50" s="54"/>
      <c r="K50" s="95"/>
      <c r="L50" s="71"/>
    </row>
    <row r="51" spans="1:12" ht="12">
      <c r="A51" s="48">
        <v>12</v>
      </c>
      <c r="B51" s="47" t="s">
        <v>17</v>
      </c>
      <c r="D51" s="48">
        <v>12</v>
      </c>
      <c r="F51" s="99"/>
      <c r="G51" s="99"/>
      <c r="H51" s="102"/>
      <c r="I51" s="102"/>
      <c r="J51" s="99"/>
      <c r="K51" s="97"/>
      <c r="L51" s="102"/>
    </row>
    <row r="52" spans="1:12" ht="12">
      <c r="A52" s="72">
        <v>13</v>
      </c>
      <c r="B52" s="47" t="s">
        <v>51</v>
      </c>
      <c r="C52" s="81" t="s">
        <v>57</v>
      </c>
      <c r="D52" s="72">
        <v>13</v>
      </c>
      <c r="F52" s="97"/>
      <c r="G52" s="98"/>
      <c r="H52" s="97"/>
      <c r="I52" s="98"/>
      <c r="J52" s="99"/>
      <c r="K52" s="97"/>
      <c r="L52" s="98"/>
    </row>
    <row r="53" spans="1:12" ht="12">
      <c r="A53" s="72">
        <v>14</v>
      </c>
      <c r="B53" s="47" t="s">
        <v>52</v>
      </c>
      <c r="C53" s="81" t="s">
        <v>58</v>
      </c>
      <c r="D53" s="72">
        <v>14</v>
      </c>
      <c r="F53" s="97"/>
      <c r="G53" s="98"/>
      <c r="H53" s="97"/>
      <c r="I53" s="98"/>
      <c r="J53" s="99"/>
      <c r="K53" s="97"/>
      <c r="L53" s="98"/>
    </row>
    <row r="54" spans="1:12" ht="12">
      <c r="A54" s="72">
        <v>15</v>
      </c>
      <c r="B54" s="47" t="s">
        <v>54</v>
      </c>
      <c r="C54" s="81"/>
      <c r="D54" s="72">
        <v>15</v>
      </c>
      <c r="F54" s="97"/>
      <c r="G54" s="98">
        <v>0</v>
      </c>
      <c r="H54" s="97"/>
      <c r="I54" s="98">
        <v>0</v>
      </c>
      <c r="J54" s="99"/>
      <c r="K54" s="97"/>
      <c r="L54" s="98">
        <v>0</v>
      </c>
    </row>
    <row r="55" spans="1:12" ht="12">
      <c r="A55" s="72">
        <v>16</v>
      </c>
      <c r="B55" s="47" t="s">
        <v>53</v>
      </c>
      <c r="C55" s="81"/>
      <c r="D55" s="72">
        <v>16</v>
      </c>
      <c r="F55" s="97" t="s">
        <v>0</v>
      </c>
      <c r="G55" s="98">
        <v>0</v>
      </c>
      <c r="H55" s="97"/>
      <c r="I55" s="98">
        <v>0</v>
      </c>
      <c r="J55" s="99"/>
      <c r="K55" s="97"/>
      <c r="L55" s="98">
        <v>0</v>
      </c>
    </row>
    <row r="56" spans="1:255" ht="12">
      <c r="A56" s="81">
        <v>17</v>
      </c>
      <c r="B56" s="103" t="s">
        <v>55</v>
      </c>
      <c r="C56" s="81" t="s">
        <v>377</v>
      </c>
      <c r="D56" s="81">
        <v>17</v>
      </c>
      <c r="E56" s="81"/>
      <c r="F56" s="97"/>
      <c r="G56" s="98">
        <v>0</v>
      </c>
      <c r="H56" s="98">
        <v>0</v>
      </c>
      <c r="I56" s="98">
        <v>0</v>
      </c>
      <c r="J56" s="98">
        <v>0</v>
      </c>
      <c r="K56" s="98">
        <v>0</v>
      </c>
      <c r="L56" s="98">
        <v>0</v>
      </c>
      <c r="M56" s="81"/>
      <c r="N56" s="103"/>
      <c r="O56" s="81"/>
      <c r="P56" s="103"/>
      <c r="Q56" s="81"/>
      <c r="R56" s="103"/>
      <c r="S56" s="81"/>
      <c r="T56" s="103"/>
      <c r="U56" s="81"/>
      <c r="V56" s="103"/>
      <c r="W56" s="81"/>
      <c r="X56" s="103"/>
      <c r="Y56" s="81"/>
      <c r="Z56" s="103"/>
      <c r="AA56" s="81"/>
      <c r="AB56" s="103"/>
      <c r="AC56" s="81"/>
      <c r="AD56" s="103"/>
      <c r="AE56" s="81"/>
      <c r="AF56" s="103"/>
      <c r="AG56" s="81"/>
      <c r="AH56" s="103"/>
      <c r="AI56" s="81"/>
      <c r="AJ56" s="103"/>
      <c r="AK56" s="81"/>
      <c r="AL56" s="103"/>
      <c r="AM56" s="81"/>
      <c r="AN56" s="103"/>
      <c r="AO56" s="81"/>
      <c r="AP56" s="103"/>
      <c r="AQ56" s="81"/>
      <c r="AR56" s="103"/>
      <c r="AS56" s="81"/>
      <c r="AT56" s="103"/>
      <c r="AU56" s="81"/>
      <c r="AV56" s="103"/>
      <c r="AW56" s="81"/>
      <c r="AX56" s="103"/>
      <c r="AY56" s="81"/>
      <c r="AZ56" s="103"/>
      <c r="BA56" s="81"/>
      <c r="BB56" s="103"/>
      <c r="BC56" s="81"/>
      <c r="BD56" s="103"/>
      <c r="BE56" s="81"/>
      <c r="BF56" s="103"/>
      <c r="BG56" s="81"/>
      <c r="BH56" s="103"/>
      <c r="BI56" s="81"/>
      <c r="BJ56" s="103"/>
      <c r="BK56" s="81"/>
      <c r="BL56" s="103"/>
      <c r="BM56" s="81"/>
      <c r="BN56" s="103"/>
      <c r="BO56" s="81"/>
      <c r="BP56" s="103"/>
      <c r="BQ56" s="81"/>
      <c r="BR56" s="103"/>
      <c r="BS56" s="81"/>
      <c r="BT56" s="103"/>
      <c r="BU56" s="81"/>
      <c r="BV56" s="103"/>
      <c r="BW56" s="81"/>
      <c r="BX56" s="103"/>
      <c r="BY56" s="81"/>
      <c r="BZ56" s="103"/>
      <c r="CA56" s="81"/>
      <c r="CB56" s="103"/>
      <c r="CC56" s="81"/>
      <c r="CD56" s="103"/>
      <c r="CE56" s="81"/>
      <c r="CF56" s="103"/>
      <c r="CG56" s="81"/>
      <c r="CH56" s="103"/>
      <c r="CI56" s="81"/>
      <c r="CJ56" s="103"/>
      <c r="CK56" s="81"/>
      <c r="CL56" s="103"/>
      <c r="CM56" s="81"/>
      <c r="CN56" s="103"/>
      <c r="CO56" s="81"/>
      <c r="CP56" s="103"/>
      <c r="CQ56" s="81"/>
      <c r="CR56" s="103"/>
      <c r="CS56" s="81"/>
      <c r="CT56" s="103"/>
      <c r="CU56" s="81"/>
      <c r="CV56" s="103"/>
      <c r="CW56" s="81"/>
      <c r="CX56" s="103"/>
      <c r="CY56" s="81"/>
      <c r="CZ56" s="103"/>
      <c r="DA56" s="81"/>
      <c r="DB56" s="103"/>
      <c r="DC56" s="81"/>
      <c r="DD56" s="103"/>
      <c r="DE56" s="81"/>
      <c r="DF56" s="103"/>
      <c r="DG56" s="81"/>
      <c r="DH56" s="103"/>
      <c r="DI56" s="81"/>
      <c r="DJ56" s="103"/>
      <c r="DK56" s="81"/>
      <c r="DL56" s="103"/>
      <c r="DM56" s="81"/>
      <c r="DN56" s="103"/>
      <c r="DO56" s="81"/>
      <c r="DP56" s="103"/>
      <c r="DQ56" s="81"/>
      <c r="DR56" s="103"/>
      <c r="DS56" s="81"/>
      <c r="DT56" s="103"/>
      <c r="DU56" s="81"/>
      <c r="DV56" s="103"/>
      <c r="DW56" s="81"/>
      <c r="DX56" s="103"/>
      <c r="DY56" s="81"/>
      <c r="DZ56" s="103"/>
      <c r="EA56" s="81"/>
      <c r="EB56" s="103"/>
      <c r="EC56" s="81"/>
      <c r="ED56" s="103"/>
      <c r="EE56" s="81"/>
      <c r="EF56" s="103"/>
      <c r="EG56" s="81"/>
      <c r="EH56" s="103"/>
      <c r="EI56" s="81"/>
      <c r="EJ56" s="103"/>
      <c r="EK56" s="81"/>
      <c r="EL56" s="103"/>
      <c r="EM56" s="81"/>
      <c r="EN56" s="103"/>
      <c r="EO56" s="81"/>
      <c r="EP56" s="103"/>
      <c r="EQ56" s="81"/>
      <c r="ER56" s="103"/>
      <c r="ES56" s="81"/>
      <c r="ET56" s="103"/>
      <c r="EU56" s="81"/>
      <c r="EV56" s="103"/>
      <c r="EW56" s="81"/>
      <c r="EX56" s="103"/>
      <c r="EY56" s="81"/>
      <c r="EZ56" s="103"/>
      <c r="FA56" s="81"/>
      <c r="FB56" s="103"/>
      <c r="FC56" s="81"/>
      <c r="FD56" s="103"/>
      <c r="FE56" s="81"/>
      <c r="FF56" s="103"/>
      <c r="FG56" s="81"/>
      <c r="FH56" s="103"/>
      <c r="FI56" s="81"/>
      <c r="FJ56" s="103"/>
      <c r="FK56" s="81"/>
      <c r="FL56" s="103"/>
      <c r="FM56" s="81"/>
      <c r="FN56" s="103"/>
      <c r="FO56" s="81"/>
      <c r="FP56" s="103"/>
      <c r="FQ56" s="81"/>
      <c r="FR56" s="103"/>
      <c r="FS56" s="81"/>
      <c r="FT56" s="103"/>
      <c r="FU56" s="81"/>
      <c r="FV56" s="103"/>
      <c r="FW56" s="81"/>
      <c r="FX56" s="103"/>
      <c r="FY56" s="81"/>
      <c r="FZ56" s="103"/>
      <c r="GA56" s="81"/>
      <c r="GB56" s="103"/>
      <c r="GC56" s="81"/>
      <c r="GD56" s="103"/>
      <c r="GE56" s="81"/>
      <c r="GF56" s="103"/>
      <c r="GG56" s="81"/>
      <c r="GH56" s="103"/>
      <c r="GI56" s="81"/>
      <c r="GJ56" s="103"/>
      <c r="GK56" s="81"/>
      <c r="GL56" s="103"/>
      <c r="GM56" s="81"/>
      <c r="GN56" s="103"/>
      <c r="GO56" s="81"/>
      <c r="GP56" s="103"/>
      <c r="GQ56" s="81"/>
      <c r="GR56" s="103"/>
      <c r="GS56" s="81"/>
      <c r="GT56" s="103"/>
      <c r="GU56" s="81"/>
      <c r="GV56" s="103"/>
      <c r="GW56" s="81"/>
      <c r="GX56" s="103"/>
      <c r="GY56" s="81"/>
      <c r="GZ56" s="103"/>
      <c r="HA56" s="81"/>
      <c r="HB56" s="103"/>
      <c r="HC56" s="81"/>
      <c r="HD56" s="103"/>
      <c r="HE56" s="81"/>
      <c r="HF56" s="103"/>
      <c r="HG56" s="81"/>
      <c r="HH56" s="103"/>
      <c r="HI56" s="81"/>
      <c r="HJ56" s="103"/>
      <c r="HK56" s="81"/>
      <c r="HL56" s="103"/>
      <c r="HM56" s="81"/>
      <c r="HN56" s="103"/>
      <c r="HO56" s="81"/>
      <c r="HP56" s="103"/>
      <c r="HQ56" s="81"/>
      <c r="HR56" s="103"/>
      <c r="HS56" s="81"/>
      <c r="HT56" s="103"/>
      <c r="HU56" s="81"/>
      <c r="HV56" s="103"/>
      <c r="HW56" s="81"/>
      <c r="HX56" s="103"/>
      <c r="HY56" s="81"/>
      <c r="HZ56" s="103"/>
      <c r="IA56" s="81"/>
      <c r="IB56" s="103"/>
      <c r="IC56" s="81"/>
      <c r="ID56" s="103"/>
      <c r="IE56" s="81"/>
      <c r="IF56" s="103"/>
      <c r="IG56" s="81"/>
      <c r="IH56" s="103"/>
      <c r="II56" s="81"/>
      <c r="IJ56" s="103"/>
      <c r="IK56" s="81"/>
      <c r="IL56" s="103"/>
      <c r="IM56" s="81"/>
      <c r="IN56" s="103"/>
      <c r="IO56" s="81"/>
      <c r="IP56" s="103"/>
      <c r="IQ56" s="81"/>
      <c r="IR56" s="103"/>
      <c r="IS56" s="81"/>
      <c r="IT56" s="103"/>
      <c r="IU56" s="81"/>
    </row>
    <row r="57" spans="1:12" ht="12">
      <c r="A57" s="72">
        <v>18</v>
      </c>
      <c r="B57" s="47" t="s">
        <v>56</v>
      </c>
      <c r="C57" s="81" t="s">
        <v>377</v>
      </c>
      <c r="D57" s="72">
        <v>18</v>
      </c>
      <c r="F57" s="97"/>
      <c r="G57" s="98">
        <v>0</v>
      </c>
      <c r="H57" s="98">
        <v>0</v>
      </c>
      <c r="I57" s="98">
        <v>0</v>
      </c>
      <c r="J57" s="98">
        <v>0</v>
      </c>
      <c r="K57" s="98">
        <v>0</v>
      </c>
      <c r="L57" s="98">
        <v>0</v>
      </c>
    </row>
    <row r="58" spans="1:12" ht="12">
      <c r="A58" s="72">
        <v>19</v>
      </c>
      <c r="B58" s="47" t="s">
        <v>37</v>
      </c>
      <c r="C58" s="81" t="s">
        <v>377</v>
      </c>
      <c r="D58" s="72">
        <v>19</v>
      </c>
      <c r="F58" s="97"/>
      <c r="G58" s="98">
        <v>0</v>
      </c>
      <c r="H58" s="98">
        <v>0</v>
      </c>
      <c r="I58" s="98">
        <v>0</v>
      </c>
      <c r="J58" s="98">
        <v>0</v>
      </c>
      <c r="K58" s="98">
        <v>0</v>
      </c>
      <c r="L58" s="98">
        <v>0</v>
      </c>
    </row>
    <row r="59" spans="1:12" ht="12">
      <c r="A59" s="72">
        <v>20</v>
      </c>
      <c r="B59" s="47" t="s">
        <v>36</v>
      </c>
      <c r="C59" s="81" t="s">
        <v>377</v>
      </c>
      <c r="D59" s="72">
        <v>20</v>
      </c>
      <c r="F59" s="97"/>
      <c r="G59" s="98">
        <v>0</v>
      </c>
      <c r="H59" s="98">
        <v>0</v>
      </c>
      <c r="I59" s="98">
        <v>0</v>
      </c>
      <c r="J59" s="98">
        <v>0</v>
      </c>
      <c r="K59" s="98">
        <v>0</v>
      </c>
      <c r="L59" s="98">
        <v>0</v>
      </c>
    </row>
    <row r="60" spans="1:13" ht="12">
      <c r="A60" s="81" t="s">
        <v>68</v>
      </c>
      <c r="B60" s="47" t="s">
        <v>66</v>
      </c>
      <c r="C60" s="81" t="s">
        <v>378</v>
      </c>
      <c r="D60" s="72">
        <v>21</v>
      </c>
      <c r="F60" s="97"/>
      <c r="G60" s="98">
        <v>0</v>
      </c>
      <c r="H60" s="98">
        <v>0</v>
      </c>
      <c r="I60" s="98">
        <v>0</v>
      </c>
      <c r="J60" s="98">
        <v>0</v>
      </c>
      <c r="K60" s="98">
        <v>0</v>
      </c>
      <c r="L60" s="98">
        <v>0</v>
      </c>
      <c r="M60" s="48" t="s">
        <v>0</v>
      </c>
    </row>
    <row r="61" spans="1:12" ht="12">
      <c r="A61" s="81" t="s">
        <v>69</v>
      </c>
      <c r="B61" s="47" t="s">
        <v>67</v>
      </c>
      <c r="C61" s="81"/>
      <c r="D61" s="72"/>
      <c r="F61" s="97"/>
      <c r="G61" s="98">
        <v>0</v>
      </c>
      <c r="H61" s="98">
        <v>0</v>
      </c>
      <c r="I61" s="98">
        <v>0</v>
      </c>
      <c r="J61" s="98">
        <v>0</v>
      </c>
      <c r="K61" s="98">
        <v>0</v>
      </c>
      <c r="L61" s="98">
        <v>0</v>
      </c>
    </row>
    <row r="62" spans="1:12" ht="12">
      <c r="A62" s="72">
        <v>22</v>
      </c>
      <c r="B62" s="53"/>
      <c r="D62" s="72">
        <v>22</v>
      </c>
      <c r="E62" s="45" t="s">
        <v>1</v>
      </c>
      <c r="F62" s="45"/>
      <c r="G62" s="45"/>
      <c r="H62" s="95"/>
      <c r="I62" s="71"/>
      <c r="J62" s="54"/>
      <c r="K62" s="95"/>
      <c r="L62" s="71"/>
    </row>
    <row r="63" spans="1:12" ht="12">
      <c r="A63" s="72">
        <v>23</v>
      </c>
      <c r="B63" s="48" t="s">
        <v>38</v>
      </c>
      <c r="C63" s="83"/>
      <c r="D63" s="72">
        <v>23</v>
      </c>
      <c r="E63" s="51"/>
      <c r="F63" s="97"/>
      <c r="G63" s="98">
        <f>SUM(G52,G53,G59,G60,G61)</f>
        <v>0</v>
      </c>
      <c r="H63" s="97"/>
      <c r="I63" s="98">
        <f>SUM(I52,I53,I59,I60,I61)</f>
        <v>0</v>
      </c>
      <c r="J63" s="104"/>
      <c r="K63" s="97"/>
      <c r="L63" s="98">
        <f>SUM(L52,L53,L59,L60,L61)</f>
        <v>0</v>
      </c>
    </row>
    <row r="64" spans="1:7" ht="12">
      <c r="A64" s="72">
        <v>24</v>
      </c>
      <c r="B64" s="53"/>
      <c r="C64" s="47"/>
      <c r="D64" s="72">
        <v>24</v>
      </c>
      <c r="G64" s="98"/>
    </row>
    <row r="65" spans="1:12" ht="12">
      <c r="A65" s="72">
        <v>25</v>
      </c>
      <c r="B65" s="47" t="s">
        <v>47</v>
      </c>
      <c r="C65" s="81" t="s">
        <v>379</v>
      </c>
      <c r="D65" s="72">
        <v>25</v>
      </c>
      <c r="F65" s="97"/>
      <c r="G65" s="98">
        <f>+G105</f>
        <v>7745828</v>
      </c>
      <c r="H65" s="97"/>
      <c r="I65" s="98">
        <f>+I105</f>
        <v>8409043</v>
      </c>
      <c r="J65" s="99"/>
      <c r="K65" s="97"/>
      <c r="L65" s="98">
        <f>+L105</f>
        <v>8750000</v>
      </c>
    </row>
    <row r="66" spans="1:12" ht="12">
      <c r="A66" s="48">
        <v>26</v>
      </c>
      <c r="D66" s="48">
        <v>26</v>
      </c>
      <c r="E66" s="45" t="s">
        <v>1</v>
      </c>
      <c r="F66" s="45"/>
      <c r="G66" s="45"/>
      <c r="H66" s="95"/>
      <c r="I66" s="71"/>
      <c r="J66" s="54"/>
      <c r="K66" s="95"/>
      <c r="L66" s="71"/>
    </row>
    <row r="67" spans="1:12" ht="12">
      <c r="A67" s="72">
        <v>27</v>
      </c>
      <c r="B67" s="47" t="s">
        <v>60</v>
      </c>
      <c r="D67" s="72">
        <v>27</v>
      </c>
      <c r="E67" s="49"/>
      <c r="F67" s="97"/>
      <c r="G67" s="98">
        <f>SUM(G63,G65)</f>
        <v>7745828</v>
      </c>
      <c r="H67" s="97"/>
      <c r="I67" s="98">
        <f>SUM(I63,I65)</f>
        <v>8409043</v>
      </c>
      <c r="J67" s="102"/>
      <c r="K67" s="97"/>
      <c r="L67" s="98">
        <f>SUM(L63,L65)</f>
        <v>8750000</v>
      </c>
    </row>
    <row r="68" spans="1:12" ht="12">
      <c r="A68" s="72"/>
      <c r="B68" s="47"/>
      <c r="D68" s="72"/>
      <c r="E68" s="49"/>
      <c r="F68" s="102"/>
      <c r="G68" s="99"/>
      <c r="H68" s="102"/>
      <c r="I68" s="102"/>
      <c r="J68" s="102"/>
      <c r="K68" s="102"/>
      <c r="L68" s="102"/>
    </row>
    <row r="69" spans="2:12" ht="12">
      <c r="B69" s="105" t="s">
        <v>23</v>
      </c>
      <c r="C69" s="106"/>
      <c r="D69" s="105"/>
      <c r="E69" s="107"/>
      <c r="F69" s="107"/>
      <c r="G69" s="111"/>
      <c r="H69" s="109"/>
      <c r="I69" s="111"/>
      <c r="J69" s="110"/>
      <c r="K69" s="109"/>
      <c r="L69" s="111"/>
    </row>
    <row r="70" spans="3:12" ht="12">
      <c r="C70" s="81"/>
      <c r="E70" s="45"/>
      <c r="F70" s="45"/>
      <c r="G70" s="45"/>
      <c r="H70" s="95"/>
      <c r="J70" s="54"/>
      <c r="K70" s="95"/>
      <c r="L70" s="71"/>
    </row>
    <row r="71" spans="1:12" s="93" customFormat="1" ht="12">
      <c r="A71" s="91" t="str">
        <f>$A$31</f>
        <v>Institution No.:  </v>
      </c>
      <c r="D71" s="112"/>
      <c r="H71" s="113"/>
      <c r="I71" s="114"/>
      <c r="K71" s="113"/>
      <c r="L71" s="92" t="s">
        <v>209</v>
      </c>
    </row>
    <row r="72" spans="1:12" s="93" customFormat="1" ht="12.75" customHeight="1">
      <c r="A72" s="455" t="s">
        <v>433</v>
      </c>
      <c r="B72" s="455"/>
      <c r="C72" s="455"/>
      <c r="D72" s="455"/>
      <c r="E72" s="455"/>
      <c r="F72" s="455"/>
      <c r="G72" s="455"/>
      <c r="H72" s="455"/>
      <c r="I72" s="455"/>
      <c r="J72" s="455"/>
      <c r="K72" s="455"/>
      <c r="L72" s="455"/>
    </row>
    <row r="73" spans="1:12" ht="12">
      <c r="A73" s="91"/>
      <c r="E73" s="88"/>
      <c r="F73" s="88"/>
      <c r="G73" s="88"/>
      <c r="H73" s="147"/>
      <c r="I73" s="58"/>
      <c r="K73" s="84"/>
      <c r="L73" s="94" t="str">
        <f>$L$1</f>
        <v>Date: 10/1/2010</v>
      </c>
    </row>
    <row r="74" spans="1:12" ht="12">
      <c r="A74" s="45" t="s">
        <v>1</v>
      </c>
      <c r="B74" s="45" t="s">
        <v>1</v>
      </c>
      <c r="C74" s="45" t="s">
        <v>1</v>
      </c>
      <c r="D74" s="45" t="s">
        <v>1</v>
      </c>
      <c r="E74" s="45" t="s">
        <v>1</v>
      </c>
      <c r="F74" s="45"/>
      <c r="G74" s="45"/>
      <c r="H74" s="95" t="s">
        <v>1</v>
      </c>
      <c r="I74" s="71" t="s">
        <v>1</v>
      </c>
      <c r="J74" s="45" t="s">
        <v>1</v>
      </c>
      <c r="K74" s="95" t="s">
        <v>1</v>
      </c>
      <c r="L74" s="71" t="s">
        <v>1</v>
      </c>
    </row>
    <row r="75" spans="1:12" ht="12">
      <c r="A75" s="59" t="s">
        <v>2</v>
      </c>
      <c r="D75" s="59" t="s">
        <v>2</v>
      </c>
      <c r="G75" s="87" t="s">
        <v>62</v>
      </c>
      <c r="H75" s="96"/>
      <c r="I75" s="87" t="s">
        <v>65</v>
      </c>
      <c r="J75" s="77"/>
      <c r="K75" s="96"/>
      <c r="L75" s="87" t="s">
        <v>70</v>
      </c>
    </row>
    <row r="76" spans="1:12" ht="12">
      <c r="A76" s="59" t="s">
        <v>4</v>
      </c>
      <c r="B76" s="80" t="s">
        <v>18</v>
      </c>
      <c r="D76" s="59" t="s">
        <v>4</v>
      </c>
      <c r="G76" s="87" t="s">
        <v>7</v>
      </c>
      <c r="H76" s="84"/>
      <c r="I76" s="87" t="s">
        <v>7</v>
      </c>
      <c r="K76" s="84"/>
      <c r="L76" s="87" t="s">
        <v>8</v>
      </c>
    </row>
    <row r="77" spans="1:12" ht="12">
      <c r="A77" s="45" t="s">
        <v>1</v>
      </c>
      <c r="B77" s="45" t="s">
        <v>1</v>
      </c>
      <c r="C77" s="45" t="s">
        <v>1</v>
      </c>
      <c r="D77" s="45" t="s">
        <v>1</v>
      </c>
      <c r="E77" s="45" t="s">
        <v>1</v>
      </c>
      <c r="F77" s="45"/>
      <c r="G77" s="45"/>
      <c r="H77" s="95" t="s">
        <v>1</v>
      </c>
      <c r="I77" s="71" t="s">
        <v>1</v>
      </c>
      <c r="J77" s="45" t="s">
        <v>1</v>
      </c>
      <c r="K77" s="95" t="s">
        <v>1</v>
      </c>
      <c r="L77" s="71" t="s">
        <v>1</v>
      </c>
    </row>
    <row r="78" spans="1:12" ht="12">
      <c r="A78" s="63">
        <v>1</v>
      </c>
      <c r="B78" s="47" t="s">
        <v>434</v>
      </c>
      <c r="D78" s="63">
        <v>1</v>
      </c>
      <c r="G78" s="122"/>
      <c r="H78" s="119"/>
      <c r="I78" s="119"/>
      <c r="J78" s="122"/>
      <c r="K78" s="119"/>
      <c r="L78" s="119"/>
    </row>
    <row r="79" spans="1:12" ht="12">
      <c r="A79" s="63"/>
      <c r="B79" s="47"/>
      <c r="D79" s="63"/>
      <c r="G79" s="122"/>
      <c r="H79" s="119"/>
      <c r="I79" s="119"/>
      <c r="J79" s="122"/>
      <c r="K79" s="119"/>
      <c r="L79" s="119"/>
    </row>
    <row r="80" spans="1:12" ht="12">
      <c r="A80" s="63">
        <f>(A78+1)</f>
        <v>2</v>
      </c>
      <c r="B80" s="66" t="s">
        <v>435</v>
      </c>
      <c r="D80" s="63">
        <f>(D78+1)</f>
        <v>2</v>
      </c>
      <c r="E80" s="66"/>
      <c r="F80" s="66"/>
      <c r="G80" s="125"/>
      <c r="H80" s="125"/>
      <c r="I80" s="125"/>
      <c r="J80" s="125"/>
      <c r="K80" s="125"/>
      <c r="L80" s="125"/>
    </row>
    <row r="81" spans="1:12" ht="12">
      <c r="A81" s="63">
        <f aca="true" t="shared" si="0" ref="A81:A86">(A80+1)</f>
        <v>3</v>
      </c>
      <c r="B81" s="66" t="s">
        <v>436</v>
      </c>
      <c r="D81" s="63">
        <f aca="true" t="shared" si="1" ref="D81:D86">(D80+1)</f>
        <v>3</v>
      </c>
      <c r="E81" s="66"/>
      <c r="F81" s="66"/>
      <c r="G81" s="125"/>
      <c r="H81" s="125"/>
      <c r="I81" s="125"/>
      <c r="J81" s="125"/>
      <c r="K81" s="125"/>
      <c r="L81" s="125"/>
    </row>
    <row r="82" spans="1:12" ht="12">
      <c r="A82" s="63">
        <f t="shared" si="0"/>
        <v>4</v>
      </c>
      <c r="B82" s="66" t="s">
        <v>437</v>
      </c>
      <c r="D82" s="63">
        <f t="shared" si="1"/>
        <v>4</v>
      </c>
      <c r="E82" s="66"/>
      <c r="F82" s="66"/>
      <c r="G82" s="125"/>
      <c r="H82" s="125"/>
      <c r="I82" s="125"/>
      <c r="J82" s="125"/>
      <c r="K82" s="125"/>
      <c r="L82" s="125"/>
    </row>
    <row r="83" spans="1:12" ht="12">
      <c r="A83" s="63">
        <f t="shared" si="0"/>
        <v>5</v>
      </c>
      <c r="B83" s="66" t="s">
        <v>438</v>
      </c>
      <c r="D83" s="63">
        <f t="shared" si="1"/>
        <v>5</v>
      </c>
      <c r="E83" s="66"/>
      <c r="F83" s="66"/>
      <c r="G83" s="125"/>
      <c r="H83" s="125"/>
      <c r="I83" s="125"/>
      <c r="J83" s="125"/>
      <c r="K83" s="125"/>
      <c r="L83" s="125"/>
    </row>
    <row r="84" spans="1:12" ht="12">
      <c r="A84" s="63">
        <f t="shared" si="0"/>
        <v>6</v>
      </c>
      <c r="B84" s="66" t="s">
        <v>439</v>
      </c>
      <c r="D84" s="63">
        <f t="shared" si="1"/>
        <v>6</v>
      </c>
      <c r="E84" s="66"/>
      <c r="F84" s="66"/>
      <c r="G84" s="125">
        <v>60262</v>
      </c>
      <c r="H84" s="125"/>
      <c r="I84" s="125">
        <v>270440</v>
      </c>
      <c r="J84" s="125"/>
      <c r="K84" s="125"/>
      <c r="L84" s="125">
        <v>250000</v>
      </c>
    </row>
    <row r="85" spans="1:12" ht="12">
      <c r="A85" s="63">
        <f t="shared" si="0"/>
        <v>7</v>
      </c>
      <c r="B85" s="66" t="s">
        <v>440</v>
      </c>
      <c r="D85" s="63">
        <f t="shared" si="1"/>
        <v>7</v>
      </c>
      <c r="E85" s="66"/>
      <c r="F85" s="66"/>
      <c r="G85" s="125"/>
      <c r="H85" s="125"/>
      <c r="I85" s="125" t="s">
        <v>0</v>
      </c>
      <c r="J85" s="125"/>
      <c r="K85" s="125"/>
      <c r="L85" s="125"/>
    </row>
    <row r="86" spans="1:12" ht="12">
      <c r="A86" s="63">
        <f t="shared" si="0"/>
        <v>8</v>
      </c>
      <c r="B86" s="66" t="s">
        <v>441</v>
      </c>
      <c r="D86" s="63">
        <f t="shared" si="1"/>
        <v>8</v>
      </c>
      <c r="E86" s="66"/>
      <c r="F86" s="66"/>
      <c r="G86" s="125"/>
      <c r="H86" s="125"/>
      <c r="I86" s="125"/>
      <c r="J86" s="125"/>
      <c r="K86" s="125"/>
      <c r="L86" s="125"/>
    </row>
    <row r="87" spans="1:12" ht="12">
      <c r="A87" s="63">
        <v>9</v>
      </c>
      <c r="B87" s="66" t="s">
        <v>442</v>
      </c>
      <c r="D87" s="63"/>
      <c r="E87" s="44" t="s">
        <v>1</v>
      </c>
      <c r="F87" s="44"/>
      <c r="G87" s="44"/>
      <c r="H87" s="95" t="s">
        <v>1</v>
      </c>
      <c r="I87" s="71"/>
      <c r="J87" s="44"/>
      <c r="K87" s="95"/>
      <c r="L87" s="71"/>
    </row>
    <row r="88" spans="1:12" ht="12">
      <c r="A88" s="63"/>
      <c r="B88" s="66"/>
      <c r="D88" s="63"/>
      <c r="E88" s="44"/>
      <c r="F88" s="44"/>
      <c r="G88" s="44"/>
      <c r="H88" s="95"/>
      <c r="I88" s="71"/>
      <c r="J88" s="44"/>
      <c r="K88" s="95"/>
      <c r="L88" s="71"/>
    </row>
    <row r="89" spans="1:12" ht="12">
      <c r="A89" s="63">
        <v>10</v>
      </c>
      <c r="B89" s="48" t="s">
        <v>443</v>
      </c>
      <c r="D89" s="63">
        <v>9</v>
      </c>
      <c r="E89" s="66"/>
      <c r="F89" s="66"/>
      <c r="G89" s="125">
        <f>SUM(G78:G87)</f>
        <v>60262</v>
      </c>
      <c r="H89" s="125"/>
      <c r="I89" s="125">
        <f>SUM(I78:I87)</f>
        <v>270440</v>
      </c>
      <c r="J89" s="125"/>
      <c r="K89" s="125"/>
      <c r="L89" s="125">
        <f>SUM(L78:L87)</f>
        <v>250000</v>
      </c>
    </row>
    <row r="90" spans="1:12" ht="12">
      <c r="A90" s="63"/>
      <c r="B90" s="66"/>
      <c r="D90" s="63"/>
      <c r="E90" s="66"/>
      <c r="F90" s="66"/>
      <c r="G90" s="125"/>
      <c r="H90" s="125"/>
      <c r="I90" s="125"/>
      <c r="J90" s="125"/>
      <c r="K90" s="125"/>
      <c r="L90" s="125"/>
    </row>
    <row r="91" spans="1:12" ht="12">
      <c r="A91" s="63">
        <v>11</v>
      </c>
      <c r="B91" s="66" t="s">
        <v>444</v>
      </c>
      <c r="D91" s="63">
        <v>10</v>
      </c>
      <c r="E91" s="66"/>
      <c r="F91" s="66"/>
      <c r="G91" s="125"/>
      <c r="H91" s="125"/>
      <c r="I91" s="125"/>
      <c r="J91" s="125"/>
      <c r="K91" s="125"/>
      <c r="L91" s="125"/>
    </row>
    <row r="92" spans="1:12" ht="12">
      <c r="A92" s="63">
        <v>12</v>
      </c>
      <c r="B92" s="66" t="s">
        <v>445</v>
      </c>
      <c r="D92" s="63">
        <v>11</v>
      </c>
      <c r="E92" s="66"/>
      <c r="F92" s="66"/>
      <c r="G92" s="125">
        <v>5803793</v>
      </c>
      <c r="H92" s="125"/>
      <c r="I92" s="125">
        <v>8114289</v>
      </c>
      <c r="J92" s="125"/>
      <c r="K92" s="125"/>
      <c r="L92" s="125">
        <v>8500000</v>
      </c>
    </row>
    <row r="93" spans="1:12" ht="12">
      <c r="A93" s="63">
        <v>13</v>
      </c>
      <c r="B93" s="66" t="s">
        <v>446</v>
      </c>
      <c r="D93" s="63">
        <v>12</v>
      </c>
      <c r="E93" s="66"/>
      <c r="F93" s="66"/>
      <c r="G93" s="125"/>
      <c r="H93" s="125"/>
      <c r="I93" s="125"/>
      <c r="J93" s="125"/>
      <c r="K93" s="125"/>
      <c r="L93" s="125"/>
    </row>
    <row r="94" spans="1:12" ht="12">
      <c r="A94" s="63"/>
      <c r="B94" s="66"/>
      <c r="D94" s="63">
        <v>13</v>
      </c>
      <c r="E94" s="66"/>
      <c r="F94" s="66"/>
      <c r="G94" s="125"/>
      <c r="H94" s="125"/>
      <c r="I94" s="125"/>
      <c r="J94" s="125"/>
      <c r="K94" s="125"/>
      <c r="L94" s="125"/>
    </row>
    <row r="95" spans="2:12" ht="12">
      <c r="B95" s="66"/>
      <c r="E95" s="44" t="s">
        <v>1</v>
      </c>
      <c r="F95" s="44"/>
      <c r="G95" s="44"/>
      <c r="H95" s="95" t="s">
        <v>1</v>
      </c>
      <c r="I95" s="71"/>
      <c r="J95" s="44"/>
      <c r="K95" s="95"/>
      <c r="L95" s="71"/>
    </row>
    <row r="96" spans="1:12" ht="12">
      <c r="A96" s="63">
        <v>14</v>
      </c>
      <c r="B96" s="48" t="s">
        <v>447</v>
      </c>
      <c r="D96" s="63">
        <v>14</v>
      </c>
      <c r="G96" s="122">
        <f>SUM(G91:G95)</f>
        <v>5803793</v>
      </c>
      <c r="H96" s="119"/>
      <c r="I96" s="122">
        <f>SUM(I91:I95)</f>
        <v>8114289</v>
      </c>
      <c r="J96" s="122"/>
      <c r="K96" s="119"/>
      <c r="L96" s="122">
        <f>SUM(L91:L95)</f>
        <v>8500000</v>
      </c>
    </row>
    <row r="97" spans="1:12" ht="12">
      <c r="A97" s="63"/>
      <c r="B97" s="66"/>
      <c r="D97" s="63"/>
      <c r="E97" s="44" t="s">
        <v>1</v>
      </c>
      <c r="F97" s="44"/>
      <c r="G97" s="44"/>
      <c r="H97" s="95" t="s">
        <v>1</v>
      </c>
      <c r="I97" s="71"/>
      <c r="J97" s="44"/>
      <c r="K97" s="95"/>
      <c r="L97" s="71"/>
    </row>
    <row r="98" spans="1:12" ht="12">
      <c r="A98" s="63">
        <v>15</v>
      </c>
      <c r="B98" s="47" t="s">
        <v>448</v>
      </c>
      <c r="D98" s="63">
        <v>15</v>
      </c>
      <c r="G98" s="122">
        <f>SUM(G89,G96)</f>
        <v>5864055</v>
      </c>
      <c r="H98" s="119"/>
      <c r="I98" s="122">
        <f>SUM(I89,I96)</f>
        <v>8384729</v>
      </c>
      <c r="J98" s="122"/>
      <c r="K98" s="119"/>
      <c r="L98" s="122">
        <f>SUM(L89,L96)</f>
        <v>8750000</v>
      </c>
    </row>
    <row r="99" spans="1:12" ht="12">
      <c r="A99" s="63"/>
      <c r="B99" s="47"/>
      <c r="D99" s="63"/>
      <c r="G99" s="122"/>
      <c r="H99" s="119"/>
      <c r="I99" s="122"/>
      <c r="J99" s="122"/>
      <c r="K99" s="119"/>
      <c r="L99" s="122"/>
    </row>
    <row r="100" spans="1:12" ht="12">
      <c r="A100" s="63">
        <v>16</v>
      </c>
      <c r="B100" s="47" t="s">
        <v>449</v>
      </c>
      <c r="D100" s="63">
        <v>16</v>
      </c>
      <c r="G100" s="122"/>
      <c r="H100" s="119"/>
      <c r="I100" s="119"/>
      <c r="J100" s="122"/>
      <c r="K100" s="119"/>
      <c r="L100" s="119">
        <v>0</v>
      </c>
    </row>
    <row r="101" spans="1:12" ht="12">
      <c r="A101" s="63">
        <v>17</v>
      </c>
      <c r="B101" s="48" t="s">
        <v>450</v>
      </c>
      <c r="D101" s="63">
        <v>17</v>
      </c>
      <c r="G101" s="122">
        <v>1881773</v>
      </c>
      <c r="H101" s="119"/>
      <c r="I101" s="119">
        <v>24314</v>
      </c>
      <c r="J101" s="122"/>
      <c r="K101" s="119"/>
      <c r="L101" s="119">
        <v>0</v>
      </c>
    </row>
    <row r="102" spans="1:12" ht="12">
      <c r="A102" s="63">
        <v>18</v>
      </c>
      <c r="D102" s="63">
        <v>18</v>
      </c>
      <c r="G102" s="122"/>
      <c r="H102" s="122"/>
      <c r="I102" s="122"/>
      <c r="J102" s="122"/>
      <c r="K102" s="122"/>
      <c r="L102" s="122"/>
    </row>
    <row r="103" spans="1:12" ht="12">
      <c r="A103" s="63">
        <v>19</v>
      </c>
      <c r="D103" s="63">
        <v>19</v>
      </c>
      <c r="G103" s="122"/>
      <c r="H103" s="122"/>
      <c r="I103" s="122"/>
      <c r="J103" s="122"/>
      <c r="K103" s="122"/>
      <c r="L103" s="122"/>
    </row>
    <row r="104" spans="1:12" ht="12">
      <c r="A104" s="63"/>
      <c r="B104" s="64"/>
      <c r="D104" s="63"/>
      <c r="E104" s="44" t="s">
        <v>1</v>
      </c>
      <c r="F104" s="44"/>
      <c r="G104" s="44"/>
      <c r="H104" s="95" t="s">
        <v>1</v>
      </c>
      <c r="I104" s="71"/>
      <c r="J104" s="44"/>
      <c r="K104" s="95"/>
      <c r="L104" s="71"/>
    </row>
    <row r="105" spans="1:12" ht="12">
      <c r="A105" s="63">
        <v>20</v>
      </c>
      <c r="B105" s="64" t="s">
        <v>451</v>
      </c>
      <c r="D105" s="63">
        <v>20</v>
      </c>
      <c r="G105" s="122">
        <f>SUM(G98:G103)</f>
        <v>7745828</v>
      </c>
      <c r="H105" s="119"/>
      <c r="I105" s="122">
        <f>SUM(I98:I103)</f>
        <v>8409043</v>
      </c>
      <c r="J105" s="122"/>
      <c r="K105" s="119"/>
      <c r="L105" s="122">
        <f>SUM(L98:L103)</f>
        <v>8750000</v>
      </c>
    </row>
    <row r="106" spans="1:12" ht="12">
      <c r="A106" s="67"/>
      <c r="B106" s="47"/>
      <c r="D106" s="68"/>
      <c r="E106" s="44" t="s">
        <v>1</v>
      </c>
      <c r="F106" s="44"/>
      <c r="G106" s="44"/>
      <c r="H106" s="95" t="s">
        <v>1</v>
      </c>
      <c r="I106" s="71" t="s">
        <v>1</v>
      </c>
      <c r="J106" s="44" t="s">
        <v>1</v>
      </c>
      <c r="K106" s="95" t="s">
        <v>1</v>
      </c>
      <c r="L106" s="71" t="s">
        <v>1</v>
      </c>
    </row>
    <row r="107" spans="1:12" s="93" customFormat="1" ht="12">
      <c r="A107" s="91" t="str">
        <f>$A$31</f>
        <v>Institution No.:  </v>
      </c>
      <c r="D107" s="112"/>
      <c r="H107" s="113"/>
      <c r="I107" s="114"/>
      <c r="K107" s="113"/>
      <c r="L107" s="92" t="s">
        <v>321</v>
      </c>
    </row>
    <row r="108" spans="1:12" s="93" customFormat="1" ht="12">
      <c r="A108" s="454" t="s">
        <v>495</v>
      </c>
      <c r="B108" s="454"/>
      <c r="C108" s="454"/>
      <c r="D108" s="454"/>
      <c r="E108" s="454"/>
      <c r="F108" s="454"/>
      <c r="G108" s="454"/>
      <c r="H108" s="454"/>
      <c r="I108" s="454"/>
      <c r="J108" s="454"/>
      <c r="K108" s="454"/>
      <c r="L108" s="454"/>
    </row>
    <row r="109" spans="1:12" ht="12">
      <c r="A109" s="91"/>
      <c r="I109" s="189"/>
      <c r="K109" s="84"/>
      <c r="L109" s="94" t="str">
        <f>$L$1</f>
        <v>Date: 10/1/2010</v>
      </c>
    </row>
    <row r="110" spans="1:12" ht="12">
      <c r="A110" s="45" t="s">
        <v>1</v>
      </c>
      <c r="B110" s="45" t="s">
        <v>1</v>
      </c>
      <c r="C110" s="45" t="s">
        <v>1</v>
      </c>
      <c r="D110" s="45" t="s">
        <v>1</v>
      </c>
      <c r="E110" s="45" t="s">
        <v>1</v>
      </c>
      <c r="F110" s="45"/>
      <c r="G110" s="45"/>
      <c r="H110" s="95" t="s">
        <v>1</v>
      </c>
      <c r="I110" s="71" t="s">
        <v>1</v>
      </c>
      <c r="J110" s="45" t="s">
        <v>1</v>
      </c>
      <c r="K110" s="95" t="s">
        <v>1</v>
      </c>
      <c r="L110" s="71" t="s">
        <v>1</v>
      </c>
    </row>
    <row r="111" spans="1:12" ht="12">
      <c r="A111" s="59" t="s">
        <v>2</v>
      </c>
      <c r="D111" s="59" t="s">
        <v>2</v>
      </c>
      <c r="E111" s="77"/>
      <c r="F111" s="96"/>
      <c r="G111" s="87" t="s">
        <v>62</v>
      </c>
      <c r="H111" s="96"/>
      <c r="I111" s="87" t="s">
        <v>65</v>
      </c>
      <c r="J111" s="77"/>
      <c r="K111" s="96"/>
      <c r="L111" s="87" t="s">
        <v>70</v>
      </c>
    </row>
    <row r="112" spans="1:12" ht="12">
      <c r="A112" s="59" t="s">
        <v>4</v>
      </c>
      <c r="B112" s="80" t="s">
        <v>18</v>
      </c>
      <c r="D112" s="59" t="s">
        <v>4</v>
      </c>
      <c r="E112" s="77"/>
      <c r="F112" s="77"/>
      <c r="G112" s="87" t="s">
        <v>7</v>
      </c>
      <c r="H112" s="96"/>
      <c r="I112" s="87" t="s">
        <v>7</v>
      </c>
      <c r="J112" s="77"/>
      <c r="K112" s="96"/>
      <c r="L112" s="87" t="s">
        <v>8</v>
      </c>
    </row>
    <row r="113" spans="1:12" ht="12">
      <c r="A113" s="45" t="s">
        <v>1</v>
      </c>
      <c r="B113" s="45" t="s">
        <v>1</v>
      </c>
      <c r="C113" s="45" t="s">
        <v>1</v>
      </c>
      <c r="D113" s="45" t="s">
        <v>1</v>
      </c>
      <c r="E113" s="45" t="s">
        <v>1</v>
      </c>
      <c r="F113" s="45"/>
      <c r="G113" s="45"/>
      <c r="H113" s="95" t="s">
        <v>1</v>
      </c>
      <c r="I113" s="71" t="s">
        <v>1</v>
      </c>
      <c r="J113" s="45" t="s">
        <v>1</v>
      </c>
      <c r="K113" s="95" t="s">
        <v>1</v>
      </c>
      <c r="L113" s="71" t="s">
        <v>1</v>
      </c>
    </row>
    <row r="114" spans="1:12" ht="12">
      <c r="A114" s="63">
        <v>1</v>
      </c>
      <c r="B114" s="48" t="s">
        <v>496</v>
      </c>
      <c r="D114" s="63">
        <v>1</v>
      </c>
      <c r="E114" s="66"/>
      <c r="F114" s="66"/>
      <c r="G114" s="163"/>
      <c r="H114" s="163"/>
      <c r="I114" s="163"/>
      <c r="J114" s="163"/>
      <c r="K114" s="163"/>
      <c r="L114" s="163"/>
    </row>
    <row r="115" spans="1:12" ht="12">
      <c r="A115" s="63">
        <v>2</v>
      </c>
      <c r="D115" s="63">
        <v>2</v>
      </c>
      <c r="E115" s="66"/>
      <c r="F115" s="66"/>
      <c r="G115" s="163"/>
      <c r="H115" s="163"/>
      <c r="I115" s="163"/>
      <c r="J115" s="163"/>
      <c r="K115" s="163"/>
      <c r="L115" s="163"/>
    </row>
    <row r="116" spans="1:12" ht="12">
      <c r="A116" s="63">
        <v>3</v>
      </c>
      <c r="B116" s="66"/>
      <c r="D116" s="63">
        <v>3</v>
      </c>
      <c r="E116" s="66"/>
      <c r="F116" s="66"/>
      <c r="G116" s="163"/>
      <c r="H116" s="163"/>
      <c r="I116" s="163"/>
      <c r="J116" s="163"/>
      <c r="K116" s="163"/>
      <c r="L116" s="163"/>
    </row>
    <row r="117" spans="1:12" ht="12">
      <c r="A117" s="63">
        <v>4</v>
      </c>
      <c r="B117" s="66"/>
      <c r="D117" s="63">
        <v>4</v>
      </c>
      <c r="E117" s="66"/>
      <c r="F117" s="66"/>
      <c r="G117" s="163"/>
      <c r="H117" s="163"/>
      <c r="I117" s="163"/>
      <c r="J117" s="163"/>
      <c r="K117" s="163"/>
      <c r="L117" s="163"/>
    </row>
    <row r="118" spans="1:12" ht="12">
      <c r="A118" s="63">
        <v>5</v>
      </c>
      <c r="B118" s="47"/>
      <c r="D118" s="63">
        <v>5</v>
      </c>
      <c r="E118" s="66"/>
      <c r="F118" s="66"/>
      <c r="G118" s="163"/>
      <c r="H118" s="163"/>
      <c r="I118" s="163"/>
      <c r="J118" s="163"/>
      <c r="K118" s="163"/>
      <c r="L118" s="163"/>
    </row>
    <row r="119" spans="1:12" ht="12">
      <c r="A119" s="63">
        <v>6</v>
      </c>
      <c r="B119" s="66"/>
      <c r="D119" s="63">
        <v>6</v>
      </c>
      <c r="E119" s="66"/>
      <c r="F119" s="66"/>
      <c r="G119" s="163"/>
      <c r="H119" s="163"/>
      <c r="I119" s="163"/>
      <c r="J119" s="163"/>
      <c r="K119" s="163"/>
      <c r="L119" s="163"/>
    </row>
    <row r="120" spans="1:12" ht="12">
      <c r="A120" s="63">
        <v>7</v>
      </c>
      <c r="B120" s="66"/>
      <c r="D120" s="63">
        <v>7</v>
      </c>
      <c r="E120" s="66"/>
      <c r="F120" s="66"/>
      <c r="G120" s="163"/>
      <c r="H120" s="163"/>
      <c r="I120" s="163"/>
      <c r="J120" s="163"/>
      <c r="K120" s="163"/>
      <c r="L120" s="163"/>
    </row>
    <row r="121" spans="1:12" ht="12">
      <c r="A121" s="63">
        <v>8</v>
      </c>
      <c r="D121" s="63">
        <v>8</v>
      </c>
      <c r="E121" s="66"/>
      <c r="F121" s="66"/>
      <c r="G121" s="163"/>
      <c r="H121" s="163"/>
      <c r="I121" s="163"/>
      <c r="J121" s="163"/>
      <c r="K121" s="163"/>
      <c r="L121" s="163"/>
    </row>
    <row r="122" spans="1:12" ht="12">
      <c r="A122" s="63">
        <v>9</v>
      </c>
      <c r="D122" s="63">
        <v>9</v>
      </c>
      <c r="E122" s="66"/>
      <c r="F122" s="66"/>
      <c r="G122" s="163"/>
      <c r="H122" s="163"/>
      <c r="I122" s="163"/>
      <c r="J122" s="163"/>
      <c r="K122" s="163"/>
      <c r="L122" s="163"/>
    </row>
    <row r="123" spans="1:12" ht="12">
      <c r="A123" s="67"/>
      <c r="D123" s="67"/>
      <c r="E123" s="44" t="s">
        <v>1</v>
      </c>
      <c r="F123" s="44"/>
      <c r="G123" s="178"/>
      <c r="H123" s="178" t="s">
        <v>1</v>
      </c>
      <c r="I123" s="178"/>
      <c r="J123" s="178"/>
      <c r="K123" s="178"/>
      <c r="L123" s="178"/>
    </row>
    <row r="124" spans="1:12" ht="12">
      <c r="A124" s="63">
        <v>10</v>
      </c>
      <c r="B124" s="48" t="s">
        <v>501</v>
      </c>
      <c r="D124" s="63">
        <v>10</v>
      </c>
      <c r="G124" s="159">
        <f>SUM(G114:G122)</f>
        <v>0</v>
      </c>
      <c r="H124" s="160"/>
      <c r="I124" s="163">
        <f>SUM(I114:I122)</f>
        <v>0</v>
      </c>
      <c r="J124" s="159"/>
      <c r="K124" s="160"/>
      <c r="L124" s="163">
        <f>SUM(L114:L122)</f>
        <v>0</v>
      </c>
    </row>
    <row r="125" spans="1:12" ht="12">
      <c r="A125" s="63"/>
      <c r="D125" s="63"/>
      <c r="E125" s="44" t="s">
        <v>1</v>
      </c>
      <c r="F125" s="44"/>
      <c r="G125" s="178"/>
      <c r="H125" s="178" t="s">
        <v>1</v>
      </c>
      <c r="I125" s="178"/>
      <c r="J125" s="178"/>
      <c r="K125" s="178"/>
      <c r="L125" s="178"/>
    </row>
    <row r="126" spans="1:12" ht="12">
      <c r="A126" s="63">
        <v>11</v>
      </c>
      <c r="B126" s="66"/>
      <c r="D126" s="63">
        <v>11</v>
      </c>
      <c r="E126" s="66"/>
      <c r="F126" s="66"/>
      <c r="G126" s="163"/>
      <c r="H126" s="163"/>
      <c r="I126" s="163"/>
      <c r="J126" s="163"/>
      <c r="K126" s="163"/>
      <c r="L126" s="163"/>
    </row>
    <row r="127" spans="1:12" ht="12">
      <c r="A127" s="63">
        <v>12</v>
      </c>
      <c r="B127" s="47" t="s">
        <v>502</v>
      </c>
      <c r="D127" s="63">
        <v>12</v>
      </c>
      <c r="E127" s="66"/>
      <c r="F127" s="66"/>
      <c r="G127" s="163">
        <v>7629846</v>
      </c>
      <c r="H127" s="163"/>
      <c r="I127" s="163">
        <v>8264644</v>
      </c>
      <c r="J127" s="163"/>
      <c r="K127" s="163"/>
      <c r="L127" s="163">
        <v>8550000</v>
      </c>
    </row>
    <row r="128" spans="1:12" ht="12">
      <c r="A128" s="63">
        <v>13</v>
      </c>
      <c r="B128" s="66" t="s">
        <v>606</v>
      </c>
      <c r="D128" s="63">
        <v>13</v>
      </c>
      <c r="E128" s="66"/>
      <c r="F128" s="66"/>
      <c r="G128" s="163"/>
      <c r="H128" s="163"/>
      <c r="I128" s="163"/>
      <c r="J128" s="163"/>
      <c r="K128" s="163"/>
      <c r="L128" s="163"/>
    </row>
    <row r="129" spans="1:12" ht="12">
      <c r="A129" s="63">
        <v>14</v>
      </c>
      <c r="D129" s="63">
        <v>14</v>
      </c>
      <c r="E129" s="66"/>
      <c r="F129" s="66"/>
      <c r="G129" s="163">
        <v>115982</v>
      </c>
      <c r="H129" s="163"/>
      <c r="I129" s="163">
        <v>144399</v>
      </c>
      <c r="J129" s="163"/>
      <c r="K129" s="163"/>
      <c r="L129" s="163">
        <v>200000</v>
      </c>
    </row>
    <row r="130" spans="1:12" ht="12">
      <c r="A130" s="63">
        <v>15</v>
      </c>
      <c r="D130" s="63">
        <v>15</v>
      </c>
      <c r="E130" s="66"/>
      <c r="F130" s="66"/>
      <c r="G130" s="163"/>
      <c r="H130" s="163"/>
      <c r="I130" s="163"/>
      <c r="J130" s="163"/>
      <c r="K130" s="163"/>
      <c r="L130" s="163"/>
    </row>
    <row r="131" spans="1:12" ht="12">
      <c r="A131" s="63">
        <v>16</v>
      </c>
      <c r="D131" s="63">
        <v>16</v>
      </c>
      <c r="E131" s="66"/>
      <c r="F131" s="66"/>
      <c r="G131" s="163"/>
      <c r="H131" s="163"/>
      <c r="I131" s="163"/>
      <c r="J131" s="163"/>
      <c r="K131" s="163"/>
      <c r="L131" s="163"/>
    </row>
    <row r="132" spans="1:12" ht="12">
      <c r="A132" s="63">
        <v>17</v>
      </c>
      <c r="B132" s="64"/>
      <c r="C132" s="65"/>
      <c r="D132" s="63">
        <v>17</v>
      </c>
      <c r="E132" s="66"/>
      <c r="F132" s="66"/>
      <c r="G132" s="163"/>
      <c r="H132" s="163"/>
      <c r="I132" s="163"/>
      <c r="J132" s="163"/>
      <c r="K132" s="163"/>
      <c r="L132" s="163"/>
    </row>
    <row r="133" spans="1:12" ht="12">
      <c r="A133" s="63">
        <v>18</v>
      </c>
      <c r="B133" s="65"/>
      <c r="C133" s="65"/>
      <c r="D133" s="63">
        <v>18</v>
      </c>
      <c r="E133" s="66"/>
      <c r="F133" s="66"/>
      <c r="G133" s="163"/>
      <c r="H133" s="163"/>
      <c r="I133" s="163"/>
      <c r="J133" s="163"/>
      <c r="K133" s="163"/>
      <c r="L133" s="163"/>
    </row>
    <row r="134" spans="1:12" ht="12">
      <c r="A134" s="63"/>
      <c r="B134" s="78"/>
      <c r="C134" s="65"/>
      <c r="D134" s="63"/>
      <c r="E134" s="44" t="s">
        <v>1</v>
      </c>
      <c r="F134" s="44"/>
      <c r="G134" s="44"/>
      <c r="H134" s="95" t="s">
        <v>1</v>
      </c>
      <c r="I134" s="71"/>
      <c r="J134" s="44"/>
      <c r="K134" s="95"/>
      <c r="L134" s="71"/>
    </row>
    <row r="135" spans="1:12" ht="12">
      <c r="A135" s="63">
        <v>19</v>
      </c>
      <c r="B135" s="48" t="s">
        <v>505</v>
      </c>
      <c r="C135" s="65"/>
      <c r="D135" s="63">
        <v>19</v>
      </c>
      <c r="G135" s="159">
        <f>SUM(G126:G133)</f>
        <v>7745828</v>
      </c>
      <c r="H135" s="159"/>
      <c r="I135" s="159">
        <f>SUM(I126:I133)</f>
        <v>8409043</v>
      </c>
      <c r="J135" s="163"/>
      <c r="K135" s="163"/>
      <c r="L135" s="159">
        <f>SUM(L126:L133)</f>
        <v>8750000</v>
      </c>
    </row>
    <row r="136" spans="1:12" ht="12">
      <c r="A136" s="63"/>
      <c r="B136" s="78"/>
      <c r="C136" s="65"/>
      <c r="D136" s="63"/>
      <c r="E136" s="44" t="s">
        <v>1</v>
      </c>
      <c r="F136" s="44"/>
      <c r="G136" s="44"/>
      <c r="H136" s="95" t="s">
        <v>1</v>
      </c>
      <c r="I136" s="71"/>
      <c r="J136" s="44"/>
      <c r="K136" s="95"/>
      <c r="L136" s="71"/>
    </row>
    <row r="137" spans="1:9" ht="12">
      <c r="A137" s="63"/>
      <c r="B137" s="65"/>
      <c r="C137" s="65"/>
      <c r="D137" s="63"/>
      <c r="I137" s="157"/>
    </row>
    <row r="138" spans="1:12" ht="12">
      <c r="A138" s="63">
        <v>20</v>
      </c>
      <c r="B138" s="47" t="s">
        <v>506</v>
      </c>
      <c r="D138" s="63">
        <v>20</v>
      </c>
      <c r="G138" s="159">
        <f>SUM(G124,G135)</f>
        <v>7745828</v>
      </c>
      <c r="H138" s="160"/>
      <c r="I138" s="159">
        <f>SUM(I124,I135)</f>
        <v>8409043</v>
      </c>
      <c r="J138" s="159"/>
      <c r="K138" s="160"/>
      <c r="L138" s="159">
        <f>SUM(L124,L135)</f>
        <v>8750000</v>
      </c>
    </row>
    <row r="139" spans="2:12" ht="12">
      <c r="B139" s="103" t="s">
        <v>330</v>
      </c>
      <c r="D139" s="68"/>
      <c r="E139" s="44" t="s">
        <v>1</v>
      </c>
      <c r="F139" s="44"/>
      <c r="G139" s="44"/>
      <c r="H139" s="95" t="s">
        <v>1</v>
      </c>
      <c r="I139" s="71"/>
      <c r="J139" s="44"/>
      <c r="K139" s="95"/>
      <c r="L139" s="71"/>
    </row>
    <row r="140" ht="12">
      <c r="B140" s="47" t="s">
        <v>0</v>
      </c>
    </row>
  </sheetData>
  <sheetProtection/>
  <mergeCells count="7">
    <mergeCell ref="A108:L108"/>
    <mergeCell ref="A32:L32"/>
    <mergeCell ref="A3:L3"/>
    <mergeCell ref="A6:L6"/>
    <mergeCell ref="A7:L7"/>
    <mergeCell ref="A18:L18"/>
    <mergeCell ref="A72:L72"/>
  </mergeCells>
  <printOptions horizontalCentered="1"/>
  <pageMargins left="0.3" right="0.3" top="1" bottom="1" header="0.5" footer="0.24"/>
  <pageSetup fitToHeight="47" horizontalDpi="600" verticalDpi="600" orientation="landscape" scale="84" r:id="rId1"/>
  <rowBreaks count="3" manualBreakCount="3">
    <brk id="30" max="255" man="1"/>
    <brk id="70" max="255" man="1"/>
    <brk id="1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913"/>
  <sheetViews>
    <sheetView showGridLines="0" view="pageBreakPreview" zoomScale="75" zoomScaleNormal="75" zoomScaleSheetLayoutView="75" zoomScalePageLayoutView="0" workbookViewId="0" topLeftCell="A919">
      <selection activeCell="A221" sqref="A221"/>
    </sheetView>
  </sheetViews>
  <sheetFormatPr defaultColWidth="9.625" defaultRowHeight="12.75"/>
  <cols>
    <col min="1" max="1" width="4.875" style="269" customWidth="1"/>
    <col min="2" max="2" width="33.00390625" style="269" customWidth="1"/>
    <col min="3" max="3" width="18.625" style="269" customWidth="1"/>
    <col min="4" max="4" width="6.00390625" style="269" customWidth="1"/>
    <col min="5" max="5" width="5.50390625" style="269" customWidth="1"/>
    <col min="6" max="6" width="10.625" style="269" customWidth="1"/>
    <col min="7" max="7" width="13.875" style="269" customWidth="1"/>
    <col min="8" max="8" width="10.00390625" style="269" bestFit="1" customWidth="1"/>
    <col min="9" max="9" width="9.75390625" style="269" customWidth="1"/>
    <col min="10" max="10" width="3.625" style="269" customWidth="1"/>
    <col min="11" max="11" width="10.00390625" style="269" bestFit="1" customWidth="1"/>
    <col min="12" max="12" width="12.25390625" style="269" customWidth="1"/>
    <col min="13" max="16384" width="9.625" style="269" customWidth="1"/>
  </cols>
  <sheetData>
    <row r="1" spans="11:12" s="5" customFormat="1" ht="12">
      <c r="K1" s="26"/>
      <c r="L1" s="28" t="s">
        <v>71</v>
      </c>
    </row>
    <row r="2" spans="11:12" s="5" customFormat="1" ht="12">
      <c r="K2" s="26"/>
      <c r="L2" s="16"/>
    </row>
    <row r="3" spans="1:12" s="5" customFormat="1" ht="45">
      <c r="A3" s="450" t="s">
        <v>35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</row>
    <row r="4" spans="11:12" s="5" customFormat="1" ht="12">
      <c r="K4" s="26"/>
      <c r="L4" s="16"/>
    </row>
    <row r="5" spans="11:12" s="5" customFormat="1" ht="12">
      <c r="K5" s="26"/>
      <c r="L5" s="16"/>
    </row>
    <row r="6" spans="1:12" s="29" customFormat="1" ht="33">
      <c r="A6" s="451" t="s">
        <v>72</v>
      </c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451"/>
    </row>
    <row r="7" spans="1:12" s="29" customFormat="1" ht="33">
      <c r="A7" s="451" t="s">
        <v>73</v>
      </c>
      <c r="B7" s="451"/>
      <c r="C7" s="451"/>
      <c r="D7" s="451"/>
      <c r="E7" s="451"/>
      <c r="F7" s="451"/>
      <c r="G7" s="451"/>
      <c r="H7" s="451"/>
      <c r="I7" s="451"/>
      <c r="J7" s="451"/>
      <c r="K7" s="451"/>
      <c r="L7" s="451"/>
    </row>
    <row r="8" spans="11:12" s="5" customFormat="1" ht="12">
      <c r="K8" s="26"/>
      <c r="L8" s="16"/>
    </row>
    <row r="9" spans="11:12" s="5" customFormat="1" ht="12">
      <c r="K9" s="26"/>
      <c r="L9" s="16"/>
    </row>
    <row r="10" spans="11:12" s="5" customFormat="1" ht="12">
      <c r="K10" s="26"/>
      <c r="L10" s="16"/>
    </row>
    <row r="11" spans="11:12" s="5" customFormat="1" ht="12">
      <c r="K11" s="26"/>
      <c r="L11" s="16"/>
    </row>
    <row r="12" spans="11:12" s="5" customFormat="1" ht="12">
      <c r="K12" s="26"/>
      <c r="L12" s="16"/>
    </row>
    <row r="13" spans="11:12" s="5" customFormat="1" ht="12">
      <c r="K13" s="26"/>
      <c r="L13" s="16"/>
    </row>
    <row r="14" spans="11:12" s="5" customFormat="1" ht="12">
      <c r="K14" s="26"/>
      <c r="L14" s="16"/>
    </row>
    <row r="15" spans="11:12" s="5" customFormat="1" ht="12">
      <c r="K15" s="26"/>
      <c r="L15" s="16"/>
    </row>
    <row r="16" spans="11:12" s="5" customFormat="1" ht="12">
      <c r="K16" s="26"/>
      <c r="L16" s="16"/>
    </row>
    <row r="17" spans="11:12" s="5" customFormat="1" ht="12">
      <c r="K17" s="26"/>
      <c r="L17" s="16"/>
    </row>
    <row r="18" spans="1:12" s="5" customFormat="1" ht="45">
      <c r="A18" s="452" t="s">
        <v>625</v>
      </c>
      <c r="B18" s="452"/>
      <c r="C18" s="452"/>
      <c r="D18" s="452"/>
      <c r="E18" s="452"/>
      <c r="F18" s="452"/>
      <c r="G18" s="452"/>
      <c r="H18" s="452"/>
      <c r="I18" s="452"/>
      <c r="J18" s="452"/>
      <c r="K18" s="452"/>
      <c r="L18" s="452"/>
    </row>
    <row r="19" spans="11:12" s="5" customFormat="1" ht="12">
      <c r="K19" s="26"/>
      <c r="L19" s="16"/>
    </row>
    <row r="20" spans="11:12" s="5" customFormat="1" ht="12">
      <c r="K20" s="26"/>
      <c r="L20" s="16"/>
    </row>
    <row r="21" spans="11:12" s="5" customFormat="1" ht="12">
      <c r="K21" s="26"/>
      <c r="L21" s="16"/>
    </row>
    <row r="22" spans="11:12" s="5" customFormat="1" ht="12">
      <c r="K22" s="26"/>
      <c r="L22" s="16"/>
    </row>
    <row r="23" spans="11:12" s="5" customFormat="1" ht="12">
      <c r="K23" s="26"/>
      <c r="L23" s="16"/>
    </row>
    <row r="24" spans="11:12" s="5" customFormat="1" ht="12">
      <c r="K24" s="26"/>
      <c r="L24" s="16"/>
    </row>
    <row r="25" spans="11:12" s="5" customFormat="1" ht="12">
      <c r="K25" s="26"/>
      <c r="L25" s="16"/>
    </row>
    <row r="26" spans="11:12" s="5" customFormat="1" ht="12">
      <c r="K26" s="26"/>
      <c r="L26" s="16"/>
    </row>
    <row r="27" spans="11:12" s="5" customFormat="1" ht="12">
      <c r="K27" s="26"/>
      <c r="L27" s="16"/>
    </row>
    <row r="28" spans="11:12" s="5" customFormat="1" ht="12">
      <c r="K28" s="26"/>
      <c r="L28" s="16"/>
    </row>
    <row r="29" spans="11:12" s="5" customFormat="1" ht="12">
      <c r="K29" s="26"/>
      <c r="L29" s="16"/>
    </row>
    <row r="30" spans="11:12" s="5" customFormat="1" ht="12">
      <c r="K30" s="26"/>
      <c r="L30" s="16"/>
    </row>
    <row r="31" spans="1:12" ht="12">
      <c r="A31" s="292" t="s">
        <v>75</v>
      </c>
      <c r="F31" s="300"/>
      <c r="H31" s="300"/>
      <c r="L31" s="294" t="s">
        <v>76</v>
      </c>
    </row>
    <row r="32" spans="1:12" ht="12">
      <c r="A32" s="459" t="s">
        <v>77</v>
      </c>
      <c r="B32" s="459"/>
      <c r="C32" s="459"/>
      <c r="D32" s="459"/>
      <c r="E32" s="459"/>
      <c r="F32" s="459"/>
      <c r="G32" s="459"/>
      <c r="H32" s="459"/>
      <c r="I32" s="459"/>
      <c r="J32" s="459"/>
      <c r="K32" s="459"/>
      <c r="L32" s="459"/>
    </row>
    <row r="33" spans="1:12" ht="12">
      <c r="A33" s="292" t="s">
        <v>78</v>
      </c>
      <c r="F33" s="300"/>
      <c r="H33" s="300"/>
      <c r="K33" s="295"/>
      <c r="L33" s="291" t="s">
        <v>79</v>
      </c>
    </row>
    <row r="34" spans="1:12" ht="12">
      <c r="A34" s="283" t="s">
        <v>1</v>
      </c>
      <c r="B34" s="283" t="s">
        <v>1</v>
      </c>
      <c r="C34" s="283" t="s">
        <v>1</v>
      </c>
      <c r="D34" s="283" t="s">
        <v>1</v>
      </c>
      <c r="E34" s="283"/>
      <c r="F34" s="298" t="s">
        <v>1</v>
      </c>
      <c r="G34" s="283" t="s">
        <v>1</v>
      </c>
      <c r="H34" s="298" t="s">
        <v>1</v>
      </c>
      <c r="I34" s="283" t="s">
        <v>1</v>
      </c>
      <c r="J34" s="283"/>
      <c r="K34" s="283" t="s">
        <v>1</v>
      </c>
      <c r="L34" s="283" t="s">
        <v>1</v>
      </c>
    </row>
    <row r="35" spans="1:12" ht="12">
      <c r="A35" s="289" t="s">
        <v>2</v>
      </c>
      <c r="B35" s="297" t="s">
        <v>3</v>
      </c>
      <c r="D35" s="289" t="s">
        <v>2</v>
      </c>
      <c r="E35" s="289"/>
      <c r="F35" s="309"/>
      <c r="G35" s="285" t="s">
        <v>62</v>
      </c>
      <c r="H35" s="309"/>
      <c r="I35" s="285" t="s">
        <v>65</v>
      </c>
      <c r="J35" s="285"/>
      <c r="K35" s="309"/>
      <c r="L35" s="285" t="s">
        <v>70</v>
      </c>
    </row>
    <row r="36" spans="1:12" ht="12">
      <c r="A36" s="289" t="s">
        <v>4</v>
      </c>
      <c r="B36" s="307" t="s">
        <v>5</v>
      </c>
      <c r="D36" s="289" t="s">
        <v>4</v>
      </c>
      <c r="E36" s="289"/>
      <c r="F36" s="309" t="s">
        <v>6</v>
      </c>
      <c r="G36" s="285" t="s">
        <v>7</v>
      </c>
      <c r="H36" s="382" t="s">
        <v>6</v>
      </c>
      <c r="I36" s="306" t="s">
        <v>7</v>
      </c>
      <c r="J36" s="306"/>
      <c r="K36" s="293" t="s">
        <v>6</v>
      </c>
      <c r="L36" s="306" t="s">
        <v>8</v>
      </c>
    </row>
    <row r="37" spans="1:12" ht="12">
      <c r="A37" s="283" t="s">
        <v>1</v>
      </c>
      <c r="B37" s="283" t="s">
        <v>1</v>
      </c>
      <c r="C37" s="283" t="s">
        <v>1</v>
      </c>
      <c r="D37" s="283" t="s">
        <v>1</v>
      </c>
      <c r="E37" s="283"/>
      <c r="F37" s="252" t="s">
        <v>1</v>
      </c>
      <c r="G37" s="14" t="s">
        <v>1</v>
      </c>
      <c r="H37" s="298" t="s">
        <v>1</v>
      </c>
      <c r="I37" s="283" t="s">
        <v>1</v>
      </c>
      <c r="J37" s="283"/>
      <c r="K37" s="283" t="s">
        <v>1</v>
      </c>
      <c r="L37" s="283" t="s">
        <v>1</v>
      </c>
    </row>
    <row r="38" spans="1:12" ht="12">
      <c r="A38" s="280">
        <v>1</v>
      </c>
      <c r="B38" s="297" t="s">
        <v>9</v>
      </c>
      <c r="C38" s="369" t="s">
        <v>80</v>
      </c>
      <c r="D38" s="280">
        <v>1</v>
      </c>
      <c r="E38" s="280"/>
      <c r="F38" s="300">
        <f>F475</f>
        <v>2166.3</v>
      </c>
      <c r="G38" s="295">
        <f>G475</f>
        <v>246345909.39</v>
      </c>
      <c r="H38" s="300">
        <f>H475</f>
        <v>2165.2</v>
      </c>
      <c r="I38" s="295">
        <f>I475</f>
        <v>247503538.46000004</v>
      </c>
      <c r="J38" s="295"/>
      <c r="K38" s="300">
        <f>K475</f>
        <v>2196.3</v>
      </c>
      <c r="L38" s="295">
        <f>L475</f>
        <v>265905043</v>
      </c>
    </row>
    <row r="39" spans="1:12" ht="12">
      <c r="A39" s="280">
        <v>2</v>
      </c>
      <c r="B39" s="297" t="s">
        <v>10</v>
      </c>
      <c r="C39" s="369" t="s">
        <v>81</v>
      </c>
      <c r="D39" s="280">
        <v>2</v>
      </c>
      <c r="E39" s="280"/>
      <c r="F39" s="300">
        <f>F513</f>
        <v>45.7</v>
      </c>
      <c r="G39" s="295">
        <f>G513</f>
        <v>8198818.78</v>
      </c>
      <c r="H39" s="300">
        <f>H513</f>
        <v>40.54</v>
      </c>
      <c r="I39" s="295">
        <f>I513</f>
        <v>8184157.870000001</v>
      </c>
      <c r="J39" s="295"/>
      <c r="K39" s="300">
        <f>K513</f>
        <v>40.839999999999996</v>
      </c>
      <c r="L39" s="295">
        <f>L513</f>
        <v>8608604</v>
      </c>
    </row>
    <row r="40" spans="1:12" ht="12">
      <c r="A40" s="280">
        <v>3</v>
      </c>
      <c r="B40" s="297" t="s">
        <v>11</v>
      </c>
      <c r="C40" s="369" t="s">
        <v>82</v>
      </c>
      <c r="D40" s="280">
        <v>3</v>
      </c>
      <c r="E40" s="280"/>
      <c r="F40" s="300">
        <f>F548</f>
        <v>8.3</v>
      </c>
      <c r="G40" s="295">
        <f>G548</f>
        <v>912569.4100000001</v>
      </c>
      <c r="H40" s="300">
        <f>H548</f>
        <v>8.2</v>
      </c>
      <c r="I40" s="295">
        <f>I548</f>
        <v>901946.9199999999</v>
      </c>
      <c r="J40" s="295"/>
      <c r="K40" s="300">
        <f>K548</f>
        <v>8.1</v>
      </c>
      <c r="L40" s="295">
        <f>L548</f>
        <v>918876</v>
      </c>
    </row>
    <row r="41" spans="1:12" ht="12">
      <c r="A41" s="280">
        <v>4</v>
      </c>
      <c r="B41" s="297" t="s">
        <v>12</v>
      </c>
      <c r="C41" s="369" t="s">
        <v>83</v>
      </c>
      <c r="D41" s="280">
        <v>4</v>
      </c>
      <c r="E41" s="280"/>
      <c r="F41" s="300">
        <f>F584</f>
        <v>572.9</v>
      </c>
      <c r="G41" s="295">
        <f>G584</f>
        <v>61420085.66</v>
      </c>
      <c r="H41" s="300">
        <f>H584</f>
        <v>579.3</v>
      </c>
      <c r="I41" s="295">
        <f>I584</f>
        <v>61574762.76</v>
      </c>
      <c r="J41" s="295"/>
      <c r="K41" s="300">
        <f>K584</f>
        <v>586.5</v>
      </c>
      <c r="L41" s="295">
        <f>L584</f>
        <v>63876611</v>
      </c>
    </row>
    <row r="42" spans="1:12" ht="12">
      <c r="A42" s="280">
        <v>5</v>
      </c>
      <c r="B42" s="297" t="s">
        <v>13</v>
      </c>
      <c r="C42" s="369" t="s">
        <v>84</v>
      </c>
      <c r="D42" s="280">
        <v>5</v>
      </c>
      <c r="E42" s="280"/>
      <c r="F42" s="300">
        <f>F619</f>
        <v>217.3</v>
      </c>
      <c r="G42" s="295">
        <f>G619</f>
        <v>21740665.78</v>
      </c>
      <c r="H42" s="300">
        <f>H619</f>
        <v>218.2</v>
      </c>
      <c r="I42" s="295">
        <f>I619</f>
        <v>21820688.759999998</v>
      </c>
      <c r="J42" s="295"/>
      <c r="K42" s="300">
        <f>K619</f>
        <v>218.5</v>
      </c>
      <c r="L42" s="295">
        <f>L619</f>
        <v>23022927</v>
      </c>
    </row>
    <row r="43" spans="1:12" ht="12">
      <c r="A43" s="280">
        <v>6</v>
      </c>
      <c r="B43" s="297" t="s">
        <v>14</v>
      </c>
      <c r="C43" s="369" t="s">
        <v>85</v>
      </c>
      <c r="D43" s="280">
        <v>6</v>
      </c>
      <c r="E43" s="280"/>
      <c r="F43" s="300">
        <f>F654</f>
        <v>380.88</v>
      </c>
      <c r="G43" s="295">
        <f>G654</f>
        <v>33292426.270000003</v>
      </c>
      <c r="H43" s="300">
        <f>H654</f>
        <v>345.98</v>
      </c>
      <c r="I43" s="295">
        <f>I654</f>
        <v>29992043.19</v>
      </c>
      <c r="J43" s="295"/>
      <c r="K43" s="300">
        <f>K654</f>
        <v>338.12</v>
      </c>
      <c r="L43" s="295">
        <f>L654</f>
        <v>32755825</v>
      </c>
    </row>
    <row r="44" spans="1:12" ht="12">
      <c r="A44" s="280">
        <v>7</v>
      </c>
      <c r="B44" s="297" t="s">
        <v>20</v>
      </c>
      <c r="C44" s="369" t="s">
        <v>86</v>
      </c>
      <c r="D44" s="280">
        <v>7</v>
      </c>
      <c r="E44" s="280"/>
      <c r="F44" s="300">
        <f>F690</f>
        <v>412.20000000000005</v>
      </c>
      <c r="G44" s="295">
        <f>G690</f>
        <v>50124506.36</v>
      </c>
      <c r="H44" s="300">
        <f>H690</f>
        <v>412.8</v>
      </c>
      <c r="I44" s="295">
        <f>I690</f>
        <v>48551573.760000005</v>
      </c>
      <c r="J44" s="295"/>
      <c r="K44" s="300">
        <f>K690</f>
        <v>412.6</v>
      </c>
      <c r="L44" s="295">
        <f>L690</f>
        <v>54001991</v>
      </c>
    </row>
    <row r="45" spans="1:12" ht="12">
      <c r="A45" s="280">
        <v>8</v>
      </c>
      <c r="B45" s="297" t="s">
        <v>87</v>
      </c>
      <c r="C45" s="369" t="s">
        <v>88</v>
      </c>
      <c r="D45" s="280">
        <v>8</v>
      </c>
      <c r="E45" s="280"/>
      <c r="F45" s="300">
        <v>0</v>
      </c>
      <c r="G45" s="295">
        <f>G761</f>
        <v>35746154.85</v>
      </c>
      <c r="H45" s="300">
        <v>0</v>
      </c>
      <c r="I45" s="295">
        <f>I761</f>
        <v>38413248.63</v>
      </c>
      <c r="J45" s="295"/>
      <c r="K45" s="300">
        <v>0</v>
      </c>
      <c r="L45" s="295">
        <f>L761</f>
        <v>41726789</v>
      </c>
    </row>
    <row r="46" spans="1:12" ht="12">
      <c r="A46" s="280">
        <v>9</v>
      </c>
      <c r="B46" s="297" t="s">
        <v>22</v>
      </c>
      <c r="C46" s="369" t="s">
        <v>89</v>
      </c>
      <c r="D46" s="280">
        <v>9</v>
      </c>
      <c r="E46" s="280"/>
      <c r="F46" s="300">
        <f>F800</f>
        <v>0</v>
      </c>
      <c r="G46" s="295">
        <f>G800</f>
        <v>0</v>
      </c>
      <c r="H46" s="300">
        <f>H800</f>
        <v>0</v>
      </c>
      <c r="I46" s="295">
        <f>I800</f>
        <v>0</v>
      </c>
      <c r="J46" s="295"/>
      <c r="K46" s="300">
        <f>K800</f>
        <v>0</v>
      </c>
      <c r="L46" s="295">
        <f>L800</f>
        <v>0</v>
      </c>
    </row>
    <row r="47" spans="1:12" ht="12">
      <c r="A47" s="280">
        <v>10</v>
      </c>
      <c r="B47" s="297" t="s">
        <v>16</v>
      </c>
      <c r="C47" s="369" t="s">
        <v>90</v>
      </c>
      <c r="D47" s="280">
        <v>10</v>
      </c>
      <c r="E47" s="280"/>
      <c r="F47" s="300">
        <f>F834</f>
        <v>0</v>
      </c>
      <c r="G47" s="295">
        <f>G834</f>
        <v>70101942.1</v>
      </c>
      <c r="H47" s="300">
        <f>H834</f>
        <v>0</v>
      </c>
      <c r="I47" s="295">
        <f>I834</f>
        <v>100150414.14</v>
      </c>
      <c r="J47" s="295"/>
      <c r="K47" s="300">
        <f>K834</f>
        <v>0</v>
      </c>
      <c r="L47" s="295">
        <f>L834</f>
        <v>82247086</v>
      </c>
    </row>
    <row r="48" spans="1:12" ht="12">
      <c r="A48" s="283"/>
      <c r="B48" s="283"/>
      <c r="C48" s="283"/>
      <c r="D48" s="283"/>
      <c r="E48" s="283"/>
      <c r="F48" s="252" t="s">
        <v>1</v>
      </c>
      <c r="G48" s="271" t="s">
        <v>1</v>
      </c>
      <c r="H48" s="298" t="s">
        <v>1</v>
      </c>
      <c r="I48" s="270" t="s">
        <v>1</v>
      </c>
      <c r="J48" s="270"/>
      <c r="K48" s="298" t="s">
        <v>1</v>
      </c>
      <c r="L48" s="270" t="s">
        <v>1</v>
      </c>
    </row>
    <row r="49" spans="1:12" ht="15.75" customHeight="1">
      <c r="A49" s="269">
        <v>11</v>
      </c>
      <c r="B49" s="4" t="s">
        <v>59</v>
      </c>
      <c r="C49" s="5"/>
      <c r="D49" s="5">
        <v>11</v>
      </c>
      <c r="E49" s="5"/>
      <c r="F49" s="300">
        <f>SUM(F38:F47)</f>
        <v>3803.580000000001</v>
      </c>
      <c r="G49" s="295">
        <f>SUM(G38:G47)</f>
        <v>527883078.6</v>
      </c>
      <c r="H49" s="300">
        <f>SUM(H38:H47)</f>
        <v>3770.22</v>
      </c>
      <c r="I49" s="295">
        <f>SUM(I38:I47)</f>
        <v>557092374.49</v>
      </c>
      <c r="J49" s="295"/>
      <c r="K49" s="300">
        <f>SUM(K38:K47)</f>
        <v>3800.96</v>
      </c>
      <c r="L49" s="295">
        <f>SUM(L38:L47)</f>
        <v>573063752</v>
      </c>
    </row>
    <row r="50" spans="1:12" ht="12">
      <c r="A50" s="283"/>
      <c r="B50" s="283"/>
      <c r="C50" s="283"/>
      <c r="D50" s="283"/>
      <c r="E50" s="283"/>
      <c r="F50" s="252" t="s">
        <v>1</v>
      </c>
      <c r="G50" s="271" t="s">
        <v>1</v>
      </c>
      <c r="H50" s="298" t="s">
        <v>1</v>
      </c>
      <c r="I50" s="270" t="s">
        <v>1</v>
      </c>
      <c r="J50" s="270"/>
      <c r="K50" s="298" t="s">
        <v>1</v>
      </c>
      <c r="L50" s="270" t="s">
        <v>1</v>
      </c>
    </row>
    <row r="51" spans="1:12" ht="12">
      <c r="A51" s="269">
        <v>12</v>
      </c>
      <c r="B51" s="297" t="s">
        <v>91</v>
      </c>
      <c r="D51" s="269">
        <v>12</v>
      </c>
      <c r="F51" s="33"/>
      <c r="G51" s="274"/>
      <c r="H51" s="296"/>
      <c r="I51" s="295"/>
      <c r="J51" s="295"/>
      <c r="K51" s="296"/>
      <c r="L51" s="295"/>
    </row>
    <row r="52" spans="1:12" ht="12">
      <c r="A52" s="280">
        <v>13</v>
      </c>
      <c r="B52" s="297" t="s">
        <v>51</v>
      </c>
      <c r="C52" s="369" t="s">
        <v>92</v>
      </c>
      <c r="D52" s="280">
        <v>13</v>
      </c>
      <c r="E52" s="280"/>
      <c r="F52" s="39"/>
      <c r="G52" s="295"/>
      <c r="H52" s="312"/>
      <c r="I52" s="295"/>
      <c r="J52" s="295"/>
      <c r="K52" s="312"/>
      <c r="L52" s="295"/>
    </row>
    <row r="53" spans="1:12" ht="12">
      <c r="A53" s="280">
        <v>14</v>
      </c>
      <c r="B53" s="297" t="s">
        <v>52</v>
      </c>
      <c r="C53" s="369" t="s">
        <v>93</v>
      </c>
      <c r="D53" s="280">
        <v>14</v>
      </c>
      <c r="E53" s="280"/>
      <c r="F53" s="39"/>
      <c r="G53" s="295">
        <f>G439</f>
        <v>33274713</v>
      </c>
      <c r="H53" s="312"/>
      <c r="I53" s="295">
        <f>I439</f>
        <v>14461424.22</v>
      </c>
      <c r="J53" s="295"/>
      <c r="K53" s="312"/>
      <c r="L53" s="295">
        <f>L439</f>
        <v>33494001</v>
      </c>
    </row>
    <row r="54" spans="1:12" ht="12">
      <c r="A54" s="280">
        <v>15</v>
      </c>
      <c r="B54" s="297" t="s">
        <v>54</v>
      </c>
      <c r="C54" s="297" t="s">
        <v>94</v>
      </c>
      <c r="D54" s="280">
        <v>15</v>
      </c>
      <c r="E54" s="280"/>
      <c r="F54" s="39"/>
      <c r="G54" s="295">
        <f>G380</f>
        <v>30670450</v>
      </c>
      <c r="H54" s="312"/>
      <c r="I54" s="295">
        <f>I381</f>
        <v>20991320</v>
      </c>
      <c r="J54" s="295"/>
      <c r="K54" s="312"/>
      <c r="L54" s="295">
        <f>L382</f>
        <v>30451162</v>
      </c>
    </row>
    <row r="55" spans="1:12" ht="12">
      <c r="A55" s="280">
        <v>16</v>
      </c>
      <c r="B55" s="297" t="s">
        <v>53</v>
      </c>
      <c r="C55" s="369"/>
      <c r="D55" s="280">
        <v>16</v>
      </c>
      <c r="E55" s="280"/>
      <c r="F55" s="39"/>
      <c r="G55" s="279">
        <f>G56-G54</f>
        <v>113519999.00999999</v>
      </c>
      <c r="H55" s="312"/>
      <c r="I55" s="279">
        <f>I56-I54</f>
        <v>126377391.06</v>
      </c>
      <c r="J55" s="279"/>
      <c r="K55" s="312"/>
      <c r="L55" s="279">
        <f>L56-L54</f>
        <v>133119656</v>
      </c>
    </row>
    <row r="56" spans="1:12" ht="12">
      <c r="A56" s="280">
        <v>17</v>
      </c>
      <c r="B56" s="297" t="s">
        <v>95</v>
      </c>
      <c r="C56" s="369" t="s">
        <v>96</v>
      </c>
      <c r="D56" s="280">
        <v>17</v>
      </c>
      <c r="E56" s="280"/>
      <c r="F56" s="39">
        <f>G81</f>
        <v>15917.029999999999</v>
      </c>
      <c r="G56" s="295">
        <f>G251</f>
        <v>144190449.01</v>
      </c>
      <c r="H56" s="39">
        <f>I81</f>
        <v>16272.929999999998</v>
      </c>
      <c r="I56" s="295">
        <f>I251</f>
        <v>147368711.06</v>
      </c>
      <c r="J56" s="295"/>
      <c r="K56" s="39">
        <f>L81</f>
        <v>16118</v>
      </c>
      <c r="L56" s="295">
        <f>L251</f>
        <v>163570818</v>
      </c>
    </row>
    <row r="57" spans="1:12" ht="12">
      <c r="A57" s="280">
        <v>18</v>
      </c>
      <c r="B57" s="297" t="s">
        <v>56</v>
      </c>
      <c r="C57" s="369" t="s">
        <v>97</v>
      </c>
      <c r="D57" s="280">
        <v>18</v>
      </c>
      <c r="E57" s="280"/>
      <c r="F57" s="39">
        <f>G82</f>
        <v>1826.6399999999999</v>
      </c>
      <c r="G57" s="295">
        <f>G250</f>
        <v>25990745.189999998</v>
      </c>
      <c r="H57" s="39">
        <f>I82</f>
        <v>1894.1999999999998</v>
      </c>
      <c r="I57" s="295">
        <f>I250</f>
        <v>29921571.04</v>
      </c>
      <c r="J57" s="295"/>
      <c r="K57" s="39">
        <f>L82</f>
        <v>1944</v>
      </c>
      <c r="L57" s="295">
        <f>L250</f>
        <v>31649460</v>
      </c>
    </row>
    <row r="58" spans="1:12" ht="12">
      <c r="A58" s="280">
        <v>19</v>
      </c>
      <c r="B58" s="297" t="s">
        <v>98</v>
      </c>
      <c r="C58" s="369" t="s">
        <v>99</v>
      </c>
      <c r="D58" s="280">
        <v>19</v>
      </c>
      <c r="E58" s="280"/>
      <c r="F58" s="39">
        <f>G87</f>
        <v>9071.400000000001</v>
      </c>
      <c r="G58" s="295">
        <f>G256</f>
        <v>233122602.67000002</v>
      </c>
      <c r="H58" s="39">
        <f>I87</f>
        <v>9154.81</v>
      </c>
      <c r="I58" s="295">
        <f>I256</f>
        <v>244533120.17</v>
      </c>
      <c r="J58" s="295"/>
      <c r="K58" s="39">
        <f>L87</f>
        <v>9210.01</v>
      </c>
      <c r="L58" s="295">
        <f>L256</f>
        <v>258131720</v>
      </c>
    </row>
    <row r="59" spans="1:12" ht="12">
      <c r="A59" s="280">
        <v>20</v>
      </c>
      <c r="B59" s="297" t="s">
        <v>36</v>
      </c>
      <c r="C59" s="369" t="s">
        <v>100</v>
      </c>
      <c r="D59" s="280">
        <v>20</v>
      </c>
      <c r="E59" s="280"/>
      <c r="F59" s="39">
        <f>F56+F57+F58</f>
        <v>26815.07</v>
      </c>
      <c r="G59" s="295">
        <f>G260</f>
        <v>403303796.87</v>
      </c>
      <c r="H59" s="39">
        <f>H56+H57+H58</f>
        <v>27321.939999999995</v>
      </c>
      <c r="I59" s="295">
        <f>I260</f>
        <v>421823402.27</v>
      </c>
      <c r="J59" s="295"/>
      <c r="K59" s="39">
        <f>K56+K57+K58</f>
        <v>27272.010000000002</v>
      </c>
      <c r="L59" s="295">
        <f>L260</f>
        <v>453351998</v>
      </c>
    </row>
    <row r="60" spans="1:12" ht="12">
      <c r="A60" s="369" t="s">
        <v>68</v>
      </c>
      <c r="B60" s="4" t="s">
        <v>66</v>
      </c>
      <c r="C60" s="369" t="s">
        <v>101</v>
      </c>
      <c r="D60" s="369" t="s">
        <v>68</v>
      </c>
      <c r="E60" s="369"/>
      <c r="F60" s="39"/>
      <c r="G60" s="295">
        <f>G296-G270</f>
        <v>7191565.299999997</v>
      </c>
      <c r="H60" s="312"/>
      <c r="I60" s="295">
        <f>I296-I270</f>
        <v>9129643.970000006</v>
      </c>
      <c r="J60" s="295"/>
      <c r="K60" s="312"/>
      <c r="L60" s="295">
        <f>L296-L270</f>
        <v>12700589</v>
      </c>
    </row>
    <row r="61" spans="1:12" ht="12">
      <c r="A61" s="369" t="s">
        <v>69</v>
      </c>
      <c r="B61" s="4" t="s">
        <v>67</v>
      </c>
      <c r="C61" s="297" t="s">
        <v>102</v>
      </c>
      <c r="D61" s="369" t="s">
        <v>69</v>
      </c>
      <c r="E61" s="369"/>
      <c r="F61" s="39"/>
      <c r="G61" s="295">
        <f>G270</f>
        <v>22337843</v>
      </c>
      <c r="H61" s="312"/>
      <c r="I61" s="295">
        <f>I270</f>
        <v>50830263</v>
      </c>
      <c r="J61" s="295"/>
      <c r="K61" s="312"/>
      <c r="L61" s="295">
        <f>L270</f>
        <v>15474002</v>
      </c>
    </row>
    <row r="62" spans="1:12" ht="12">
      <c r="A62" s="280">
        <v>22</v>
      </c>
      <c r="B62" s="283"/>
      <c r="C62" s="283"/>
      <c r="D62" s="369">
        <v>22</v>
      </c>
      <c r="E62" s="369"/>
      <c r="F62" s="252" t="s">
        <v>1</v>
      </c>
      <c r="G62" s="271" t="s">
        <v>1</v>
      </c>
      <c r="H62" s="298" t="s">
        <v>1</v>
      </c>
      <c r="I62" s="270" t="s">
        <v>1</v>
      </c>
      <c r="J62" s="270"/>
      <c r="K62" s="298" t="s">
        <v>1</v>
      </c>
      <c r="L62" s="270" t="s">
        <v>1</v>
      </c>
    </row>
    <row r="63" spans="1:12" ht="12">
      <c r="A63" s="280">
        <v>23</v>
      </c>
      <c r="B63" s="5" t="s">
        <v>103</v>
      </c>
      <c r="C63" s="381"/>
      <c r="D63" s="280">
        <v>23</v>
      </c>
      <c r="E63" s="280"/>
      <c r="F63" s="380"/>
      <c r="G63" s="295">
        <f>SUM(,G53,G59,G60,G61)</f>
        <v>466107918.17</v>
      </c>
      <c r="H63" s="295"/>
      <c r="I63" s="295">
        <f>SUM(,I53,I59,I60,I61)</f>
        <v>496244733.46000004</v>
      </c>
      <c r="J63" s="295"/>
      <c r="K63" s="295"/>
      <c r="L63" s="295">
        <f>SUM(,L53,L59,L60,L61)</f>
        <v>515020590</v>
      </c>
    </row>
    <row r="64" spans="1:12" ht="12">
      <c r="A64" s="280">
        <v>24</v>
      </c>
      <c r="B64" s="7"/>
      <c r="C64" s="297"/>
      <c r="D64" s="280">
        <v>24</v>
      </c>
      <c r="E64" s="280"/>
      <c r="F64" s="39"/>
      <c r="G64" s="274"/>
      <c r="I64" s="295"/>
      <c r="J64" s="295"/>
      <c r="L64" s="295"/>
    </row>
    <row r="65" spans="1:12" ht="12">
      <c r="A65" s="280">
        <v>25</v>
      </c>
      <c r="B65" s="4" t="s">
        <v>104</v>
      </c>
      <c r="C65" s="369" t="s">
        <v>105</v>
      </c>
      <c r="D65" s="280">
        <v>25</v>
      </c>
      <c r="E65" s="280"/>
      <c r="F65" s="5"/>
      <c r="G65" s="295">
        <f>G332</f>
        <v>61775160.470000006</v>
      </c>
      <c r="I65" s="295">
        <f>I332</f>
        <v>60847640.370000005</v>
      </c>
      <c r="J65" s="295"/>
      <c r="L65" s="295">
        <f>L332</f>
        <v>58043162</v>
      </c>
    </row>
    <row r="66" spans="1:12" ht="12">
      <c r="A66" s="280">
        <v>26</v>
      </c>
      <c r="B66" s="283"/>
      <c r="C66" s="283"/>
      <c r="D66" s="369">
        <v>26</v>
      </c>
      <c r="E66" s="369"/>
      <c r="F66" s="17" t="s">
        <v>1</v>
      </c>
      <c r="G66" s="271" t="s">
        <v>1</v>
      </c>
      <c r="H66" s="379" t="s">
        <v>1</v>
      </c>
      <c r="I66" s="270" t="s">
        <v>1</v>
      </c>
      <c r="J66" s="270"/>
      <c r="K66" s="379" t="s">
        <v>1</v>
      </c>
      <c r="L66" s="270" t="s">
        <v>1</v>
      </c>
    </row>
    <row r="67" spans="1:12" ht="12">
      <c r="A67" s="280">
        <v>27</v>
      </c>
      <c r="B67" s="297" t="s">
        <v>60</v>
      </c>
      <c r="D67" s="280">
        <v>27</v>
      </c>
      <c r="E67" s="280"/>
      <c r="F67" s="33"/>
      <c r="G67" s="295">
        <f>SUM(G63:G65)</f>
        <v>527883078.64000005</v>
      </c>
      <c r="H67" s="296"/>
      <c r="I67" s="295">
        <f>SUM(I63:I65)</f>
        <v>557092373.83</v>
      </c>
      <c r="J67" s="295"/>
      <c r="K67" s="296"/>
      <c r="L67" s="295">
        <f>SUM(L63:L65)</f>
        <v>573063752</v>
      </c>
    </row>
    <row r="68" spans="2:12" ht="12">
      <c r="B68" s="283"/>
      <c r="C68" s="283"/>
      <c r="D68" s="283"/>
      <c r="E68" s="283"/>
      <c r="F68" s="17" t="s">
        <v>1</v>
      </c>
      <c r="G68" s="271" t="s">
        <v>1</v>
      </c>
      <c r="H68" s="379" t="s">
        <v>1</v>
      </c>
      <c r="I68" s="270" t="s">
        <v>1</v>
      </c>
      <c r="J68" s="270"/>
      <c r="K68" s="379" t="s">
        <v>1</v>
      </c>
      <c r="L68" s="270" t="s">
        <v>1</v>
      </c>
    </row>
    <row r="69" spans="1:12" ht="12">
      <c r="A69" s="378"/>
      <c r="B69" s="364" t="s">
        <v>23</v>
      </c>
      <c r="C69" s="377"/>
      <c r="D69" s="364"/>
      <c r="E69" s="364"/>
      <c r="F69" s="376"/>
      <c r="G69" s="375">
        <f>G262</f>
        <v>55559038.89</v>
      </c>
      <c r="H69" s="376"/>
      <c r="I69" s="375">
        <f>I262</f>
        <v>62521301.04</v>
      </c>
      <c r="J69" s="375"/>
      <c r="K69" s="376"/>
      <c r="L69" s="375">
        <f>L262</f>
        <v>70015262</v>
      </c>
    </row>
    <row r="70" spans="4:11" ht="12">
      <c r="D70" s="299"/>
      <c r="E70" s="299"/>
      <c r="F70" s="296"/>
      <c r="G70" s="295"/>
      <c r="H70" s="296"/>
      <c r="I70" s="295"/>
      <c r="J70" s="295"/>
      <c r="K70" s="296"/>
    </row>
    <row r="71" spans="1:12" ht="12">
      <c r="A71" s="292" t="s">
        <v>106</v>
      </c>
      <c r="D71" s="299"/>
      <c r="E71" s="299"/>
      <c r="F71" s="296"/>
      <c r="G71" s="295"/>
      <c r="H71" s="296"/>
      <c r="I71" s="295"/>
      <c r="J71" s="295"/>
      <c r="K71" s="296"/>
      <c r="L71" s="294" t="s">
        <v>107</v>
      </c>
    </row>
    <row r="72" spans="1:12" ht="12">
      <c r="A72" s="463" t="s">
        <v>108</v>
      </c>
      <c r="B72" s="463"/>
      <c r="C72" s="463"/>
      <c r="D72" s="463"/>
      <c r="E72" s="463"/>
      <c r="F72" s="463"/>
      <c r="G72" s="463"/>
      <c r="H72" s="463"/>
      <c r="I72" s="463"/>
      <c r="J72" s="463"/>
      <c r="K72" s="463"/>
      <c r="L72" s="463"/>
    </row>
    <row r="73" spans="1:12" ht="12">
      <c r="A73" s="292" t="s">
        <v>78</v>
      </c>
      <c r="I73" s="295"/>
      <c r="J73" s="295"/>
      <c r="K73" s="296"/>
      <c r="L73" s="291" t="s">
        <v>79</v>
      </c>
    </row>
    <row r="74" spans="1:12" ht="12">
      <c r="A74" s="283" t="s">
        <v>1</v>
      </c>
      <c r="B74" s="283" t="s">
        <v>1</v>
      </c>
      <c r="C74" s="283" t="s">
        <v>1</v>
      </c>
      <c r="D74" s="283" t="s">
        <v>1</v>
      </c>
      <c r="E74" s="283"/>
      <c r="F74" s="283" t="s">
        <v>1</v>
      </c>
      <c r="G74" s="283" t="s">
        <v>1</v>
      </c>
      <c r="H74" s="283" t="s">
        <v>1</v>
      </c>
      <c r="I74" s="283" t="s">
        <v>1</v>
      </c>
      <c r="J74" s="283"/>
      <c r="K74" s="283" t="s">
        <v>1</v>
      </c>
      <c r="L74" s="283" t="s">
        <v>1</v>
      </c>
    </row>
    <row r="75" spans="1:12" ht="12">
      <c r="A75" s="289" t="s">
        <v>2</v>
      </c>
      <c r="D75" s="289" t="s">
        <v>2</v>
      </c>
      <c r="E75" s="289"/>
      <c r="F75" s="296"/>
      <c r="G75" s="285" t="s">
        <v>62</v>
      </c>
      <c r="H75" s="300"/>
      <c r="I75" s="306" t="s">
        <v>65</v>
      </c>
      <c r="J75" s="306"/>
      <c r="K75" s="300"/>
      <c r="L75" s="306" t="s">
        <v>70</v>
      </c>
    </row>
    <row r="76" spans="1:12" ht="12">
      <c r="A76" s="289" t="s">
        <v>4</v>
      </c>
      <c r="D76" s="289" t="s">
        <v>4</v>
      </c>
      <c r="E76" s="289"/>
      <c r="F76" s="296"/>
      <c r="G76" s="285" t="s">
        <v>7</v>
      </c>
      <c r="H76" s="296"/>
      <c r="I76" s="306" t="s">
        <v>7</v>
      </c>
      <c r="J76" s="306"/>
      <c r="K76" s="296"/>
      <c r="L76" s="306" t="s">
        <v>8</v>
      </c>
    </row>
    <row r="77" spans="1:12" ht="12">
      <c r="A77" s="283" t="s">
        <v>1</v>
      </c>
      <c r="B77" s="283" t="s">
        <v>1</v>
      </c>
      <c r="C77" s="283" t="s">
        <v>1</v>
      </c>
      <c r="D77" s="283" t="s">
        <v>1</v>
      </c>
      <c r="E77" s="283"/>
      <c r="F77" s="283" t="s">
        <v>1</v>
      </c>
      <c r="G77" s="14" t="s">
        <v>1</v>
      </c>
      <c r="H77" s="283" t="s">
        <v>1</v>
      </c>
      <c r="I77" s="283" t="s">
        <v>1</v>
      </c>
      <c r="J77" s="283"/>
      <c r="K77" s="283" t="s">
        <v>1</v>
      </c>
      <c r="L77" s="283" t="s">
        <v>1</v>
      </c>
    </row>
    <row r="78" spans="1:12" ht="12">
      <c r="A78" s="280">
        <v>1</v>
      </c>
      <c r="B78" s="297" t="s">
        <v>109</v>
      </c>
      <c r="D78" s="280">
        <v>1</v>
      </c>
      <c r="E78" s="280"/>
      <c r="F78" s="296"/>
      <c r="G78" s="274"/>
      <c r="H78" s="296"/>
      <c r="I78" s="295"/>
      <c r="J78" s="295"/>
      <c r="K78" s="296"/>
      <c r="L78" s="295"/>
    </row>
    <row r="79" spans="1:12" ht="12">
      <c r="A79" s="369" t="s">
        <v>110</v>
      </c>
      <c r="B79" s="297" t="s">
        <v>111</v>
      </c>
      <c r="D79" s="369" t="s">
        <v>110</v>
      </c>
      <c r="E79" s="369"/>
      <c r="F79" s="296"/>
      <c r="G79" s="274"/>
      <c r="H79" s="296"/>
      <c r="I79" s="295"/>
      <c r="J79" s="295"/>
      <c r="K79" s="296"/>
      <c r="L79" s="295"/>
    </row>
    <row r="80" spans="1:12" ht="12">
      <c r="A80" s="369" t="s">
        <v>112</v>
      </c>
      <c r="B80" s="297" t="s">
        <v>113</v>
      </c>
      <c r="D80" s="369" t="s">
        <v>112</v>
      </c>
      <c r="E80" s="369"/>
      <c r="F80" s="296"/>
      <c r="G80" s="274"/>
      <c r="H80" s="296"/>
      <c r="I80" s="295"/>
      <c r="J80" s="295"/>
      <c r="K80" s="296"/>
      <c r="L80" s="295"/>
    </row>
    <row r="81" spans="1:12" ht="12">
      <c r="A81" s="369" t="s">
        <v>114</v>
      </c>
      <c r="B81" s="297" t="s">
        <v>115</v>
      </c>
      <c r="D81" s="369" t="s">
        <v>114</v>
      </c>
      <c r="E81" s="369"/>
      <c r="F81" s="296"/>
      <c r="G81" s="350">
        <f>F228+F234+F245</f>
        <v>15917.029999999999</v>
      </c>
      <c r="H81" s="312"/>
      <c r="I81" s="350">
        <f>H228+H234+H245</f>
        <v>16272.929999999998</v>
      </c>
      <c r="J81" s="350"/>
      <c r="K81" s="350"/>
      <c r="L81" s="350">
        <f>K228+K234+K245</f>
        <v>16118</v>
      </c>
    </row>
    <row r="82" spans="1:12" ht="12">
      <c r="A82" s="280">
        <v>3</v>
      </c>
      <c r="B82" s="297" t="s">
        <v>116</v>
      </c>
      <c r="D82" s="280">
        <v>3</v>
      </c>
      <c r="E82" s="280"/>
      <c r="F82" s="296"/>
      <c r="G82" s="350">
        <f>F227+F233+F244</f>
        <v>1826.6399999999999</v>
      </c>
      <c r="H82" s="312"/>
      <c r="I82" s="350">
        <f>H227+H233+H244</f>
        <v>1894.1999999999998</v>
      </c>
      <c r="J82" s="350"/>
      <c r="K82" s="312"/>
      <c r="L82" s="350">
        <f>K227+K233+K244</f>
        <v>1944</v>
      </c>
    </row>
    <row r="83" spans="1:12" ht="12">
      <c r="A83" s="280">
        <v>4</v>
      </c>
      <c r="B83" s="297" t="s">
        <v>117</v>
      </c>
      <c r="D83" s="280">
        <v>4</v>
      </c>
      <c r="E83" s="280"/>
      <c r="F83" s="296"/>
      <c r="G83" s="350">
        <f>SUM(G81:G82)</f>
        <v>17743.67</v>
      </c>
      <c r="H83" s="312"/>
      <c r="I83" s="350">
        <f>SUM(I81:I82)</f>
        <v>18167.129999999997</v>
      </c>
      <c r="J83" s="350"/>
      <c r="K83" s="312"/>
      <c r="L83" s="350">
        <f>SUM(L81:L82)</f>
        <v>18062</v>
      </c>
    </row>
    <row r="84" spans="1:12" ht="12">
      <c r="A84" s="280">
        <v>5</v>
      </c>
      <c r="D84" s="280">
        <v>5</v>
      </c>
      <c r="E84" s="280"/>
      <c r="F84" s="296"/>
      <c r="G84" s="350"/>
      <c r="H84" s="312"/>
      <c r="I84" s="350"/>
      <c r="J84" s="350"/>
      <c r="K84" s="312"/>
      <c r="L84" s="350"/>
    </row>
    <row r="85" spans="1:12" ht="12">
      <c r="A85" s="280">
        <v>6</v>
      </c>
      <c r="B85" s="297" t="s">
        <v>118</v>
      </c>
      <c r="D85" s="280">
        <v>6</v>
      </c>
      <c r="E85" s="280"/>
      <c r="F85" s="296"/>
      <c r="G85" s="350">
        <f>F230+F236+F247</f>
        <v>8267.2</v>
      </c>
      <c r="H85" s="312"/>
      <c r="I85" s="350">
        <f>H230+H236+H247</f>
        <v>8308.5</v>
      </c>
      <c r="J85" s="350"/>
      <c r="K85" s="312"/>
      <c r="L85" s="350">
        <f>K230+K236+K247</f>
        <v>8295.01</v>
      </c>
    </row>
    <row r="86" spans="1:12" ht="12">
      <c r="A86" s="280">
        <v>7</v>
      </c>
      <c r="B86" s="297" t="s">
        <v>119</v>
      </c>
      <c r="D86" s="280">
        <v>7</v>
      </c>
      <c r="E86" s="280"/>
      <c r="F86" s="296"/>
      <c r="G86" s="350">
        <f>F229+F235+F246</f>
        <v>804.2</v>
      </c>
      <c r="H86" s="312"/>
      <c r="I86" s="350">
        <f>H229+H235+H246</f>
        <v>846.31</v>
      </c>
      <c r="J86" s="350"/>
      <c r="K86" s="312"/>
      <c r="L86" s="350">
        <f>K229+K235+K246</f>
        <v>915</v>
      </c>
    </row>
    <row r="87" spans="1:12" ht="12">
      <c r="A87" s="280">
        <v>8</v>
      </c>
      <c r="B87" s="297" t="s">
        <v>120</v>
      </c>
      <c r="D87" s="280">
        <v>8</v>
      </c>
      <c r="E87" s="280"/>
      <c r="F87" s="296"/>
      <c r="G87" s="350">
        <f>SUM(G85:G86)</f>
        <v>9071.400000000001</v>
      </c>
      <c r="H87" s="312"/>
      <c r="I87" s="350">
        <f>SUM(I85:I86)</f>
        <v>9154.81</v>
      </c>
      <c r="J87" s="350"/>
      <c r="K87" s="312"/>
      <c r="L87" s="350">
        <f>SUM(L85:L86)</f>
        <v>9210.01</v>
      </c>
    </row>
    <row r="88" spans="1:12" ht="12">
      <c r="A88" s="280">
        <v>9</v>
      </c>
      <c r="D88" s="280">
        <v>9</v>
      </c>
      <c r="E88" s="280"/>
      <c r="F88" s="296"/>
      <c r="G88" s="367"/>
      <c r="H88" s="312"/>
      <c r="I88" s="367"/>
      <c r="J88" s="367"/>
      <c r="K88" s="312"/>
      <c r="L88" s="367"/>
    </row>
    <row r="89" spans="1:12" ht="12">
      <c r="A89" s="280">
        <v>10</v>
      </c>
      <c r="B89" s="297" t="s">
        <v>121</v>
      </c>
      <c r="D89" s="280">
        <v>10</v>
      </c>
      <c r="E89" s="280"/>
      <c r="F89" s="296"/>
      <c r="G89" s="350">
        <f>G81+G85</f>
        <v>24184.23</v>
      </c>
      <c r="H89" s="312"/>
      <c r="I89" s="350">
        <f>I81+I85</f>
        <v>24581.43</v>
      </c>
      <c r="J89" s="350"/>
      <c r="K89" s="312"/>
      <c r="L89" s="350">
        <f>L81+L85</f>
        <v>24413.010000000002</v>
      </c>
    </row>
    <row r="90" spans="1:12" ht="12">
      <c r="A90" s="280">
        <v>11</v>
      </c>
      <c r="B90" s="297" t="s">
        <v>122</v>
      </c>
      <c r="D90" s="280">
        <v>11</v>
      </c>
      <c r="E90" s="280"/>
      <c r="F90" s="296"/>
      <c r="G90" s="350">
        <f>G82+G86</f>
        <v>2630.84</v>
      </c>
      <c r="H90" s="312"/>
      <c r="I90" s="350">
        <f>I82+I86</f>
        <v>2740.5099999999998</v>
      </c>
      <c r="J90" s="350"/>
      <c r="K90" s="312"/>
      <c r="L90" s="350">
        <f>L82+L86</f>
        <v>2859</v>
      </c>
    </row>
    <row r="91" spans="1:12" ht="12">
      <c r="A91" s="280">
        <v>12</v>
      </c>
      <c r="B91" s="297" t="s">
        <v>123</v>
      </c>
      <c r="D91" s="280">
        <v>12</v>
      </c>
      <c r="E91" s="280"/>
      <c r="F91" s="296"/>
      <c r="G91" s="350">
        <f>SUM(G89:G90)</f>
        <v>26815.07</v>
      </c>
      <c r="H91" s="312"/>
      <c r="I91" s="350">
        <f>SUM(I89:I90)</f>
        <v>27321.94</v>
      </c>
      <c r="J91" s="350"/>
      <c r="K91" s="312"/>
      <c r="L91" s="350">
        <f>SUM(L89:L90)</f>
        <v>27272.010000000002</v>
      </c>
    </row>
    <row r="92" spans="1:12" ht="12">
      <c r="A92" s="280">
        <v>13</v>
      </c>
      <c r="D92" s="280">
        <v>13</v>
      </c>
      <c r="E92" s="280"/>
      <c r="F92" s="296"/>
      <c r="G92" s="274"/>
      <c r="H92" s="296"/>
      <c r="I92" s="295"/>
      <c r="J92" s="295"/>
      <c r="K92" s="296"/>
      <c r="L92" s="295"/>
    </row>
    <row r="93" spans="1:12" ht="12">
      <c r="A93" s="280">
        <v>14</v>
      </c>
      <c r="B93" s="297" t="s">
        <v>124</v>
      </c>
      <c r="D93" s="280">
        <v>14</v>
      </c>
      <c r="E93" s="280"/>
      <c r="F93" s="296"/>
      <c r="G93" s="274"/>
      <c r="H93" s="296"/>
      <c r="I93" s="295"/>
      <c r="J93" s="295"/>
      <c r="K93" s="296"/>
      <c r="L93" s="295"/>
    </row>
    <row r="94" spans="1:12" ht="12">
      <c r="A94" s="280">
        <v>15</v>
      </c>
      <c r="B94" s="297" t="s">
        <v>125</v>
      </c>
      <c r="D94" s="280">
        <v>15</v>
      </c>
      <c r="E94" s="280"/>
      <c r="F94" s="296"/>
      <c r="G94" s="274">
        <f>(G67-G307)/G91</f>
        <v>17772.717864245744</v>
      </c>
      <c r="H94" s="296"/>
      <c r="I94" s="274">
        <f>(I67-I307)/I91</f>
        <v>18551.513109244806</v>
      </c>
      <c r="J94" s="274"/>
      <c r="K94" s="296"/>
      <c r="L94" s="374">
        <f>(L67-L307)/L91</f>
        <v>19220.229568704322</v>
      </c>
    </row>
    <row r="95" spans="1:12" ht="12">
      <c r="A95" s="369">
        <v>16</v>
      </c>
      <c r="B95" s="297" t="s">
        <v>126</v>
      </c>
      <c r="D95" s="369">
        <v>16</v>
      </c>
      <c r="E95" s="369"/>
      <c r="F95" s="296"/>
      <c r="G95" s="274">
        <f>68*30</f>
        <v>2040</v>
      </c>
      <c r="H95" s="296"/>
      <c r="I95" s="295">
        <f>44*30</f>
        <v>1320</v>
      </c>
      <c r="J95" s="295"/>
      <c r="K95" s="296"/>
      <c r="L95" s="295">
        <f>62*30</f>
        <v>1860</v>
      </c>
    </row>
    <row r="96" spans="1:12" ht="12">
      <c r="A96" s="280">
        <v>17</v>
      </c>
      <c r="D96" s="280">
        <v>17</v>
      </c>
      <c r="E96" s="280"/>
      <c r="F96" s="296"/>
      <c r="G96" s="274"/>
      <c r="H96" s="296"/>
      <c r="I96" s="295"/>
      <c r="J96" s="295"/>
      <c r="K96" s="296"/>
      <c r="L96" s="295"/>
    </row>
    <row r="97" spans="1:12" ht="12">
      <c r="A97" s="280">
        <v>18</v>
      </c>
      <c r="B97" s="297" t="s">
        <v>127</v>
      </c>
      <c r="D97" s="280">
        <v>18</v>
      </c>
      <c r="E97" s="280"/>
      <c r="F97" s="296"/>
      <c r="G97" s="274"/>
      <c r="H97" s="296"/>
      <c r="I97" s="295"/>
      <c r="J97" s="295"/>
      <c r="K97" s="296"/>
      <c r="L97" s="295"/>
    </row>
    <row r="98" spans="1:12" ht="12">
      <c r="A98" s="280">
        <v>19</v>
      </c>
      <c r="B98" s="297" t="s">
        <v>128</v>
      </c>
      <c r="D98" s="280">
        <v>19</v>
      </c>
      <c r="E98" s="280"/>
      <c r="F98" s="296"/>
      <c r="G98" s="300">
        <f>F452</f>
        <v>1787.7</v>
      </c>
      <c r="H98" s="373"/>
      <c r="I98" s="300">
        <f>H452</f>
        <v>1793.6</v>
      </c>
      <c r="J98" s="300"/>
      <c r="K98" s="373"/>
      <c r="L98" s="300">
        <f>K452</f>
        <v>1824.4</v>
      </c>
    </row>
    <row r="99" spans="1:12" ht="12">
      <c r="A99" s="280">
        <v>20</v>
      </c>
      <c r="B99" s="297" t="s">
        <v>129</v>
      </c>
      <c r="D99" s="280">
        <v>20</v>
      </c>
      <c r="E99" s="280"/>
      <c r="F99" s="296"/>
      <c r="G99" s="300">
        <f>F449</f>
        <v>1353.7</v>
      </c>
      <c r="H99" s="373"/>
      <c r="I99" s="300">
        <f>H449</f>
        <v>1355.3</v>
      </c>
      <c r="J99" s="300"/>
      <c r="K99" s="373"/>
      <c r="L99" s="300">
        <f>K449</f>
        <v>1375.2</v>
      </c>
    </row>
    <row r="100" spans="1:12" ht="12">
      <c r="A100" s="280">
        <v>21</v>
      </c>
      <c r="B100" s="297" t="s">
        <v>130</v>
      </c>
      <c r="D100" s="280">
        <v>21</v>
      </c>
      <c r="E100" s="280"/>
      <c r="F100" s="296"/>
      <c r="G100" s="300">
        <f>F451</f>
        <v>434</v>
      </c>
      <c r="H100" s="373"/>
      <c r="I100" s="300">
        <f>H451</f>
        <v>438.3</v>
      </c>
      <c r="J100" s="300"/>
      <c r="K100" s="373"/>
      <c r="L100" s="300">
        <f>K451</f>
        <v>449.2</v>
      </c>
    </row>
    <row r="101" spans="1:12" ht="12">
      <c r="A101" s="280">
        <v>22</v>
      </c>
      <c r="D101" s="280">
        <v>22</v>
      </c>
      <c r="E101" s="280"/>
      <c r="F101" s="296"/>
      <c r="G101" s="302"/>
      <c r="H101" s="373"/>
      <c r="I101" s="302"/>
      <c r="J101" s="302"/>
      <c r="K101" s="373"/>
      <c r="L101" s="302"/>
    </row>
    <row r="102" spans="1:12" ht="12">
      <c r="A102" s="280">
        <v>23</v>
      </c>
      <c r="B102" s="297" t="s">
        <v>131</v>
      </c>
      <c r="D102" s="280">
        <v>23</v>
      </c>
      <c r="E102" s="280"/>
      <c r="F102" s="296"/>
      <c r="G102" s="302"/>
      <c r="H102" s="373"/>
      <c r="I102" s="302"/>
      <c r="J102" s="302"/>
      <c r="K102" s="373"/>
      <c r="L102" s="302"/>
    </row>
    <row r="103" spans="1:12" ht="12">
      <c r="A103" s="280">
        <v>24</v>
      </c>
      <c r="B103" s="297" t="s">
        <v>132</v>
      </c>
      <c r="D103" s="280">
        <v>24</v>
      </c>
      <c r="E103" s="280"/>
      <c r="F103" s="296"/>
      <c r="G103" s="295">
        <f>IF(F452=0,0,G452/F452)</f>
        <v>111296.77647815629</v>
      </c>
      <c r="H103" s="296"/>
      <c r="I103" s="295">
        <f>IF(H452=0,0,I452/H452)</f>
        <v>111834.84673282785</v>
      </c>
      <c r="J103" s="295"/>
      <c r="K103" s="296"/>
      <c r="L103" s="295">
        <f>IF(K452=0,0,L452/K452)</f>
        <v>111818.16213549659</v>
      </c>
    </row>
    <row r="104" spans="1:12" ht="12">
      <c r="A104" s="280">
        <v>25</v>
      </c>
      <c r="B104" s="297" t="s">
        <v>133</v>
      </c>
      <c r="D104" s="280">
        <v>25</v>
      </c>
      <c r="E104" s="280"/>
      <c r="F104" s="296"/>
      <c r="G104" s="295">
        <f>IF(G99=0,0,(G449+G450)/G99)</f>
        <v>123931.72783482308</v>
      </c>
      <c r="H104" s="296"/>
      <c r="I104" s="295">
        <f>IF(I99=0,0,(I449+I450)/I99)</f>
        <v>124118.44815907918</v>
      </c>
      <c r="J104" s="295"/>
      <c r="K104" s="296"/>
      <c r="L104" s="295">
        <f>IF(L99=0,0,(L449+L450)/L99)</f>
        <v>124215.54392088423</v>
      </c>
    </row>
    <row r="105" spans="1:12" ht="12">
      <c r="A105" s="280">
        <v>26</v>
      </c>
      <c r="B105" s="297" t="s">
        <v>134</v>
      </c>
      <c r="D105" s="280">
        <v>26</v>
      </c>
      <c r="E105" s="280"/>
      <c r="F105" s="296"/>
      <c r="G105" s="295">
        <f>IF(G100=0,0,G451/G100)</f>
        <v>71886.79110599078</v>
      </c>
      <c r="H105" s="296"/>
      <c r="I105" s="295">
        <f>IF(I100=0,0,I451/I100)</f>
        <v>73851.80997033995</v>
      </c>
      <c r="J105" s="295"/>
      <c r="K105" s="296"/>
      <c r="L105" s="295">
        <f>IF(L100=0,0,L451/L100)</f>
        <v>73864.28984861977</v>
      </c>
    </row>
    <row r="106" spans="1:11" ht="12">
      <c r="A106" s="280">
        <v>27</v>
      </c>
      <c r="D106" s="280">
        <v>27</v>
      </c>
      <c r="E106" s="280"/>
      <c r="F106" s="296"/>
      <c r="G106" s="5"/>
      <c r="H106" s="296"/>
      <c r="K106" s="296"/>
    </row>
    <row r="107" spans="1:12" ht="12">
      <c r="A107" s="280">
        <v>28</v>
      </c>
      <c r="B107" s="297" t="s">
        <v>135</v>
      </c>
      <c r="D107" s="280">
        <v>28</v>
      </c>
      <c r="E107" s="280"/>
      <c r="F107" s="296"/>
      <c r="G107" s="308">
        <f>F49</f>
        <v>3803.580000000001</v>
      </c>
      <c r="H107" s="300"/>
      <c r="I107" s="300">
        <f>H49</f>
        <v>3770.22</v>
      </c>
      <c r="J107" s="300"/>
      <c r="K107" s="300"/>
      <c r="L107" s="300">
        <f>K49</f>
        <v>3800.96</v>
      </c>
    </row>
    <row r="108" spans="1:12" ht="12">
      <c r="A108" s="280">
        <v>29</v>
      </c>
      <c r="B108" s="297"/>
      <c r="D108" s="280">
        <v>29</v>
      </c>
      <c r="E108" s="280"/>
      <c r="F108" s="296"/>
      <c r="G108" s="308"/>
      <c r="H108" s="300"/>
      <c r="I108" s="300"/>
      <c r="J108" s="300"/>
      <c r="K108" s="300"/>
      <c r="L108" s="300"/>
    </row>
    <row r="109" spans="1:4" ht="12">
      <c r="A109" s="269">
        <v>30</v>
      </c>
      <c r="D109" s="269">
        <v>30</v>
      </c>
    </row>
    <row r="110" spans="4:11" ht="12">
      <c r="D110" s="299"/>
      <c r="E110" s="299"/>
      <c r="F110" s="296"/>
      <c r="G110" s="295"/>
      <c r="H110" s="296"/>
      <c r="I110" s="295"/>
      <c r="J110" s="295"/>
      <c r="K110" s="296"/>
    </row>
    <row r="111" spans="1:12" ht="12">
      <c r="A111" s="292" t="s">
        <v>106</v>
      </c>
      <c r="D111" s="299"/>
      <c r="E111" s="299"/>
      <c r="F111" s="296"/>
      <c r="G111" s="295"/>
      <c r="H111" s="296"/>
      <c r="I111" s="295"/>
      <c r="J111" s="295"/>
      <c r="K111" s="296"/>
      <c r="L111" s="294" t="s">
        <v>136</v>
      </c>
    </row>
    <row r="112" spans="1:12" ht="12">
      <c r="A112" s="463" t="s">
        <v>137</v>
      </c>
      <c r="B112" s="463"/>
      <c r="C112" s="463"/>
      <c r="D112" s="463"/>
      <c r="E112" s="463"/>
      <c r="F112" s="463"/>
      <c r="G112" s="463"/>
      <c r="H112" s="463"/>
      <c r="I112" s="463"/>
      <c r="J112" s="463"/>
      <c r="K112" s="463"/>
      <c r="L112" s="463"/>
    </row>
    <row r="113" spans="1:12" ht="12">
      <c r="A113" s="292" t="s">
        <v>78</v>
      </c>
      <c r="I113" s="295"/>
      <c r="J113" s="295"/>
      <c r="K113" s="296"/>
      <c r="L113" s="291" t="s">
        <v>79</v>
      </c>
    </row>
    <row r="114" spans="1:12" ht="12">
      <c r="A114" s="283" t="s">
        <v>1</v>
      </c>
      <c r="B114" s="283" t="s">
        <v>1</v>
      </c>
      <c r="C114" s="283" t="s">
        <v>1</v>
      </c>
      <c r="D114" s="283" t="s">
        <v>1</v>
      </c>
      <c r="E114" s="283"/>
      <c r="F114" s="283" t="s">
        <v>1</v>
      </c>
      <c r="G114" s="283" t="s">
        <v>1</v>
      </c>
      <c r="H114" s="283" t="s">
        <v>1</v>
      </c>
      <c r="I114" s="283" t="s">
        <v>1</v>
      </c>
      <c r="J114" s="283"/>
      <c r="K114" s="283" t="s">
        <v>1</v>
      </c>
      <c r="L114" s="283" t="s">
        <v>1</v>
      </c>
    </row>
    <row r="115" spans="1:12" ht="12">
      <c r="A115" s="289" t="s">
        <v>2</v>
      </c>
      <c r="D115" s="289" t="s">
        <v>2</v>
      </c>
      <c r="E115" s="289"/>
      <c r="F115" s="296"/>
      <c r="G115" s="285" t="s">
        <v>62</v>
      </c>
      <c r="H115" s="300"/>
      <c r="I115" s="285" t="s">
        <v>65</v>
      </c>
      <c r="J115" s="285"/>
      <c r="K115" s="306" t="s">
        <v>70</v>
      </c>
      <c r="L115" s="294" t="s">
        <v>70</v>
      </c>
    </row>
    <row r="116" spans="1:12" ht="12">
      <c r="A116" s="289" t="s">
        <v>4</v>
      </c>
      <c r="B116" s="297" t="s">
        <v>0</v>
      </c>
      <c r="D116" s="289" t="s">
        <v>4</v>
      </c>
      <c r="E116" s="289"/>
      <c r="F116" s="296"/>
      <c r="G116" s="285" t="s">
        <v>7</v>
      </c>
      <c r="H116" s="296"/>
      <c r="I116" s="285" t="s">
        <v>7</v>
      </c>
      <c r="J116" s="285"/>
      <c r="K116" s="306" t="s">
        <v>8</v>
      </c>
      <c r="L116" s="294" t="s">
        <v>138</v>
      </c>
    </row>
    <row r="117" spans="1:12" ht="12">
      <c r="A117" s="283" t="s">
        <v>1</v>
      </c>
      <c r="B117" s="283" t="s">
        <v>1</v>
      </c>
      <c r="C117" s="283" t="s">
        <v>1</v>
      </c>
      <c r="D117" s="283" t="s">
        <v>1</v>
      </c>
      <c r="E117" s="283"/>
      <c r="F117" s="283" t="s">
        <v>1</v>
      </c>
      <c r="G117" s="14" t="s">
        <v>1</v>
      </c>
      <c r="H117" s="283" t="s">
        <v>1</v>
      </c>
      <c r="I117" s="283" t="s">
        <v>1</v>
      </c>
      <c r="J117" s="283"/>
      <c r="K117" s="283" t="s">
        <v>1</v>
      </c>
      <c r="L117" s="283" t="s">
        <v>1</v>
      </c>
    </row>
    <row r="118" spans="1:12" ht="12">
      <c r="A118" s="280">
        <v>1</v>
      </c>
      <c r="B118" s="297" t="s">
        <v>139</v>
      </c>
      <c r="D118" s="299">
        <v>1</v>
      </c>
      <c r="E118" s="299"/>
      <c r="F118" s="296"/>
      <c r="G118" s="285"/>
      <c r="H118" s="296"/>
      <c r="I118" s="287"/>
      <c r="J118" s="287"/>
      <c r="K118" s="293"/>
      <c r="L118" s="295"/>
    </row>
    <row r="119" spans="1:12" ht="12">
      <c r="A119" s="280">
        <f aca="true" t="shared" si="0" ref="A119:A144">(A118+1)</f>
        <v>2</v>
      </c>
      <c r="B119" s="297" t="s">
        <v>140</v>
      </c>
      <c r="D119" s="299">
        <v>2</v>
      </c>
      <c r="E119" s="299"/>
      <c r="F119" s="296"/>
      <c r="G119" s="372">
        <f>2961*2</f>
        <v>5922</v>
      </c>
      <c r="H119" s="312"/>
      <c r="I119" s="372">
        <f>3223*2</f>
        <v>6446</v>
      </c>
      <c r="J119" s="372"/>
      <c r="K119" s="372">
        <f>3509*2</f>
        <v>7018</v>
      </c>
      <c r="L119" s="371">
        <f>(K119/I119)-1</f>
        <v>0.0887372013651877</v>
      </c>
    </row>
    <row r="120" spans="1:12" ht="12">
      <c r="A120" s="280">
        <f t="shared" si="0"/>
        <v>3</v>
      </c>
      <c r="B120" s="297" t="s">
        <v>141</v>
      </c>
      <c r="D120" s="299">
        <v>3</v>
      </c>
      <c r="E120" s="299"/>
      <c r="F120" s="296"/>
      <c r="G120" s="372"/>
      <c r="H120" s="312"/>
      <c r="I120" s="372"/>
      <c r="J120" s="372"/>
      <c r="K120" s="372"/>
      <c r="L120" s="371"/>
    </row>
    <row r="121" spans="1:12" ht="12">
      <c r="A121" s="280">
        <f t="shared" si="0"/>
        <v>4</v>
      </c>
      <c r="B121" s="297" t="s">
        <v>142</v>
      </c>
      <c r="D121" s="299">
        <v>4</v>
      </c>
      <c r="E121" s="299"/>
      <c r="F121" s="296"/>
      <c r="G121" s="372">
        <f>4725*2</f>
        <v>9450</v>
      </c>
      <c r="H121" s="312"/>
      <c r="I121" s="372">
        <f>5148*2</f>
        <v>10296</v>
      </c>
      <c r="J121" s="372"/>
      <c r="K121" s="372">
        <f>5610*2</f>
        <v>11220</v>
      </c>
      <c r="L121" s="371">
        <f>(K121/I121)-1</f>
        <v>0.08974358974358965</v>
      </c>
    </row>
    <row r="122" spans="1:12" ht="12">
      <c r="A122" s="280">
        <f t="shared" si="0"/>
        <v>5</v>
      </c>
      <c r="B122" s="269" t="s">
        <v>143</v>
      </c>
      <c r="D122" s="299">
        <v>5</v>
      </c>
      <c r="E122" s="299"/>
      <c r="F122" s="296"/>
      <c r="G122" s="372">
        <f>4106*2</f>
        <v>8212</v>
      </c>
      <c r="H122" s="312"/>
      <c r="I122" s="372">
        <f>4466*2</f>
        <v>8932</v>
      </c>
      <c r="J122" s="372"/>
      <c r="K122" s="372">
        <f>4873*2</f>
        <v>9746</v>
      </c>
      <c r="L122" s="371">
        <f>(K122/I122)-1</f>
        <v>0.09113300492610832</v>
      </c>
    </row>
    <row r="123" spans="1:12" ht="12">
      <c r="A123" s="280">
        <f t="shared" si="0"/>
        <v>6</v>
      </c>
      <c r="B123" s="297" t="s">
        <v>144</v>
      </c>
      <c r="D123" s="299">
        <v>6</v>
      </c>
      <c r="E123" s="299"/>
      <c r="F123" s="296"/>
      <c r="G123" s="372">
        <f>3077*2</f>
        <v>6154</v>
      </c>
      <c r="H123" s="312"/>
      <c r="I123" s="372">
        <f>3344*2</f>
        <v>6688</v>
      </c>
      <c r="J123" s="372"/>
      <c r="K123" s="372">
        <f>3641*2</f>
        <v>7282</v>
      </c>
      <c r="L123" s="371">
        <f>(K123/I123)-1</f>
        <v>0.08881578947368429</v>
      </c>
    </row>
    <row r="124" spans="1:12" ht="12">
      <c r="A124" s="280">
        <f t="shared" si="0"/>
        <v>7</v>
      </c>
      <c r="B124" s="297" t="s">
        <v>0</v>
      </c>
      <c r="D124" s="299">
        <v>7</v>
      </c>
      <c r="E124" s="299"/>
      <c r="F124" s="296"/>
      <c r="G124" s="372"/>
      <c r="H124" s="312"/>
      <c r="I124" s="372"/>
      <c r="J124" s="372"/>
      <c r="K124" s="372"/>
      <c r="L124" s="371"/>
    </row>
    <row r="125" spans="1:12" ht="12">
      <c r="A125" s="280">
        <f t="shared" si="0"/>
        <v>8</v>
      </c>
      <c r="D125" s="299">
        <v>8</v>
      </c>
      <c r="E125" s="299"/>
      <c r="F125" s="296"/>
      <c r="G125" s="372"/>
      <c r="H125" s="296"/>
      <c r="I125" s="372"/>
      <c r="J125" s="372"/>
      <c r="K125" s="372"/>
      <c r="L125" s="371"/>
    </row>
    <row r="126" spans="1:12" ht="12">
      <c r="A126" s="280">
        <f t="shared" si="0"/>
        <v>9</v>
      </c>
      <c r="B126" s="297" t="s">
        <v>145</v>
      </c>
      <c r="D126" s="299">
        <v>9</v>
      </c>
      <c r="E126" s="299"/>
      <c r="F126" s="296"/>
      <c r="G126" s="372">
        <f>(348.24+7+67.24+28.5+10+9+58+150)*2</f>
        <v>1355.96</v>
      </c>
      <c r="H126" s="296"/>
      <c r="I126" s="372">
        <f>(349.32+28.5+10+200+9+72+67.24+7)*2</f>
        <v>1486.12</v>
      </c>
      <c r="J126" s="372"/>
      <c r="K126" s="372">
        <f>(353.61+10+28.5+200+9+71+67.24+7)*2</f>
        <v>1492.7</v>
      </c>
      <c r="L126" s="371">
        <f>(K126/I126)-1</f>
        <v>0.004427637068339152</v>
      </c>
    </row>
    <row r="127" spans="1:12" ht="12">
      <c r="A127" s="280">
        <f t="shared" si="0"/>
        <v>10</v>
      </c>
      <c r="B127" s="297" t="s">
        <v>0</v>
      </c>
      <c r="D127" s="299">
        <v>10</v>
      </c>
      <c r="E127" s="299"/>
      <c r="F127" s="296"/>
      <c r="G127" s="372"/>
      <c r="H127" s="296"/>
      <c r="I127" s="372"/>
      <c r="J127" s="372"/>
      <c r="K127" s="372"/>
      <c r="L127" s="371"/>
    </row>
    <row r="128" spans="1:12" ht="12">
      <c r="A128" s="280">
        <f t="shared" si="0"/>
        <v>11</v>
      </c>
      <c r="B128" s="297" t="s">
        <v>146</v>
      </c>
      <c r="D128" s="299">
        <v>11</v>
      </c>
      <c r="E128" s="299"/>
      <c r="F128" s="296"/>
      <c r="G128" s="372"/>
      <c r="H128" s="296"/>
      <c r="I128" s="372"/>
      <c r="J128" s="372"/>
      <c r="K128" s="372"/>
      <c r="L128" s="371"/>
    </row>
    <row r="129" spans="1:12" ht="12">
      <c r="A129" s="280">
        <f t="shared" si="0"/>
        <v>12</v>
      </c>
      <c r="B129" s="297" t="s">
        <v>140</v>
      </c>
      <c r="D129" s="299">
        <v>12</v>
      </c>
      <c r="E129" s="299"/>
      <c r="F129" s="296"/>
      <c r="G129" s="372">
        <f>3789*2</f>
        <v>7578</v>
      </c>
      <c r="H129" s="296"/>
      <c r="I129" s="372">
        <f>4095*2</f>
        <v>8190</v>
      </c>
      <c r="J129" s="372"/>
      <c r="K129" s="372">
        <f>4464*2</f>
        <v>8928</v>
      </c>
      <c r="L129" s="371">
        <f>(K129/I129)-1</f>
        <v>0.09010989010989001</v>
      </c>
    </row>
    <row r="130" spans="1:12" ht="12">
      <c r="A130" s="280">
        <f t="shared" si="0"/>
        <v>13</v>
      </c>
      <c r="B130" s="297" t="s">
        <v>141</v>
      </c>
      <c r="D130" s="299">
        <v>13</v>
      </c>
      <c r="E130" s="299"/>
      <c r="F130" s="296"/>
      <c r="G130" s="372"/>
      <c r="H130" s="296"/>
      <c r="I130" s="372"/>
      <c r="J130" s="372"/>
      <c r="K130" s="372"/>
      <c r="L130" s="371"/>
    </row>
    <row r="131" spans="1:12" ht="12">
      <c r="A131" s="280">
        <f t="shared" si="0"/>
        <v>14</v>
      </c>
      <c r="B131" s="297" t="s">
        <v>142</v>
      </c>
      <c r="D131" s="299">
        <v>14</v>
      </c>
      <c r="E131" s="299"/>
      <c r="F131" s="296"/>
      <c r="G131" s="372">
        <f>5436*2</f>
        <v>10872</v>
      </c>
      <c r="H131" s="373"/>
      <c r="I131" s="372">
        <f>5868*2</f>
        <v>11736</v>
      </c>
      <c r="J131" s="372"/>
      <c r="K131" s="372">
        <f>6399*2</f>
        <v>12798</v>
      </c>
      <c r="L131" s="371">
        <f>(K131/I131)-1</f>
        <v>0.0904907975460123</v>
      </c>
    </row>
    <row r="132" spans="1:12" ht="12">
      <c r="A132" s="280">
        <f t="shared" si="0"/>
        <v>15</v>
      </c>
      <c r="B132" s="297" t="s">
        <v>147</v>
      </c>
      <c r="D132" s="299">
        <v>15</v>
      </c>
      <c r="E132" s="299"/>
      <c r="F132" s="296"/>
      <c r="G132" s="372">
        <f>6262*2</f>
        <v>12524</v>
      </c>
      <c r="H132" s="373"/>
      <c r="I132" s="372">
        <f>6768*2</f>
        <v>13536</v>
      </c>
      <c r="J132" s="372"/>
      <c r="K132" s="372">
        <f>7380*2</f>
        <v>14760</v>
      </c>
      <c r="L132" s="371">
        <f>(K132/I132)-1</f>
        <v>0.09042553191489366</v>
      </c>
    </row>
    <row r="133" spans="1:12" ht="12">
      <c r="A133" s="280">
        <f t="shared" si="0"/>
        <v>16</v>
      </c>
      <c r="B133" s="269" t="s">
        <v>148</v>
      </c>
      <c r="D133" s="299">
        <v>16</v>
      </c>
      <c r="E133" s="299"/>
      <c r="F133" s="296"/>
      <c r="G133" s="372">
        <f>5643*2</f>
        <v>11286</v>
      </c>
      <c r="I133" s="372">
        <f>6093*2</f>
        <v>12186</v>
      </c>
      <c r="J133" s="372"/>
      <c r="K133" s="372">
        <f>6642*2</f>
        <v>13284</v>
      </c>
      <c r="L133" s="371">
        <f>(K133/I133)-1</f>
        <v>0.09010339734121131</v>
      </c>
    </row>
    <row r="134" spans="1:12" ht="12">
      <c r="A134" s="280">
        <f t="shared" si="0"/>
        <v>17</v>
      </c>
      <c r="B134" s="297" t="s">
        <v>143</v>
      </c>
      <c r="D134" s="299">
        <v>17</v>
      </c>
      <c r="E134" s="299"/>
      <c r="F134" s="296"/>
      <c r="G134" s="372">
        <f>4779*2</f>
        <v>9558</v>
      </c>
      <c r="H134" s="373"/>
      <c r="I134" s="372">
        <f>5355*2</f>
        <v>10710</v>
      </c>
      <c r="J134" s="372"/>
      <c r="K134" s="372">
        <f>5841*2</f>
        <v>11682</v>
      </c>
      <c r="L134" s="371">
        <f>(K134/I134)-1</f>
        <v>0.0907563025210083</v>
      </c>
    </row>
    <row r="135" spans="1:12" ht="12">
      <c r="A135" s="280">
        <f t="shared" si="0"/>
        <v>18</v>
      </c>
      <c r="B135" s="297" t="s">
        <v>0</v>
      </c>
      <c r="D135" s="299">
        <v>18</v>
      </c>
      <c r="E135" s="299"/>
      <c r="F135" s="296"/>
      <c r="G135" s="372"/>
      <c r="H135" s="373"/>
      <c r="I135" s="372"/>
      <c r="J135" s="372"/>
      <c r="K135" s="372"/>
      <c r="L135" s="371"/>
    </row>
    <row r="136" spans="1:12" ht="12">
      <c r="A136" s="280">
        <f t="shared" si="0"/>
        <v>19</v>
      </c>
      <c r="B136" s="269" t="s">
        <v>149</v>
      </c>
      <c r="D136" s="299">
        <v>19</v>
      </c>
      <c r="E136" s="299"/>
      <c r="F136" s="296"/>
      <c r="G136" s="372"/>
      <c r="I136" s="372"/>
      <c r="J136" s="372"/>
      <c r="K136" s="372"/>
      <c r="L136" s="371"/>
    </row>
    <row r="137" spans="1:12" ht="12">
      <c r="A137" s="280">
        <f t="shared" si="0"/>
        <v>20</v>
      </c>
      <c r="B137" s="297" t="s">
        <v>150</v>
      </c>
      <c r="D137" s="299">
        <v>20</v>
      </c>
      <c r="E137" s="299"/>
      <c r="F137" s="296"/>
      <c r="G137" s="370"/>
      <c r="H137" s="296"/>
      <c r="I137" s="370"/>
      <c r="J137" s="370"/>
      <c r="K137" s="372">
        <f>15750*2</f>
        <v>31500</v>
      </c>
      <c r="L137" s="295"/>
    </row>
    <row r="138" spans="1:12" ht="12">
      <c r="A138" s="280">
        <f t="shared" si="0"/>
        <v>21</v>
      </c>
      <c r="B138" s="297" t="s">
        <v>141</v>
      </c>
      <c r="D138" s="299">
        <v>21</v>
      </c>
      <c r="E138" s="299"/>
      <c r="F138" s="296"/>
      <c r="G138" s="370"/>
      <c r="H138" s="296"/>
      <c r="I138" s="370"/>
      <c r="J138" s="370"/>
      <c r="K138" s="372"/>
      <c r="L138" s="295"/>
    </row>
    <row r="139" spans="1:12" ht="12">
      <c r="A139" s="280">
        <f t="shared" si="0"/>
        <v>22</v>
      </c>
      <c r="B139" s="297" t="s">
        <v>151</v>
      </c>
      <c r="D139" s="299">
        <v>22</v>
      </c>
      <c r="E139" s="299"/>
      <c r="F139" s="296"/>
      <c r="G139" s="370">
        <f>10170*2</f>
        <v>20340</v>
      </c>
      <c r="H139" s="373"/>
      <c r="I139" s="370">
        <f>11781*2</f>
        <v>23562</v>
      </c>
      <c r="J139" s="370"/>
      <c r="K139" s="372">
        <f>13536*2</f>
        <v>27072</v>
      </c>
      <c r="L139" s="371">
        <f>(K139/I139)-1</f>
        <v>0.14896867838044314</v>
      </c>
    </row>
    <row r="140" spans="1:12" ht="12">
      <c r="A140" s="280">
        <f t="shared" si="0"/>
        <v>23</v>
      </c>
      <c r="B140" s="297" t="s">
        <v>152</v>
      </c>
      <c r="D140" s="299">
        <v>23</v>
      </c>
      <c r="E140" s="299"/>
      <c r="F140" s="296"/>
      <c r="G140" s="370">
        <f>9162*2</f>
        <v>18324</v>
      </c>
      <c r="H140" s="296"/>
      <c r="I140" s="370">
        <f>10980*2</f>
        <v>21960</v>
      </c>
      <c r="J140" s="370"/>
      <c r="K140" s="372">
        <f>12132*2</f>
        <v>24264</v>
      </c>
      <c r="L140" s="371">
        <f>(K140/I140)-1</f>
        <v>0.10491803278688527</v>
      </c>
    </row>
    <row r="141" spans="1:12" ht="12">
      <c r="A141" s="280">
        <f t="shared" si="0"/>
        <v>24</v>
      </c>
      <c r="B141" s="297" t="s">
        <v>153</v>
      </c>
      <c r="D141" s="299">
        <v>24</v>
      </c>
      <c r="E141" s="299"/>
      <c r="F141" s="296"/>
      <c r="G141" s="370">
        <f>8838*2</f>
        <v>17676</v>
      </c>
      <c r="H141" s="296"/>
      <c r="I141" s="370">
        <f>9891*2</f>
        <v>19782</v>
      </c>
      <c r="J141" s="370"/>
      <c r="K141" s="372">
        <f>11043*2</f>
        <v>22086</v>
      </c>
      <c r="L141" s="371">
        <f>(K141/I141)-1</f>
        <v>0.1164695177434032</v>
      </c>
    </row>
    <row r="142" spans="1:12" ht="12">
      <c r="A142" s="280">
        <f t="shared" si="0"/>
        <v>25</v>
      </c>
      <c r="D142" s="299">
        <v>25</v>
      </c>
      <c r="E142" s="299"/>
      <c r="F142" s="296"/>
      <c r="G142" s="372"/>
      <c r="I142" s="372"/>
      <c r="J142" s="372"/>
      <c r="K142" s="372"/>
      <c r="L142" s="371"/>
    </row>
    <row r="143" spans="1:12" ht="12">
      <c r="A143" s="280">
        <f t="shared" si="0"/>
        <v>26</v>
      </c>
      <c r="B143" s="269" t="s">
        <v>154</v>
      </c>
      <c r="D143" s="299">
        <v>26</v>
      </c>
      <c r="E143" s="299"/>
      <c r="F143" s="296"/>
      <c r="G143" s="372">
        <f>(348.24+7+67.24+28.5+10+9+58+150+4.5)*2</f>
        <v>1364.96</v>
      </c>
      <c r="H143" s="296"/>
      <c r="I143" s="372">
        <f>(349.32+28.5+10+200+9+72+67.24+7+4.5)*2</f>
        <v>1495.12</v>
      </c>
      <c r="J143" s="372"/>
      <c r="K143" s="372">
        <f>(353.61+10+28.5+200+9+71+67.24+7+4.5)*2</f>
        <v>1501.7</v>
      </c>
      <c r="L143" s="371">
        <f>(K143/I143)-1</f>
        <v>0.004400984536358399</v>
      </c>
    </row>
    <row r="144" spans="1:12" ht="12">
      <c r="A144" s="280">
        <f t="shared" si="0"/>
        <v>27</v>
      </c>
      <c r="B144" s="297" t="s">
        <v>0</v>
      </c>
      <c r="D144" s="299">
        <v>27</v>
      </c>
      <c r="E144" s="299"/>
      <c r="F144" s="296"/>
      <c r="G144" s="16"/>
      <c r="H144" s="296"/>
      <c r="I144" s="370"/>
      <c r="J144" s="370"/>
      <c r="K144" s="370"/>
      <c r="L144" s="295"/>
    </row>
    <row r="145" spans="1:12" ht="12">
      <c r="A145" s="280"/>
      <c r="B145" s="297"/>
      <c r="D145" s="299"/>
      <c r="E145" s="299"/>
      <c r="F145" s="296"/>
      <c r="G145" s="19"/>
      <c r="H145" s="296"/>
      <c r="I145" s="344"/>
      <c r="J145" s="344"/>
      <c r="K145" s="370"/>
      <c r="L145" s="295"/>
    </row>
    <row r="146" spans="1:12" ht="12">
      <c r="A146" s="369" t="s">
        <v>155</v>
      </c>
      <c r="B146" s="297" t="s">
        <v>156</v>
      </c>
      <c r="D146" s="299"/>
      <c r="E146" s="299"/>
      <c r="F146" s="296"/>
      <c r="G146" s="19"/>
      <c r="H146" s="296"/>
      <c r="I146" s="344"/>
      <c r="J146" s="344"/>
      <c r="K146" s="296"/>
      <c r="L146" s="295"/>
    </row>
    <row r="147" spans="1:12" ht="12">
      <c r="A147" s="280"/>
      <c r="B147" s="297" t="s">
        <v>157</v>
      </c>
      <c r="D147" s="299"/>
      <c r="E147" s="299"/>
      <c r="F147" s="296"/>
      <c r="G147" s="295"/>
      <c r="H147" s="296"/>
      <c r="I147" s="295"/>
      <c r="J147" s="295"/>
      <c r="K147" s="296"/>
      <c r="L147" s="295"/>
    </row>
    <row r="148" spans="4:11" ht="12">
      <c r="D148" s="299"/>
      <c r="E148" s="299"/>
      <c r="F148" s="296"/>
      <c r="G148" s="295"/>
      <c r="H148" s="296"/>
      <c r="I148" s="295"/>
      <c r="J148" s="295"/>
      <c r="K148" s="296"/>
    </row>
    <row r="149" spans="1:12" ht="12">
      <c r="A149" s="292" t="s">
        <v>106</v>
      </c>
      <c r="D149" s="299"/>
      <c r="E149" s="299"/>
      <c r="F149" s="296"/>
      <c r="G149" s="295"/>
      <c r="H149" s="296"/>
      <c r="I149" s="295"/>
      <c r="J149" s="295"/>
      <c r="K149" s="296"/>
      <c r="L149" s="294" t="s">
        <v>158</v>
      </c>
    </row>
    <row r="150" spans="1:12" ht="12">
      <c r="A150" s="463" t="s">
        <v>159</v>
      </c>
      <c r="B150" s="463"/>
      <c r="C150" s="463"/>
      <c r="D150" s="463"/>
      <c r="E150" s="463"/>
      <c r="F150" s="463"/>
      <c r="G150" s="463"/>
      <c r="H150" s="463"/>
      <c r="I150" s="463"/>
      <c r="J150" s="463"/>
      <c r="K150" s="463"/>
      <c r="L150" s="463"/>
    </row>
    <row r="151" spans="1:12" ht="12">
      <c r="A151" s="292" t="s">
        <v>78</v>
      </c>
      <c r="I151" s="295"/>
      <c r="J151" s="295"/>
      <c r="K151" s="296"/>
      <c r="L151" s="291" t="s">
        <v>79</v>
      </c>
    </row>
    <row r="152" spans="1:12" ht="12">
      <c r="A152" s="283" t="s">
        <v>1</v>
      </c>
      <c r="B152" s="283" t="s">
        <v>1</v>
      </c>
      <c r="C152" s="283" t="s">
        <v>1</v>
      </c>
      <c r="D152" s="283" t="s">
        <v>1</v>
      </c>
      <c r="E152" s="283"/>
      <c r="F152" s="283" t="s">
        <v>1</v>
      </c>
      <c r="G152" s="283" t="s">
        <v>1</v>
      </c>
      <c r="H152" s="283" t="s">
        <v>1</v>
      </c>
      <c r="I152" s="283" t="s">
        <v>1</v>
      </c>
      <c r="J152" s="283"/>
      <c r="K152" s="283" t="s">
        <v>1</v>
      </c>
      <c r="L152" s="283" t="s">
        <v>1</v>
      </c>
    </row>
    <row r="153" spans="1:12" ht="12">
      <c r="A153" s="289" t="s">
        <v>2</v>
      </c>
      <c r="D153" s="289" t="s">
        <v>2</v>
      </c>
      <c r="E153" s="289"/>
      <c r="F153" s="296"/>
      <c r="G153" s="285" t="s">
        <v>62</v>
      </c>
      <c r="H153" s="300"/>
      <c r="I153" s="285" t="s">
        <v>65</v>
      </c>
      <c r="J153" s="285"/>
      <c r="K153" s="306" t="s">
        <v>70</v>
      </c>
      <c r="L153" s="294" t="s">
        <v>70</v>
      </c>
    </row>
    <row r="154" spans="1:12" ht="12">
      <c r="A154" s="289" t="s">
        <v>4</v>
      </c>
      <c r="B154" s="297" t="s">
        <v>0</v>
      </c>
      <c r="D154" s="289" t="s">
        <v>4</v>
      </c>
      <c r="E154" s="289"/>
      <c r="F154" s="296"/>
      <c r="G154" s="285" t="s">
        <v>7</v>
      </c>
      <c r="H154" s="296"/>
      <c r="I154" s="285" t="s">
        <v>7</v>
      </c>
      <c r="J154" s="285"/>
      <c r="K154" s="306" t="s">
        <v>8</v>
      </c>
      <c r="L154" s="294" t="s">
        <v>138</v>
      </c>
    </row>
    <row r="155" spans="1:12" ht="12">
      <c r="A155" s="283" t="s">
        <v>1</v>
      </c>
      <c r="B155" s="283" t="s">
        <v>1</v>
      </c>
      <c r="C155" s="283" t="s">
        <v>1</v>
      </c>
      <c r="D155" s="283" t="s">
        <v>1</v>
      </c>
      <c r="E155" s="283"/>
      <c r="F155" s="283" t="s">
        <v>1</v>
      </c>
      <c r="G155" s="14" t="s">
        <v>1</v>
      </c>
      <c r="H155" s="283" t="s">
        <v>1</v>
      </c>
      <c r="I155" s="283" t="s">
        <v>1</v>
      </c>
      <c r="J155" s="283"/>
      <c r="K155" s="283" t="s">
        <v>1</v>
      </c>
      <c r="L155" s="283" t="s">
        <v>1</v>
      </c>
    </row>
    <row r="156" spans="1:12" ht="12">
      <c r="A156" s="280">
        <v>1</v>
      </c>
      <c r="B156" s="297" t="s">
        <v>160</v>
      </c>
      <c r="D156" s="299">
        <v>1</v>
      </c>
      <c r="E156" s="299"/>
      <c r="F156" s="296"/>
      <c r="G156" s="274"/>
      <c r="H156" s="296"/>
      <c r="I156" s="295"/>
      <c r="J156" s="295"/>
      <c r="K156" s="296"/>
      <c r="L156" s="295"/>
    </row>
    <row r="157" spans="1:12" ht="12">
      <c r="A157" s="280">
        <f aca="true" t="shared" si="1" ref="A157:A181">(A156+1)</f>
        <v>2</v>
      </c>
      <c r="B157" s="297" t="s">
        <v>140</v>
      </c>
      <c r="D157" s="299">
        <v>2</v>
      </c>
      <c r="E157" s="299"/>
      <c r="F157" s="296"/>
      <c r="G157" s="372">
        <f>12700*2</f>
        <v>25400</v>
      </c>
      <c r="H157" s="312"/>
      <c r="I157" s="372">
        <f>13350*2</f>
        <v>26700</v>
      </c>
      <c r="J157" s="372"/>
      <c r="K157" s="372">
        <f>14000*2</f>
        <v>28000</v>
      </c>
      <c r="L157" s="371">
        <f>(K157/I157)-1</f>
        <v>0.04868913857677892</v>
      </c>
    </row>
    <row r="158" spans="1:12" ht="12">
      <c r="A158" s="280">
        <f t="shared" si="1"/>
        <v>3</v>
      </c>
      <c r="B158" s="297" t="s">
        <v>141</v>
      </c>
      <c r="D158" s="299">
        <v>3</v>
      </c>
      <c r="E158" s="299"/>
      <c r="F158" s="296"/>
      <c r="G158" s="372"/>
      <c r="H158" s="312"/>
      <c r="I158" s="372"/>
      <c r="J158" s="372"/>
      <c r="K158" s="372"/>
      <c r="L158" s="371"/>
    </row>
    <row r="159" spans="1:12" ht="12">
      <c r="A159" s="280">
        <f t="shared" si="1"/>
        <v>4</v>
      </c>
      <c r="B159" s="297" t="s">
        <v>142</v>
      </c>
      <c r="D159" s="299">
        <v>4</v>
      </c>
      <c r="E159" s="299"/>
      <c r="F159" s="296"/>
      <c r="G159" s="372">
        <f>14300*2</f>
        <v>28600</v>
      </c>
      <c r="H159" s="312"/>
      <c r="I159" s="372">
        <f>15010*2</f>
        <v>30020</v>
      </c>
      <c r="J159" s="372"/>
      <c r="K159" s="372">
        <f>15750*2</f>
        <v>31500</v>
      </c>
      <c r="L159" s="371">
        <f>(K159/I159)-1</f>
        <v>0.049300466355762795</v>
      </c>
    </row>
    <row r="160" spans="1:12" ht="12">
      <c r="A160" s="280">
        <f t="shared" si="1"/>
        <v>5</v>
      </c>
      <c r="B160" s="269" t="s">
        <v>143</v>
      </c>
      <c r="D160" s="299">
        <v>5</v>
      </c>
      <c r="E160" s="299"/>
      <c r="F160" s="296"/>
      <c r="G160" s="372">
        <f>13620*2</f>
        <v>27240</v>
      </c>
      <c r="H160" s="312"/>
      <c r="I160" s="372">
        <f>14500*2</f>
        <v>29000</v>
      </c>
      <c r="J160" s="372"/>
      <c r="K160" s="372">
        <f>15200*2</f>
        <v>30400</v>
      </c>
      <c r="L160" s="371">
        <f>(K160/I160)-1</f>
        <v>0.048275862068965614</v>
      </c>
    </row>
    <row r="161" spans="1:12" ht="12">
      <c r="A161" s="280">
        <f t="shared" si="1"/>
        <v>6</v>
      </c>
      <c r="B161" s="297" t="s">
        <v>144</v>
      </c>
      <c r="D161" s="299">
        <v>6</v>
      </c>
      <c r="E161" s="299"/>
      <c r="F161" s="296"/>
      <c r="G161" s="372">
        <f>12830*2</f>
        <v>25660</v>
      </c>
      <c r="H161" s="312"/>
      <c r="I161" s="372">
        <f>13475*2</f>
        <v>26950</v>
      </c>
      <c r="J161" s="372"/>
      <c r="K161" s="372">
        <f>14150*2</f>
        <v>28300</v>
      </c>
      <c r="L161" s="371">
        <f>(K161/I161)-1</f>
        <v>0.05009276437847876</v>
      </c>
    </row>
    <row r="162" spans="1:12" ht="12">
      <c r="A162" s="280">
        <f t="shared" si="1"/>
        <v>7</v>
      </c>
      <c r="B162" s="297" t="s">
        <v>0</v>
      </c>
      <c r="D162" s="299">
        <v>7</v>
      </c>
      <c r="E162" s="299"/>
      <c r="F162" s="296"/>
      <c r="G162" s="372"/>
      <c r="H162" s="312"/>
      <c r="I162" s="372"/>
      <c r="J162" s="372"/>
      <c r="K162" s="372"/>
      <c r="L162" s="371"/>
    </row>
    <row r="163" spans="1:12" ht="12">
      <c r="A163" s="280">
        <f t="shared" si="1"/>
        <v>8</v>
      </c>
      <c r="D163" s="299">
        <v>8</v>
      </c>
      <c r="E163" s="299"/>
      <c r="F163" s="296"/>
      <c r="G163" s="372"/>
      <c r="H163" s="296"/>
      <c r="I163" s="372"/>
      <c r="J163" s="372"/>
      <c r="K163" s="372"/>
      <c r="L163" s="371"/>
    </row>
    <row r="164" spans="1:12" ht="12">
      <c r="A164" s="280">
        <f t="shared" si="1"/>
        <v>9</v>
      </c>
      <c r="B164" s="297" t="s">
        <v>145</v>
      </c>
      <c r="D164" s="299">
        <v>9</v>
      </c>
      <c r="E164" s="299"/>
      <c r="F164" s="296"/>
      <c r="G164" s="372">
        <f>(348.24+7+67.24+28.5+10+9+58+150)*2</f>
        <v>1355.96</v>
      </c>
      <c r="H164" s="296"/>
      <c r="I164" s="372">
        <f>(349.32+28.5+10+200+9+72+67.24+7)*2</f>
        <v>1486.12</v>
      </c>
      <c r="J164" s="372"/>
      <c r="K164" s="372">
        <f>(353.61+10+28.5+200+9+71+67.24+7)*2</f>
        <v>1492.7</v>
      </c>
      <c r="L164" s="371">
        <f>(K164/I164)-1</f>
        <v>0.004427637068339152</v>
      </c>
    </row>
    <row r="165" spans="1:12" ht="12">
      <c r="A165" s="280">
        <f t="shared" si="1"/>
        <v>10</v>
      </c>
      <c r="B165" s="297" t="s">
        <v>0</v>
      </c>
      <c r="D165" s="299">
        <v>10</v>
      </c>
      <c r="E165" s="299"/>
      <c r="F165" s="296"/>
      <c r="G165" s="372"/>
      <c r="H165" s="296"/>
      <c r="I165" s="372"/>
      <c r="J165" s="372"/>
      <c r="K165" s="372"/>
      <c r="L165" s="371"/>
    </row>
    <row r="166" spans="1:12" ht="12">
      <c r="A166" s="280">
        <f t="shared" si="1"/>
        <v>11</v>
      </c>
      <c r="B166" s="297" t="s">
        <v>146</v>
      </c>
      <c r="D166" s="299">
        <v>11</v>
      </c>
      <c r="E166" s="299"/>
      <c r="F166" s="296"/>
      <c r="G166" s="372"/>
      <c r="H166" s="296"/>
      <c r="I166" s="372"/>
      <c r="J166" s="372"/>
      <c r="K166" s="372"/>
      <c r="L166" s="371"/>
    </row>
    <row r="167" spans="1:12" ht="12">
      <c r="A167" s="280">
        <f t="shared" si="1"/>
        <v>12</v>
      </c>
      <c r="B167" s="297" t="s">
        <v>140</v>
      </c>
      <c r="D167" s="299">
        <v>12</v>
      </c>
      <c r="E167" s="299"/>
      <c r="F167" s="296"/>
      <c r="G167" s="372">
        <f>11385*2</f>
        <v>22770</v>
      </c>
      <c r="H167" s="296"/>
      <c r="I167" s="372">
        <f>11673*2</f>
        <v>23346</v>
      </c>
      <c r="J167" s="372"/>
      <c r="K167" s="372">
        <f>12024*2</f>
        <v>24048</v>
      </c>
      <c r="L167" s="371">
        <f>(K167/I167)-1</f>
        <v>0.030069390902081716</v>
      </c>
    </row>
    <row r="168" spans="1:12" ht="12">
      <c r="A168" s="280">
        <f t="shared" si="1"/>
        <v>13</v>
      </c>
      <c r="B168" s="297" t="s">
        <v>141</v>
      </c>
      <c r="D168" s="299">
        <v>13</v>
      </c>
      <c r="E168" s="299"/>
      <c r="F168" s="296"/>
      <c r="G168" s="372"/>
      <c r="H168" s="296"/>
      <c r="I168" s="372"/>
      <c r="J168" s="372"/>
      <c r="K168" s="372"/>
      <c r="L168" s="371"/>
    </row>
    <row r="169" spans="1:12" ht="12">
      <c r="A169" s="280">
        <f t="shared" si="1"/>
        <v>14</v>
      </c>
      <c r="B169" s="297" t="s">
        <v>142</v>
      </c>
      <c r="D169" s="299">
        <v>14</v>
      </c>
      <c r="E169" s="299"/>
      <c r="F169" s="296"/>
      <c r="G169" s="372">
        <f>12789*2</f>
        <v>25578</v>
      </c>
      <c r="H169" s="373"/>
      <c r="I169" s="372">
        <f>13113*2</f>
        <v>26226</v>
      </c>
      <c r="J169" s="372"/>
      <c r="K169" s="372">
        <f>13509*2</f>
        <v>27018</v>
      </c>
      <c r="L169" s="371">
        <f>(K169/I169)-1</f>
        <v>0.030199039121482585</v>
      </c>
    </row>
    <row r="170" spans="1:12" ht="12">
      <c r="A170" s="280">
        <f t="shared" si="1"/>
        <v>15</v>
      </c>
      <c r="B170" s="269" t="s">
        <v>161</v>
      </c>
      <c r="D170" s="299">
        <v>15</v>
      </c>
      <c r="E170" s="299"/>
      <c r="F170" s="296"/>
      <c r="G170" s="372">
        <f>13000*2</f>
        <v>26000</v>
      </c>
      <c r="I170" s="372">
        <f>13320*2</f>
        <v>26640</v>
      </c>
      <c r="J170" s="372"/>
      <c r="K170" s="372">
        <f>13716*2</f>
        <v>27432</v>
      </c>
      <c r="L170" s="371">
        <f>(K170/I170)-1</f>
        <v>0.029729729729729648</v>
      </c>
    </row>
    <row r="171" spans="1:12" ht="12">
      <c r="A171" s="280">
        <f t="shared" si="1"/>
        <v>16</v>
      </c>
      <c r="B171" s="297" t="s">
        <v>143</v>
      </c>
      <c r="D171" s="299">
        <v>16</v>
      </c>
      <c r="E171" s="299"/>
      <c r="F171" s="296"/>
      <c r="G171" s="372">
        <f>12240*2</f>
        <v>24480</v>
      </c>
      <c r="H171" s="373"/>
      <c r="I171" s="372">
        <f>12744*2</f>
        <v>25488</v>
      </c>
      <c r="J171" s="372"/>
      <c r="K171" s="372">
        <f>13122*2</f>
        <v>26244</v>
      </c>
      <c r="L171" s="371">
        <f>(K171/I171)-1</f>
        <v>0.029661016949152463</v>
      </c>
    </row>
    <row r="172" spans="1:12" ht="12">
      <c r="A172" s="280">
        <f t="shared" si="1"/>
        <v>17</v>
      </c>
      <c r="B172" s="297" t="s">
        <v>144</v>
      </c>
      <c r="D172" s="299">
        <v>17</v>
      </c>
      <c r="E172" s="299"/>
      <c r="F172" s="296"/>
      <c r="G172" s="372">
        <f>11520*2</f>
        <v>23040</v>
      </c>
      <c r="H172" s="373"/>
      <c r="I172" s="372">
        <f>11808*2</f>
        <v>23616</v>
      </c>
      <c r="J172" s="372"/>
      <c r="K172" s="372">
        <f>12159*2</f>
        <v>24318</v>
      </c>
      <c r="L172" s="371">
        <f>(K172/I172)-1</f>
        <v>0.029725609756097615</v>
      </c>
    </row>
    <row r="173" spans="1:12" ht="12">
      <c r="A173" s="280">
        <f t="shared" si="1"/>
        <v>18</v>
      </c>
      <c r="D173" s="299">
        <v>18</v>
      </c>
      <c r="E173" s="299"/>
      <c r="F173" s="296"/>
      <c r="G173" s="372"/>
      <c r="I173" s="372"/>
      <c r="J173" s="372"/>
      <c r="K173" s="372"/>
      <c r="L173" s="371"/>
    </row>
    <row r="174" spans="1:12" ht="12">
      <c r="A174" s="280">
        <f t="shared" si="1"/>
        <v>19</v>
      </c>
      <c r="B174" s="269" t="s">
        <v>149</v>
      </c>
      <c r="D174" s="299">
        <v>19</v>
      </c>
      <c r="E174" s="299"/>
      <c r="F174" s="296"/>
      <c r="G174" s="372"/>
      <c r="H174" s="296"/>
      <c r="I174" s="372"/>
      <c r="J174" s="372"/>
      <c r="K174" s="372"/>
      <c r="L174" s="371"/>
    </row>
    <row r="175" spans="1:12" ht="12">
      <c r="A175" s="280">
        <f t="shared" si="1"/>
        <v>20</v>
      </c>
      <c r="B175" s="297" t="s">
        <v>162</v>
      </c>
      <c r="D175" s="299">
        <v>20</v>
      </c>
      <c r="E175" s="299"/>
      <c r="F175" s="296"/>
      <c r="G175" s="372"/>
      <c r="I175" s="372"/>
      <c r="J175" s="372"/>
      <c r="K175" s="372">
        <f>17500*2</f>
        <v>35000</v>
      </c>
      <c r="L175" s="371"/>
    </row>
    <row r="176" spans="1:12" ht="12">
      <c r="A176" s="280">
        <f t="shared" si="1"/>
        <v>21</v>
      </c>
      <c r="B176" s="297" t="s">
        <v>141</v>
      </c>
      <c r="D176" s="299">
        <v>21</v>
      </c>
      <c r="E176" s="299"/>
      <c r="F176" s="296"/>
      <c r="G176" s="370"/>
      <c r="H176" s="296"/>
      <c r="I176" s="370"/>
      <c r="J176" s="370"/>
      <c r="K176" s="370"/>
      <c r="L176" s="371"/>
    </row>
    <row r="177" spans="1:12" ht="12">
      <c r="A177" s="280">
        <f t="shared" si="1"/>
        <v>22</v>
      </c>
      <c r="B177" s="297" t="s">
        <v>163</v>
      </c>
      <c r="D177" s="299">
        <v>22</v>
      </c>
      <c r="E177" s="299"/>
      <c r="F177" s="296"/>
      <c r="G177" s="370">
        <f>15426*2</f>
        <v>30852</v>
      </c>
      <c r="H177" s="373"/>
      <c r="I177" s="370">
        <f>15813*2</f>
        <v>31626</v>
      </c>
      <c r="J177" s="370"/>
      <c r="K177" s="370">
        <f>16965*2</f>
        <v>33930</v>
      </c>
      <c r="L177" s="371">
        <f>(K177/I177)-1</f>
        <v>0.07285145133750714</v>
      </c>
    </row>
    <row r="178" spans="1:12" ht="12">
      <c r="A178" s="280">
        <f t="shared" si="1"/>
        <v>23</v>
      </c>
      <c r="D178" s="299">
        <v>23</v>
      </c>
      <c r="E178" s="299"/>
      <c r="F178" s="296"/>
      <c r="G178" s="370"/>
      <c r="H178" s="296"/>
      <c r="I178" s="370"/>
      <c r="J178" s="370"/>
      <c r="K178" s="370"/>
      <c r="L178" s="300"/>
    </row>
    <row r="179" spans="1:12" ht="12">
      <c r="A179" s="280">
        <f t="shared" si="1"/>
        <v>24</v>
      </c>
      <c r="B179" s="297"/>
      <c r="D179" s="299">
        <v>24</v>
      </c>
      <c r="E179" s="299"/>
      <c r="F179" s="296"/>
      <c r="G179" s="370"/>
      <c r="H179" s="296"/>
      <c r="I179" s="370"/>
      <c r="J179" s="370"/>
      <c r="K179" s="370"/>
      <c r="L179" s="300"/>
    </row>
    <row r="180" spans="1:12" ht="12">
      <c r="A180" s="280">
        <f t="shared" si="1"/>
        <v>25</v>
      </c>
      <c r="B180" s="269" t="s">
        <v>154</v>
      </c>
      <c r="D180" s="299">
        <v>25</v>
      </c>
      <c r="E180" s="299"/>
      <c r="F180" s="296"/>
      <c r="G180" s="372">
        <f>(348.24+7+67.24+28.5+10+9+58+150+4.5)*2</f>
        <v>1364.96</v>
      </c>
      <c r="H180" s="296"/>
      <c r="I180" s="372">
        <f>(349.32+28.5+10+200+9+72+67.24+7+4.5)*2</f>
        <v>1495.12</v>
      </c>
      <c r="J180" s="372"/>
      <c r="K180" s="372">
        <f>(353.61+10+28.5+200+9+71+67.24+7+4.5)*2</f>
        <v>1501.7</v>
      </c>
      <c r="L180" s="371">
        <f>(K180/I180)-1</f>
        <v>0.004400984536358399</v>
      </c>
    </row>
    <row r="181" spans="1:12" ht="12">
      <c r="A181" s="280">
        <f t="shared" si="1"/>
        <v>26</v>
      </c>
      <c r="B181" s="297" t="s">
        <v>0</v>
      </c>
      <c r="D181" s="299">
        <v>26</v>
      </c>
      <c r="E181" s="299"/>
      <c r="F181" s="296"/>
      <c r="G181" s="19"/>
      <c r="H181" s="296"/>
      <c r="I181" s="344"/>
      <c r="J181" s="344"/>
      <c r="K181" s="370"/>
      <c r="L181" s="295"/>
    </row>
    <row r="182" ht="12">
      <c r="K182" s="340"/>
    </row>
    <row r="183" spans="2:12" ht="12">
      <c r="B183" s="297" t="s">
        <v>106</v>
      </c>
      <c r="K183" s="340"/>
      <c r="L183" s="369" t="s">
        <v>164</v>
      </c>
    </row>
    <row r="184" spans="1:12" ht="12">
      <c r="A184" s="464" t="s">
        <v>165</v>
      </c>
      <c r="B184" s="464"/>
      <c r="C184" s="464"/>
      <c r="D184" s="464"/>
      <c r="E184" s="464"/>
      <c r="F184" s="464"/>
      <c r="G184" s="464"/>
      <c r="H184" s="464"/>
      <c r="I184" s="464"/>
      <c r="J184" s="464"/>
      <c r="K184" s="464"/>
      <c r="L184" s="464"/>
    </row>
    <row r="185" spans="2:12" ht="12">
      <c r="B185" s="292" t="s">
        <v>166</v>
      </c>
      <c r="C185" s="368"/>
      <c r="L185" s="291" t="s">
        <v>79</v>
      </c>
    </row>
    <row r="186" spans="2:12" ht="12">
      <c r="B186" s="283" t="s">
        <v>1</v>
      </c>
      <c r="C186" s="283" t="s">
        <v>1</v>
      </c>
      <c r="F186" s="283" t="s">
        <v>1</v>
      </c>
      <c r="G186" s="283" t="s">
        <v>1</v>
      </c>
      <c r="H186" s="283" t="s">
        <v>1</v>
      </c>
      <c r="I186" s="283" t="s">
        <v>1</v>
      </c>
      <c r="J186" s="283"/>
      <c r="K186" s="283" t="s">
        <v>1</v>
      </c>
      <c r="L186" s="283"/>
    </row>
    <row r="187" spans="3:8" ht="12">
      <c r="C187" s="307" t="s">
        <v>62</v>
      </c>
      <c r="H187" s="307" t="s">
        <v>65</v>
      </c>
    </row>
    <row r="188" spans="3:8" ht="12">
      <c r="C188" s="307" t="s">
        <v>167</v>
      </c>
      <c r="H188" s="307" t="s">
        <v>167</v>
      </c>
    </row>
    <row r="189" spans="3:12" ht="12">
      <c r="C189" s="307" t="s">
        <v>19</v>
      </c>
      <c r="F189" s="307" t="s">
        <v>19</v>
      </c>
      <c r="G189" s="307" t="s">
        <v>168</v>
      </c>
      <c r="H189" s="307" t="s">
        <v>19</v>
      </c>
      <c r="I189" s="307" t="s">
        <v>19</v>
      </c>
      <c r="J189" s="307"/>
      <c r="K189" s="307" t="s">
        <v>168</v>
      </c>
      <c r="L189" s="307"/>
    </row>
    <row r="190" spans="2:12" ht="12">
      <c r="B190" s="307" t="s">
        <v>169</v>
      </c>
      <c r="C190" s="307" t="s">
        <v>170</v>
      </c>
      <c r="F190" s="307" t="s">
        <v>171</v>
      </c>
      <c r="G190" s="307" t="s">
        <v>172</v>
      </c>
      <c r="H190" s="307" t="s">
        <v>170</v>
      </c>
      <c r="I190" s="307" t="s">
        <v>171</v>
      </c>
      <c r="J190" s="307"/>
      <c r="K190" s="307" t="s">
        <v>172</v>
      </c>
      <c r="L190" s="307"/>
    </row>
    <row r="191" spans="2:12" ht="12">
      <c r="B191" s="283" t="s">
        <v>1</v>
      </c>
      <c r="C191" s="283" t="s">
        <v>1</v>
      </c>
      <c r="F191" s="283" t="s">
        <v>1</v>
      </c>
      <c r="G191" s="283" t="s">
        <v>1</v>
      </c>
      <c r="H191" s="283" t="s">
        <v>1</v>
      </c>
      <c r="I191" s="283" t="s">
        <v>1</v>
      </c>
      <c r="J191" s="283"/>
      <c r="K191" s="283" t="s">
        <v>1</v>
      </c>
      <c r="L191" s="283"/>
    </row>
    <row r="193" spans="2:11" ht="12">
      <c r="B193" s="297" t="s">
        <v>173</v>
      </c>
      <c r="C193" s="367"/>
      <c r="F193" s="367"/>
      <c r="G193" s="293">
        <f>IF(F193=0,0,+C193/+F193)</f>
        <v>0</v>
      </c>
      <c r="H193" s="367"/>
      <c r="I193" s="367"/>
      <c r="J193" s="367"/>
      <c r="K193" s="293">
        <f>IF(I193=0,0,+H193/+I193)</f>
        <v>0</v>
      </c>
    </row>
    <row r="194" spans="3:10" ht="12">
      <c r="C194" s="367"/>
      <c r="F194" s="367"/>
      <c r="H194" s="367"/>
      <c r="I194" s="367"/>
      <c r="J194" s="367"/>
    </row>
    <row r="195" spans="2:12" ht="12">
      <c r="B195" s="297" t="s">
        <v>174</v>
      </c>
      <c r="C195" s="350">
        <f>14190.2</f>
        <v>14190.2</v>
      </c>
      <c r="D195" s="350"/>
      <c r="E195" s="350"/>
      <c r="F195" s="350">
        <f>552.1</f>
        <v>552.1</v>
      </c>
      <c r="G195" s="293">
        <f>IF(F195=0,0,+C195/+F195)</f>
        <v>25.702227857272234</v>
      </c>
      <c r="H195" s="350">
        <f>14260.9</f>
        <v>14260.9</v>
      </c>
      <c r="I195" s="350">
        <f>545.1</f>
        <v>545.1</v>
      </c>
      <c r="J195" s="350"/>
      <c r="K195" s="293">
        <f>IF(I195=0,0,+H195/+I195)</f>
        <v>26.161988625940193</v>
      </c>
      <c r="L195" s="280"/>
    </row>
    <row r="196" spans="3:10" ht="12">
      <c r="C196" s="367"/>
      <c r="D196" s="367"/>
      <c r="E196" s="367"/>
      <c r="F196" s="367"/>
      <c r="H196" s="367"/>
      <c r="I196" s="367"/>
      <c r="J196" s="367"/>
    </row>
    <row r="197" spans="2:12" ht="12">
      <c r="B197" s="297" t="s">
        <v>175</v>
      </c>
      <c r="C197" s="350">
        <f>9925.8</f>
        <v>9925.8</v>
      </c>
      <c r="D197" s="350"/>
      <c r="E197" s="350"/>
      <c r="F197" s="350">
        <f>598.7</f>
        <v>598.7</v>
      </c>
      <c r="G197" s="293">
        <f>IF(F197=0,0,+C197/+F197)</f>
        <v>16.578920995490225</v>
      </c>
      <c r="H197" s="350">
        <f>10253.1</f>
        <v>10253.1</v>
      </c>
      <c r="I197" s="350">
        <f>603.8</f>
        <v>603.8</v>
      </c>
      <c r="J197" s="350"/>
      <c r="K197" s="293">
        <f>IF(I197=0,0,+H197/+I197)</f>
        <v>16.980953958264326</v>
      </c>
      <c r="L197" s="280"/>
    </row>
    <row r="198" spans="3:10" ht="12">
      <c r="C198" s="367"/>
      <c r="F198" s="367"/>
      <c r="H198" s="367"/>
      <c r="I198" s="367"/>
      <c r="J198" s="367"/>
    </row>
    <row r="199" spans="2:12" ht="12">
      <c r="B199" s="297" t="s">
        <v>176</v>
      </c>
      <c r="C199" s="350">
        <f>SUM(C193:C197)</f>
        <v>24116</v>
      </c>
      <c r="D199" s="280"/>
      <c r="E199" s="280"/>
      <c r="F199" s="350">
        <f>SUM(F193:F197)</f>
        <v>1150.8000000000002</v>
      </c>
      <c r="G199" s="293">
        <f>IF(F199=0,0,+C199/+F199)</f>
        <v>20.95585679527285</v>
      </c>
      <c r="H199" s="350">
        <f>SUM(H193:H197)</f>
        <v>24514</v>
      </c>
      <c r="I199" s="350">
        <f>SUM(I193:I197)</f>
        <v>1148.9</v>
      </c>
      <c r="J199" s="350"/>
      <c r="K199" s="293">
        <f>IF(I199=0,0,+H199/+I199)</f>
        <v>21.336930977456696</v>
      </c>
      <c r="L199" s="280"/>
    </row>
    <row r="200" spans="3:10" ht="12">
      <c r="C200" s="367"/>
      <c r="F200" s="367"/>
      <c r="H200" s="367"/>
      <c r="I200" s="367"/>
      <c r="J200" s="367"/>
    </row>
    <row r="201" spans="3:10" ht="12">
      <c r="C201" s="367"/>
      <c r="D201" s="367"/>
      <c r="E201" s="367"/>
      <c r="F201" s="367"/>
      <c r="H201" s="367"/>
      <c r="I201" s="367"/>
      <c r="J201" s="367"/>
    </row>
    <row r="202" spans="2:12" ht="12">
      <c r="B202" s="297" t="s">
        <v>177</v>
      </c>
      <c r="C202" s="367">
        <f>1610.2</f>
        <v>1610.2</v>
      </c>
      <c r="D202" s="367"/>
      <c r="E202" s="367"/>
      <c r="F202" s="367">
        <f>296.3</f>
        <v>296.3</v>
      </c>
      <c r="G202" s="293">
        <f>IF(F202=0,0,+C202/+F202)</f>
        <v>5.434357070536619</v>
      </c>
      <c r="H202" s="367">
        <f>1680.8</f>
        <v>1680.8</v>
      </c>
      <c r="I202" s="367">
        <f>292.9</f>
        <v>292.9</v>
      </c>
      <c r="J202" s="367"/>
      <c r="K202" s="293">
        <f>IF(I202=0,0,+H202/+I202)</f>
        <v>5.738477296005463</v>
      </c>
      <c r="L202" s="280"/>
    </row>
    <row r="203" spans="3:10" ht="12">
      <c r="C203" s="367"/>
      <c r="D203" s="367"/>
      <c r="E203" s="367"/>
      <c r="F203" s="367"/>
      <c r="H203" s="367"/>
      <c r="I203" s="367"/>
      <c r="J203" s="367"/>
    </row>
    <row r="204" spans="2:12" ht="12">
      <c r="B204" s="297" t="s">
        <v>178</v>
      </c>
      <c r="C204" s="367">
        <f>1088.6</f>
        <v>1088.6</v>
      </c>
      <c r="D204" s="367"/>
      <c r="E204" s="367"/>
      <c r="F204" s="367">
        <f>340.6</f>
        <v>340.6</v>
      </c>
      <c r="G204" s="293">
        <f>IF(F204=0,0,+C204/+F204)</f>
        <v>3.1961244862008216</v>
      </c>
      <c r="H204" s="367">
        <f>1127</f>
        <v>1127</v>
      </c>
      <c r="I204" s="367">
        <f>351.7</f>
        <v>351.7</v>
      </c>
      <c r="J204" s="367"/>
      <c r="K204" s="293">
        <f>IF(I204=0,0,+H204/+I204)</f>
        <v>3.204435598521467</v>
      </c>
      <c r="L204" s="280"/>
    </row>
    <row r="205" spans="3:10" ht="12">
      <c r="C205" s="367"/>
      <c r="D205" s="367"/>
      <c r="E205" s="367"/>
      <c r="F205" s="367"/>
      <c r="H205" s="367"/>
      <c r="I205" s="367"/>
      <c r="J205" s="367"/>
    </row>
    <row r="206" spans="2:12" ht="12">
      <c r="B206" s="297" t="s">
        <v>179</v>
      </c>
      <c r="C206" s="367">
        <f>SUM(C202:C204)</f>
        <v>2698.8</v>
      </c>
      <c r="D206" s="367"/>
      <c r="E206" s="367"/>
      <c r="F206" s="367">
        <f>SUM(F202:F204)</f>
        <v>636.9000000000001</v>
      </c>
      <c r="G206" s="293">
        <f>IF(F206=0,0,+C206/+F206)</f>
        <v>4.237399905793688</v>
      </c>
      <c r="H206" s="367">
        <f>SUM(H202:H204)</f>
        <v>2807.8</v>
      </c>
      <c r="I206" s="367">
        <f>SUM(I202:I204)</f>
        <v>644.5999999999999</v>
      </c>
      <c r="J206" s="367"/>
      <c r="K206" s="293">
        <f>IF(I206=0,0,+H206/+I206)</f>
        <v>4.355879615265282</v>
      </c>
      <c r="L206" s="280"/>
    </row>
    <row r="207" spans="3:10" ht="12">
      <c r="C207" s="367"/>
      <c r="D207" s="367"/>
      <c r="E207" s="367"/>
      <c r="F207" s="367"/>
      <c r="H207" s="367"/>
      <c r="I207" s="367"/>
      <c r="J207" s="367"/>
    </row>
    <row r="208" spans="2:12" ht="12">
      <c r="B208" s="297" t="s">
        <v>180</v>
      </c>
      <c r="C208" s="350">
        <f>C199+C206</f>
        <v>26814.8</v>
      </c>
      <c r="D208" s="367"/>
      <c r="E208" s="367"/>
      <c r="F208" s="350">
        <f>F199+F206</f>
        <v>1787.7000000000003</v>
      </c>
      <c r="G208" s="293">
        <f>IF(F208=0,0,+C208/+F208)</f>
        <v>14.99960843541981</v>
      </c>
      <c r="H208" s="350">
        <f>H199+H206</f>
        <v>27321.8</v>
      </c>
      <c r="I208" s="350">
        <f>I199+I206</f>
        <v>1793.5</v>
      </c>
      <c r="J208" s="350"/>
      <c r="K208" s="293">
        <f>IF(I208=0,0,+H208/+I208)</f>
        <v>15.233788681349317</v>
      </c>
      <c r="L208" s="280"/>
    </row>
    <row r="209" spans="3:6" ht="12">
      <c r="C209" s="367"/>
      <c r="D209" s="367"/>
      <c r="E209" s="367"/>
      <c r="F209" s="367"/>
    </row>
    <row r="216" ht="12">
      <c r="B216" s="297" t="s">
        <v>181</v>
      </c>
    </row>
    <row r="217" ht="12">
      <c r="B217" s="297" t="s">
        <v>182</v>
      </c>
    </row>
    <row r="218" spans="4:11" ht="12">
      <c r="D218" s="299"/>
      <c r="E218" s="299"/>
      <c r="F218" s="296"/>
      <c r="G218" s="295"/>
      <c r="H218" s="296"/>
      <c r="I218" s="295"/>
      <c r="J218" s="295"/>
      <c r="K218" s="296"/>
    </row>
    <row r="219" spans="1:12" ht="12">
      <c r="A219" s="292" t="s">
        <v>106</v>
      </c>
      <c r="D219" s="299"/>
      <c r="E219" s="299"/>
      <c r="F219" s="296"/>
      <c r="G219" s="295"/>
      <c r="H219" s="296"/>
      <c r="I219" s="295"/>
      <c r="J219" s="295"/>
      <c r="K219" s="296"/>
      <c r="L219" s="294" t="s">
        <v>183</v>
      </c>
    </row>
    <row r="220" spans="1:12" ht="12">
      <c r="A220" s="465" t="s">
        <v>184</v>
      </c>
      <c r="B220" s="465"/>
      <c r="C220" s="465"/>
      <c r="D220" s="465"/>
      <c r="E220" s="465"/>
      <c r="F220" s="465"/>
      <c r="G220" s="465"/>
      <c r="H220" s="465"/>
      <c r="I220" s="465"/>
      <c r="J220" s="465"/>
      <c r="K220" s="465"/>
      <c r="L220" s="465"/>
    </row>
    <row r="221" spans="1:12" ht="12">
      <c r="A221" s="292" t="s">
        <v>78</v>
      </c>
      <c r="F221" s="296"/>
      <c r="G221" s="295"/>
      <c r="H221" s="342"/>
      <c r="I221" s="341"/>
      <c r="J221" s="341"/>
      <c r="K221" s="296"/>
      <c r="L221" s="291" t="s">
        <v>79</v>
      </c>
    </row>
    <row r="222" spans="1:12" ht="12">
      <c r="A222" s="283" t="s">
        <v>1</v>
      </c>
      <c r="B222" s="283" t="s">
        <v>1</v>
      </c>
      <c r="C222" s="283" t="s">
        <v>1</v>
      </c>
      <c r="D222" s="283" t="s">
        <v>1</v>
      </c>
      <c r="E222" s="283"/>
      <c r="F222" s="283" t="s">
        <v>1</v>
      </c>
      <c r="G222" s="283" t="s">
        <v>1</v>
      </c>
      <c r="H222" s="283" t="s">
        <v>1</v>
      </c>
      <c r="I222" s="283" t="s">
        <v>1</v>
      </c>
      <c r="J222" s="283"/>
      <c r="K222" s="283" t="s">
        <v>1</v>
      </c>
      <c r="L222" s="283" t="s">
        <v>1</v>
      </c>
    </row>
    <row r="223" spans="1:12" ht="12">
      <c r="A223" s="289" t="s">
        <v>2</v>
      </c>
      <c r="D223" s="289" t="s">
        <v>2</v>
      </c>
      <c r="E223" s="289"/>
      <c r="F223" s="285"/>
      <c r="G223" s="285" t="s">
        <v>62</v>
      </c>
      <c r="H223" s="285"/>
      <c r="I223" s="285" t="s">
        <v>65</v>
      </c>
      <c r="J223" s="285"/>
      <c r="K223" s="285"/>
      <c r="L223" s="285" t="s">
        <v>70</v>
      </c>
    </row>
    <row r="224" spans="1:12" ht="12">
      <c r="A224" s="289" t="s">
        <v>4</v>
      </c>
      <c r="B224" s="297" t="s">
        <v>185</v>
      </c>
      <c r="D224" s="289" t="s">
        <v>4</v>
      </c>
      <c r="E224" s="289"/>
      <c r="F224" s="286" t="s">
        <v>19</v>
      </c>
      <c r="G224" s="285" t="s">
        <v>7</v>
      </c>
      <c r="H224" s="293" t="s">
        <v>19</v>
      </c>
      <c r="I224" s="306" t="s">
        <v>7</v>
      </c>
      <c r="J224" s="306"/>
      <c r="K224" s="293" t="s">
        <v>19</v>
      </c>
      <c r="L224" s="306" t="s">
        <v>8</v>
      </c>
    </row>
    <row r="225" spans="1:12" ht="12">
      <c r="A225" s="283" t="s">
        <v>1</v>
      </c>
      <c r="B225" s="283" t="s">
        <v>1</v>
      </c>
      <c r="C225" s="283" t="s">
        <v>1</v>
      </c>
      <c r="D225" s="283" t="s">
        <v>1</v>
      </c>
      <c r="E225" s="283"/>
      <c r="F225" s="14" t="s">
        <v>1</v>
      </c>
      <c r="G225" s="14" t="s">
        <v>1</v>
      </c>
      <c r="H225" s="283" t="s">
        <v>1</v>
      </c>
      <c r="I225" s="283" t="s">
        <v>1</v>
      </c>
      <c r="J225" s="283"/>
      <c r="K225" s="283" t="s">
        <v>1</v>
      </c>
      <c r="L225" s="270" t="s">
        <v>1</v>
      </c>
    </row>
    <row r="226" spans="1:12" ht="12">
      <c r="A226" s="280">
        <v>1</v>
      </c>
      <c r="B226" s="47" t="s">
        <v>186</v>
      </c>
      <c r="C226" s="48"/>
      <c r="D226" s="280">
        <v>1</v>
      </c>
      <c r="E226" s="280"/>
      <c r="F226" s="308"/>
      <c r="G226" s="274"/>
      <c r="H226" s="300"/>
      <c r="I226" s="295"/>
      <c r="J226" s="295"/>
      <c r="K226" s="300"/>
      <c r="L226" s="295"/>
    </row>
    <row r="227" spans="1:12" ht="12">
      <c r="A227" s="280">
        <f aca="true" t="shared" si="2" ref="A227:A247">(A226+1)</f>
        <v>2</v>
      </c>
      <c r="B227" s="47" t="s">
        <v>414</v>
      </c>
      <c r="C227" s="47" t="s">
        <v>415</v>
      </c>
      <c r="D227" s="280">
        <f aca="true" t="shared" si="3" ref="D227:D242">(D226+1)</f>
        <v>2</v>
      </c>
      <c r="E227" s="280"/>
      <c r="F227" s="303">
        <f>77</f>
        <v>77</v>
      </c>
      <c r="G227" s="302">
        <f>1170450.66</f>
        <v>1170450.66</v>
      </c>
      <c r="H227" s="303">
        <f>70.16</f>
        <v>70.16</v>
      </c>
      <c r="I227" s="302">
        <f>1162268.32</f>
        <v>1162268.32</v>
      </c>
      <c r="J227" s="302"/>
      <c r="K227" s="303">
        <f>68.67</f>
        <v>68.67</v>
      </c>
      <c r="L227" s="302">
        <f>1159165</f>
        <v>1159165</v>
      </c>
    </row>
    <row r="228" spans="1:12" ht="12">
      <c r="A228" s="280">
        <f t="shared" si="2"/>
        <v>3</v>
      </c>
      <c r="B228" s="48"/>
      <c r="C228" s="47" t="s">
        <v>416</v>
      </c>
      <c r="D228" s="280">
        <f t="shared" si="3"/>
        <v>3</v>
      </c>
      <c r="E228" s="280"/>
      <c r="F228" s="303">
        <f>888.57</f>
        <v>888.57</v>
      </c>
      <c r="G228" s="302">
        <f>10286121.61</f>
        <v>10286121.61</v>
      </c>
      <c r="H228" s="303">
        <f>932.47</f>
        <v>932.47</v>
      </c>
      <c r="I228" s="302">
        <f>10522689.26</f>
        <v>10522689.26</v>
      </c>
      <c r="J228" s="302"/>
      <c r="K228" s="303">
        <f>965.53</f>
        <v>965.53</v>
      </c>
      <c r="L228" s="302">
        <f>9037798</f>
        <v>9037798</v>
      </c>
    </row>
    <row r="229" spans="1:12" ht="12">
      <c r="A229" s="280">
        <f t="shared" si="2"/>
        <v>4</v>
      </c>
      <c r="B229" s="47" t="s">
        <v>417</v>
      </c>
      <c r="C229" s="47" t="s">
        <v>418</v>
      </c>
      <c r="D229" s="280">
        <f t="shared" si="3"/>
        <v>4</v>
      </c>
      <c r="E229" s="280"/>
      <c r="F229" s="303">
        <f>20.4</f>
        <v>20.4</v>
      </c>
      <c r="G229" s="302">
        <f>556323.14</f>
        <v>556323.14</v>
      </c>
      <c r="H229" s="303">
        <f>20.57</f>
        <v>20.57</v>
      </c>
      <c r="I229" s="302">
        <f>555249.26</f>
        <v>555249.26</v>
      </c>
      <c r="J229" s="302"/>
      <c r="K229" s="303">
        <f>21.2</f>
        <v>21.2</v>
      </c>
      <c r="L229" s="302">
        <f>334511</f>
        <v>334511</v>
      </c>
    </row>
    <row r="230" spans="1:12" ht="12">
      <c r="A230" s="280">
        <f t="shared" si="2"/>
        <v>5</v>
      </c>
      <c r="B230" s="48"/>
      <c r="C230" s="47" t="s">
        <v>419</v>
      </c>
      <c r="D230" s="280">
        <f t="shared" si="3"/>
        <v>5</v>
      </c>
      <c r="E230" s="280"/>
      <c r="F230" s="303">
        <f>409.73</f>
        <v>409.73</v>
      </c>
      <c r="G230" s="302">
        <f>10272795.08</f>
        <v>10272795.08</v>
      </c>
      <c r="H230" s="303">
        <f>395.33</f>
        <v>395.33</v>
      </c>
      <c r="I230" s="302">
        <f>11174153.59</f>
        <v>11174153.59</v>
      </c>
      <c r="J230" s="302"/>
      <c r="K230" s="303">
        <f>439.17</f>
        <v>439.17</v>
      </c>
      <c r="L230" s="302">
        <f>10868553</f>
        <v>10868553</v>
      </c>
    </row>
    <row r="231" spans="1:12" ht="12">
      <c r="A231" s="280">
        <f t="shared" si="2"/>
        <v>6</v>
      </c>
      <c r="B231" s="47" t="s">
        <v>420</v>
      </c>
      <c r="C231" s="48"/>
      <c r="D231" s="280">
        <f t="shared" si="3"/>
        <v>6</v>
      </c>
      <c r="E231" s="280"/>
      <c r="F231" s="300">
        <f>SUM(F227:F230)</f>
        <v>1395.7</v>
      </c>
      <c r="G231" s="295">
        <f>SUM(G227:G230)</f>
        <v>22285690.490000002</v>
      </c>
      <c r="H231" s="300">
        <f>SUM(H227:H230)</f>
        <v>1418.53</v>
      </c>
      <c r="I231" s="295">
        <f>SUM(I227:I230)</f>
        <v>23414360.43</v>
      </c>
      <c r="J231" s="295"/>
      <c r="K231" s="300">
        <f>SUM(K227:K230)</f>
        <v>1494.5700000000002</v>
      </c>
      <c r="L231" s="295">
        <f>SUM(L227:L230)</f>
        <v>21400027</v>
      </c>
    </row>
    <row r="232" spans="1:12" ht="12">
      <c r="A232" s="280">
        <f t="shared" si="2"/>
        <v>7</v>
      </c>
      <c r="B232" s="47" t="s">
        <v>187</v>
      </c>
      <c r="C232" s="48"/>
      <c r="D232" s="280">
        <f t="shared" si="3"/>
        <v>7</v>
      </c>
      <c r="E232" s="280"/>
      <c r="F232" s="300"/>
      <c r="G232" s="295"/>
      <c r="H232" s="300"/>
      <c r="I232" s="295"/>
      <c r="J232" s="295"/>
      <c r="K232" s="300"/>
      <c r="L232" s="295"/>
    </row>
    <row r="233" spans="1:12" ht="12">
      <c r="A233" s="280">
        <f t="shared" si="2"/>
        <v>8</v>
      </c>
      <c r="B233" s="47" t="s">
        <v>414</v>
      </c>
      <c r="C233" s="47" t="s">
        <v>415</v>
      </c>
      <c r="D233" s="280">
        <f t="shared" si="3"/>
        <v>8</v>
      </c>
      <c r="E233" s="280"/>
      <c r="F233" s="303">
        <f>907.87</f>
        <v>907.87</v>
      </c>
      <c r="G233" s="302">
        <f>12701063</f>
        <v>12701063</v>
      </c>
      <c r="H233" s="303">
        <f>939.67</f>
        <v>939.67</v>
      </c>
      <c r="I233" s="302">
        <f>14618542.12</f>
        <v>14618542.12</v>
      </c>
      <c r="J233" s="302"/>
      <c r="K233" s="303">
        <f>955.57</f>
        <v>955.57</v>
      </c>
      <c r="L233" s="366">
        <f>15590270</f>
        <v>15590270</v>
      </c>
    </row>
    <row r="234" spans="1:12" ht="12">
      <c r="A234" s="280">
        <f t="shared" si="2"/>
        <v>9</v>
      </c>
      <c r="B234" s="48"/>
      <c r="C234" s="47" t="s">
        <v>416</v>
      </c>
      <c r="D234" s="280">
        <f t="shared" si="3"/>
        <v>9</v>
      </c>
      <c r="E234" s="280"/>
      <c r="F234" s="303">
        <f>7769.83</f>
        <v>7769.83</v>
      </c>
      <c r="G234" s="302">
        <f>69286844.33</f>
        <v>69286844.33</v>
      </c>
      <c r="H234" s="303">
        <f>7935.23</f>
        <v>7935.23</v>
      </c>
      <c r="I234" s="302">
        <f>70732204.56</f>
        <v>70732204.56</v>
      </c>
      <c r="J234" s="302"/>
      <c r="K234" s="303">
        <f>7547.37</f>
        <v>7547.37</v>
      </c>
      <c r="L234" s="366">
        <f>80033910</f>
        <v>80033910</v>
      </c>
    </row>
    <row r="235" spans="1:12" ht="12">
      <c r="A235" s="280">
        <f t="shared" si="2"/>
        <v>10</v>
      </c>
      <c r="B235" s="47" t="s">
        <v>417</v>
      </c>
      <c r="C235" s="47" t="s">
        <v>418</v>
      </c>
      <c r="D235" s="280">
        <f t="shared" si="3"/>
        <v>10</v>
      </c>
      <c r="E235" s="280"/>
      <c r="F235" s="303">
        <f>410.1</f>
        <v>410.1</v>
      </c>
      <c r="G235" s="302">
        <f>13810040.22</f>
        <v>13810040.22</v>
      </c>
      <c r="H235" s="303">
        <f>435.87</f>
        <v>435.87</v>
      </c>
      <c r="I235" s="302">
        <f>14928086.22</f>
        <v>14928086.22</v>
      </c>
      <c r="J235" s="302"/>
      <c r="K235" s="303">
        <f>497.33</f>
        <v>497.33</v>
      </c>
      <c r="L235" s="302">
        <f>15314862</f>
        <v>15314862</v>
      </c>
    </row>
    <row r="236" spans="1:12" ht="12">
      <c r="A236" s="280">
        <f t="shared" si="2"/>
        <v>11</v>
      </c>
      <c r="B236" s="48"/>
      <c r="C236" s="47" t="s">
        <v>419</v>
      </c>
      <c r="D236" s="280">
        <f t="shared" si="3"/>
        <v>11</v>
      </c>
      <c r="E236" s="280"/>
      <c r="F236" s="303">
        <f>4094.07</f>
        <v>4094.07</v>
      </c>
      <c r="G236" s="302">
        <f>102404583.11</f>
        <v>102404583.11</v>
      </c>
      <c r="H236" s="303">
        <f>4132.07</f>
        <v>4132.07</v>
      </c>
      <c r="I236" s="302">
        <f>106839455.46</f>
        <v>106839455.46</v>
      </c>
      <c r="J236" s="302"/>
      <c r="K236" s="303">
        <f>4062.17</f>
        <v>4062.17</v>
      </c>
      <c r="L236" s="302">
        <f>114236662</f>
        <v>114236662</v>
      </c>
    </row>
    <row r="237" spans="1:12" ht="12">
      <c r="A237" s="280">
        <f t="shared" si="2"/>
        <v>12</v>
      </c>
      <c r="B237" s="47" t="s">
        <v>421</v>
      </c>
      <c r="C237" s="48"/>
      <c r="D237" s="280">
        <f t="shared" si="3"/>
        <v>12</v>
      </c>
      <c r="E237" s="280"/>
      <c r="F237" s="300">
        <f>SUM(F233:F236)</f>
        <v>13181.87</v>
      </c>
      <c r="G237" s="295">
        <f>SUM(G233:G236)</f>
        <v>198202530.66</v>
      </c>
      <c r="H237" s="300">
        <f>SUM(H233:H236)</f>
        <v>13442.84</v>
      </c>
      <c r="I237" s="295">
        <f>SUM(I233:I236)</f>
        <v>207118288.36</v>
      </c>
      <c r="J237" s="295"/>
      <c r="K237" s="300">
        <f>SUM(K233:K236)</f>
        <v>13062.44</v>
      </c>
      <c r="L237" s="295">
        <f>SUM(L233:L236)</f>
        <v>225175704</v>
      </c>
    </row>
    <row r="238" spans="1:12" ht="12">
      <c r="A238" s="280">
        <f t="shared" si="2"/>
        <v>13</v>
      </c>
      <c r="B238" s="47" t="s">
        <v>188</v>
      </c>
      <c r="C238" s="48"/>
      <c r="D238" s="280">
        <f t="shared" si="3"/>
        <v>13</v>
      </c>
      <c r="E238" s="280"/>
      <c r="F238" s="300"/>
      <c r="G238" s="295"/>
      <c r="H238" s="300"/>
      <c r="I238" s="295"/>
      <c r="J238" s="295"/>
      <c r="K238" s="300"/>
      <c r="L238" s="295"/>
    </row>
    <row r="239" spans="1:12" ht="12">
      <c r="A239" s="280">
        <f t="shared" si="2"/>
        <v>14</v>
      </c>
      <c r="B239" s="47" t="s">
        <v>414</v>
      </c>
      <c r="C239" s="47" t="s">
        <v>415</v>
      </c>
      <c r="D239" s="280">
        <f t="shared" si="3"/>
        <v>14</v>
      </c>
      <c r="E239" s="280"/>
      <c r="F239" s="303"/>
      <c r="G239" s="302"/>
      <c r="H239" s="303"/>
      <c r="I239" s="302"/>
      <c r="J239" s="302"/>
      <c r="K239" s="303"/>
      <c r="L239" s="302"/>
    </row>
    <row r="240" spans="1:12" ht="12">
      <c r="A240" s="280">
        <f t="shared" si="2"/>
        <v>15</v>
      </c>
      <c r="B240" s="47"/>
      <c r="C240" s="47" t="s">
        <v>416</v>
      </c>
      <c r="D240" s="280">
        <f t="shared" si="3"/>
        <v>15</v>
      </c>
      <c r="E240" s="280"/>
      <c r="F240" s="303"/>
      <c r="G240" s="302"/>
      <c r="H240" s="303"/>
      <c r="I240" s="302"/>
      <c r="J240" s="302"/>
      <c r="K240" s="303"/>
      <c r="L240" s="302"/>
    </row>
    <row r="241" spans="1:12" ht="12">
      <c r="A241" s="280">
        <f t="shared" si="2"/>
        <v>16</v>
      </c>
      <c r="B241" s="47" t="s">
        <v>417</v>
      </c>
      <c r="C241" s="47" t="s">
        <v>418</v>
      </c>
      <c r="D241" s="280">
        <f t="shared" si="3"/>
        <v>16</v>
      </c>
      <c r="E241" s="280"/>
      <c r="F241" s="303"/>
      <c r="G241" s="302"/>
      <c r="H241" s="303"/>
      <c r="I241" s="302"/>
      <c r="J241" s="302"/>
      <c r="K241" s="303"/>
      <c r="L241" s="302"/>
    </row>
    <row r="242" spans="1:12" ht="12">
      <c r="A242" s="280">
        <f t="shared" si="2"/>
        <v>17</v>
      </c>
      <c r="B242" s="47"/>
      <c r="C242" s="47" t="s">
        <v>419</v>
      </c>
      <c r="D242" s="280">
        <f t="shared" si="3"/>
        <v>17</v>
      </c>
      <c r="E242" s="280"/>
      <c r="F242" s="303"/>
      <c r="G242" s="302"/>
      <c r="H242" s="303"/>
      <c r="I242" s="302"/>
      <c r="J242" s="302"/>
      <c r="K242" s="303"/>
      <c r="L242" s="302"/>
    </row>
    <row r="243" spans="1:11" ht="12">
      <c r="A243" s="280">
        <v>18</v>
      </c>
      <c r="B243" s="47" t="s">
        <v>189</v>
      </c>
      <c r="C243" s="47"/>
      <c r="D243" s="280"/>
      <c r="E243" s="280"/>
      <c r="F243" s="365"/>
      <c r="H243" s="365"/>
      <c r="K243" s="365"/>
    </row>
    <row r="244" spans="1:12" ht="12">
      <c r="A244" s="280">
        <f t="shared" si="2"/>
        <v>19</v>
      </c>
      <c r="B244" s="47" t="s">
        <v>414</v>
      </c>
      <c r="C244" s="47" t="s">
        <v>415</v>
      </c>
      <c r="D244" s="280">
        <v>18</v>
      </c>
      <c r="E244" s="280"/>
      <c r="F244" s="303">
        <f>841.77</f>
        <v>841.77</v>
      </c>
      <c r="G244" s="302">
        <f>12119231.53</f>
        <v>12119231.53</v>
      </c>
      <c r="H244" s="303">
        <f>884.37</f>
        <v>884.37</v>
      </c>
      <c r="I244" s="302">
        <f>14140760.6</f>
        <v>14140760.6</v>
      </c>
      <c r="J244" s="302"/>
      <c r="K244" s="303">
        <f>919.76</f>
        <v>919.76</v>
      </c>
      <c r="L244" s="302">
        <f>14900025</f>
        <v>14900025</v>
      </c>
    </row>
    <row r="245" spans="1:12" ht="12">
      <c r="A245" s="280">
        <f t="shared" si="2"/>
        <v>20</v>
      </c>
      <c r="B245" s="47"/>
      <c r="C245" s="47" t="s">
        <v>416</v>
      </c>
      <c r="D245" s="280">
        <v>18</v>
      </c>
      <c r="E245" s="280"/>
      <c r="F245" s="303">
        <f>7258.63</f>
        <v>7258.63</v>
      </c>
      <c r="G245" s="302">
        <f>64617483.07</f>
        <v>64617483.07</v>
      </c>
      <c r="H245" s="303">
        <f>7405.23</f>
        <v>7405.23</v>
      </c>
      <c r="I245" s="302">
        <f>66113817.24</f>
        <v>66113817.24</v>
      </c>
      <c r="J245" s="302"/>
      <c r="K245" s="303">
        <f>7605.1</f>
        <v>7605.1</v>
      </c>
      <c r="L245" s="302">
        <f>74499110</f>
        <v>74499110</v>
      </c>
    </row>
    <row r="246" spans="1:12" ht="12">
      <c r="A246" s="280">
        <f t="shared" si="2"/>
        <v>21</v>
      </c>
      <c r="B246" s="47" t="s">
        <v>417</v>
      </c>
      <c r="C246" s="47" t="s">
        <v>418</v>
      </c>
      <c r="D246" s="280">
        <v>18</v>
      </c>
      <c r="E246" s="280"/>
      <c r="F246" s="303">
        <f>373.7</f>
        <v>373.7</v>
      </c>
      <c r="G246" s="302">
        <f>12583013.01</f>
        <v>12583013.01</v>
      </c>
      <c r="H246" s="303">
        <f>389.87</f>
        <v>389.87</v>
      </c>
      <c r="I246" s="302">
        <f>13588736.73</f>
        <v>13588736.73</v>
      </c>
      <c r="J246" s="302"/>
      <c r="K246" s="303">
        <f>396.47</f>
        <v>396.47</v>
      </c>
      <c r="L246" s="302">
        <f>14082737</f>
        <v>14082737</v>
      </c>
    </row>
    <row r="247" spans="1:12" ht="12">
      <c r="A247" s="280">
        <f t="shared" si="2"/>
        <v>22</v>
      </c>
      <c r="B247" s="48"/>
      <c r="C247" s="47" t="s">
        <v>419</v>
      </c>
      <c r="D247" s="280">
        <v>18</v>
      </c>
      <c r="E247" s="280"/>
      <c r="F247" s="303">
        <f>3763.4</f>
        <v>3763.4</v>
      </c>
      <c r="G247" s="302">
        <f>93495848.11</f>
        <v>93495848.11</v>
      </c>
      <c r="H247" s="303">
        <f>3781.1</f>
        <v>3781.1</v>
      </c>
      <c r="I247" s="302">
        <f>97447438.91</f>
        <v>97447438.91</v>
      </c>
      <c r="J247" s="302"/>
      <c r="K247" s="303">
        <f>3793.67</f>
        <v>3793.67</v>
      </c>
      <c r="L247" s="302">
        <f>103294395</f>
        <v>103294395</v>
      </c>
    </row>
    <row r="248" spans="1:12" ht="12">
      <c r="A248" s="280">
        <v>24</v>
      </c>
      <c r="B248" s="47" t="s">
        <v>423</v>
      </c>
      <c r="C248" s="48"/>
      <c r="D248" s="280">
        <v>24</v>
      </c>
      <c r="E248" s="280"/>
      <c r="F248" s="300">
        <f>SUM(F244:F247)</f>
        <v>12237.5</v>
      </c>
      <c r="G248" s="295">
        <f>SUM(G244:G247)</f>
        <v>182815575.72</v>
      </c>
      <c r="H248" s="300">
        <f>SUM(H244:H247)</f>
        <v>12460.570000000002</v>
      </c>
      <c r="I248" s="295">
        <f>SUM(I244:I247)</f>
        <v>191290753.48000002</v>
      </c>
      <c r="J248" s="295"/>
      <c r="K248" s="300">
        <f>SUM(K244:K247)</f>
        <v>12715</v>
      </c>
      <c r="L248" s="295">
        <f>SUM(L244:L247)</f>
        <v>206776267</v>
      </c>
    </row>
    <row r="249" spans="1:11" ht="12">
      <c r="A249" s="280">
        <v>26</v>
      </c>
      <c r="B249" s="47" t="s">
        <v>190</v>
      </c>
      <c r="C249" s="48"/>
      <c r="D249" s="280">
        <v>26</v>
      </c>
      <c r="E249" s="280"/>
      <c r="F249" s="365"/>
      <c r="H249" s="365"/>
      <c r="K249" s="365"/>
    </row>
    <row r="250" spans="1:12" ht="12">
      <c r="A250" s="280">
        <v>27</v>
      </c>
      <c r="B250" s="47" t="s">
        <v>414</v>
      </c>
      <c r="C250" s="47" t="s">
        <v>415</v>
      </c>
      <c r="D250" s="280">
        <v>27</v>
      </c>
      <c r="E250" s="280"/>
      <c r="F250" s="300">
        <f aca="true" t="shared" si="4" ref="F250:I253">SUM(F227,F233,F239,F244)</f>
        <v>1826.6399999999999</v>
      </c>
      <c r="G250" s="295">
        <f t="shared" si="4"/>
        <v>25990745.189999998</v>
      </c>
      <c r="H250" s="300">
        <f t="shared" si="4"/>
        <v>1894.1999999999998</v>
      </c>
      <c r="I250" s="295">
        <f t="shared" si="4"/>
        <v>29921571.04</v>
      </c>
      <c r="J250" s="295"/>
      <c r="K250" s="300">
        <f aca="true" t="shared" si="5" ref="K250:L253">SUM(K227,K233,K239,K244)</f>
        <v>1944</v>
      </c>
      <c r="L250" s="295">
        <f t="shared" si="5"/>
        <v>31649460</v>
      </c>
    </row>
    <row r="251" spans="1:12" ht="12">
      <c r="A251" s="280">
        <v>28</v>
      </c>
      <c r="B251" s="47"/>
      <c r="C251" s="47" t="s">
        <v>416</v>
      </c>
      <c r="D251" s="280">
        <v>28</v>
      </c>
      <c r="E251" s="280"/>
      <c r="F251" s="300">
        <f t="shared" si="4"/>
        <v>15917.029999999999</v>
      </c>
      <c r="G251" s="295">
        <f t="shared" si="4"/>
        <v>144190449.01</v>
      </c>
      <c r="H251" s="300">
        <f t="shared" si="4"/>
        <v>16272.929999999998</v>
      </c>
      <c r="I251" s="295">
        <f t="shared" si="4"/>
        <v>147368711.06</v>
      </c>
      <c r="J251" s="295"/>
      <c r="K251" s="300">
        <f t="shared" si="5"/>
        <v>16118</v>
      </c>
      <c r="L251" s="295">
        <f t="shared" si="5"/>
        <v>163570818</v>
      </c>
    </row>
    <row r="252" spans="1:12" ht="12">
      <c r="A252" s="280">
        <v>29</v>
      </c>
      <c r="B252" s="47" t="s">
        <v>417</v>
      </c>
      <c r="C252" s="47" t="s">
        <v>418</v>
      </c>
      <c r="D252" s="280">
        <v>29</v>
      </c>
      <c r="E252" s="280"/>
      <c r="F252" s="300">
        <f t="shared" si="4"/>
        <v>804.2</v>
      </c>
      <c r="G252" s="295">
        <f t="shared" si="4"/>
        <v>26949376.37</v>
      </c>
      <c r="H252" s="300">
        <f t="shared" si="4"/>
        <v>846.31</v>
      </c>
      <c r="I252" s="295">
        <f t="shared" si="4"/>
        <v>29072072.21</v>
      </c>
      <c r="J252" s="295"/>
      <c r="K252" s="300">
        <f t="shared" si="5"/>
        <v>915</v>
      </c>
      <c r="L252" s="295">
        <f t="shared" si="5"/>
        <v>29732110</v>
      </c>
    </row>
    <row r="253" spans="1:12" ht="12">
      <c r="A253" s="280">
        <v>30</v>
      </c>
      <c r="B253" s="48"/>
      <c r="C253" s="47" t="s">
        <v>419</v>
      </c>
      <c r="D253" s="280">
        <v>30</v>
      </c>
      <c r="E253" s="280"/>
      <c r="F253" s="300">
        <f t="shared" si="4"/>
        <v>8267.2</v>
      </c>
      <c r="G253" s="295">
        <f t="shared" si="4"/>
        <v>206173226.3</v>
      </c>
      <c r="H253" s="300">
        <f t="shared" si="4"/>
        <v>8308.5</v>
      </c>
      <c r="I253" s="295">
        <f t="shared" si="4"/>
        <v>215461047.95999998</v>
      </c>
      <c r="J253" s="295"/>
      <c r="K253" s="300">
        <f t="shared" si="5"/>
        <v>8295.01</v>
      </c>
      <c r="L253" s="295">
        <f t="shared" si="5"/>
        <v>228399610</v>
      </c>
    </row>
    <row r="254" spans="1:12" ht="12">
      <c r="A254" s="280">
        <v>31</v>
      </c>
      <c r="D254" s="280">
        <v>31</v>
      </c>
      <c r="E254" s="280"/>
      <c r="F254" s="300"/>
      <c r="G254" s="295"/>
      <c r="H254" s="300"/>
      <c r="I254" s="295"/>
      <c r="J254" s="295"/>
      <c r="K254" s="300"/>
      <c r="L254" s="295"/>
    </row>
    <row r="255" spans="1:12" ht="12">
      <c r="A255" s="280">
        <v>32</v>
      </c>
      <c r="B255" s="297" t="s">
        <v>191</v>
      </c>
      <c r="D255" s="280">
        <v>32</v>
      </c>
      <c r="E255" s="280"/>
      <c r="F255" s="300">
        <f>SUM(F250,F251)</f>
        <v>17743.67</v>
      </c>
      <c r="G255" s="295">
        <f>SUM(G250,G251)</f>
        <v>170181194.2</v>
      </c>
      <c r="H255" s="300">
        <f>SUM(H250,H251)</f>
        <v>18167.129999999997</v>
      </c>
      <c r="I255" s="295">
        <f>SUM(I250,I251)</f>
        <v>177290282.1</v>
      </c>
      <c r="J255" s="295"/>
      <c r="K255" s="300">
        <f>K250+K251</f>
        <v>18062</v>
      </c>
      <c r="L255" s="295">
        <f>L250+L251</f>
        <v>195220278</v>
      </c>
    </row>
    <row r="256" spans="1:12" ht="12">
      <c r="A256" s="280">
        <v>33</v>
      </c>
      <c r="B256" s="297" t="s">
        <v>192</v>
      </c>
      <c r="D256" s="280">
        <v>33</v>
      </c>
      <c r="E256" s="280"/>
      <c r="F256" s="300">
        <f>SUM(F252,F253)</f>
        <v>9071.400000000001</v>
      </c>
      <c r="G256" s="295">
        <f>SUM(G252,G253)</f>
        <v>233122602.67000002</v>
      </c>
      <c r="H256" s="300">
        <f>SUM(H252,H253)</f>
        <v>9154.81</v>
      </c>
      <c r="I256" s="295">
        <f>SUM(I252,I253)</f>
        <v>244533120.17</v>
      </c>
      <c r="J256" s="295"/>
      <c r="K256" s="300">
        <f>K252+K253</f>
        <v>9210.01</v>
      </c>
      <c r="L256" s="295">
        <f>L252+L253</f>
        <v>258131720</v>
      </c>
    </row>
    <row r="257" spans="1:12" ht="12">
      <c r="A257" s="280">
        <v>34</v>
      </c>
      <c r="B257" s="297" t="s">
        <v>193</v>
      </c>
      <c r="D257" s="280">
        <v>34</v>
      </c>
      <c r="E257" s="280"/>
      <c r="F257" s="300">
        <f aca="true" t="shared" si="6" ref="F257:I258">SUM(F250,F252)</f>
        <v>2630.84</v>
      </c>
      <c r="G257" s="295">
        <f t="shared" si="6"/>
        <v>52940121.56</v>
      </c>
      <c r="H257" s="300">
        <f t="shared" si="6"/>
        <v>2740.5099999999998</v>
      </c>
      <c r="I257" s="295">
        <f t="shared" si="6"/>
        <v>58993643.25</v>
      </c>
      <c r="J257" s="295"/>
      <c r="K257" s="300">
        <f>K250+K252</f>
        <v>2859</v>
      </c>
      <c r="L257" s="295">
        <f>L250+L252</f>
        <v>61381570</v>
      </c>
    </row>
    <row r="258" spans="1:12" ht="12">
      <c r="A258" s="280">
        <v>35</v>
      </c>
      <c r="B258" s="297" t="s">
        <v>194</v>
      </c>
      <c r="D258" s="280">
        <v>35</v>
      </c>
      <c r="E258" s="280"/>
      <c r="F258" s="300">
        <f t="shared" si="6"/>
        <v>24184.23</v>
      </c>
      <c r="G258" s="295">
        <f t="shared" si="6"/>
        <v>350363675.31</v>
      </c>
      <c r="H258" s="300">
        <f t="shared" si="6"/>
        <v>24581.43</v>
      </c>
      <c r="I258" s="295">
        <f t="shared" si="6"/>
        <v>362829759.02</v>
      </c>
      <c r="J258" s="295"/>
      <c r="K258" s="300">
        <f>K251+K253</f>
        <v>24413.010000000002</v>
      </c>
      <c r="L258" s="295">
        <f>L251+L253</f>
        <v>391970428</v>
      </c>
    </row>
    <row r="259" spans="6:12" ht="12">
      <c r="F259" s="252" t="s">
        <v>1</v>
      </c>
      <c r="G259" s="271" t="s">
        <v>1</v>
      </c>
      <c r="H259" s="298" t="s">
        <v>1</v>
      </c>
      <c r="I259" s="270" t="s">
        <v>1</v>
      </c>
      <c r="J259" s="270"/>
      <c r="K259" s="298" t="s">
        <v>1</v>
      </c>
      <c r="L259" s="270" t="s">
        <v>1</v>
      </c>
    </row>
    <row r="260" spans="1:12" ht="12">
      <c r="A260" s="280">
        <v>36</v>
      </c>
      <c r="B260" s="5" t="s">
        <v>195</v>
      </c>
      <c r="D260" s="280">
        <v>36</v>
      </c>
      <c r="E260" s="280"/>
      <c r="F260" s="300">
        <f>SUM(F257:F258)</f>
        <v>26815.07</v>
      </c>
      <c r="G260" s="295">
        <f>SUM(G257:G258)</f>
        <v>403303796.87</v>
      </c>
      <c r="H260" s="300">
        <f>SUM(H257:H258)</f>
        <v>27321.94</v>
      </c>
      <c r="I260" s="295">
        <f>SUM(I257:I258)</f>
        <v>421823402.27</v>
      </c>
      <c r="J260" s="295"/>
      <c r="K260" s="300">
        <f>SUM(K250:K253)</f>
        <v>27272.010000000002</v>
      </c>
      <c r="L260" s="295">
        <f>SUM(L250:L253)</f>
        <v>453351998</v>
      </c>
    </row>
    <row r="261" spans="2:12" ht="12">
      <c r="B261" s="297" t="s">
        <v>196</v>
      </c>
      <c r="F261" s="252" t="s">
        <v>1</v>
      </c>
      <c r="G261" s="252" t="s">
        <v>1</v>
      </c>
      <c r="H261" s="298" t="s">
        <v>1</v>
      </c>
      <c r="I261" s="298" t="s">
        <v>1</v>
      </c>
      <c r="J261" s="298"/>
      <c r="K261" s="298" t="s">
        <v>1</v>
      </c>
      <c r="L261" s="298" t="s">
        <v>1</v>
      </c>
    </row>
    <row r="262" spans="1:12" ht="12">
      <c r="A262" s="364"/>
      <c r="B262" s="364" t="s">
        <v>628</v>
      </c>
      <c r="C262" s="364"/>
      <c r="D262" s="364"/>
      <c r="E262" s="364"/>
      <c r="F262" s="363"/>
      <c r="G262" s="362">
        <f>53894617.88+1664421.01</f>
        <v>55559038.89</v>
      </c>
      <c r="H262" s="363"/>
      <c r="I262" s="362">
        <f>60604137.29+1917163.75</f>
        <v>62521301.04</v>
      </c>
      <c r="J262" s="362"/>
      <c r="K262" s="363"/>
      <c r="L262" s="362">
        <f>70015262</f>
        <v>70015262</v>
      </c>
    </row>
    <row r="263" spans="1:12" ht="12">
      <c r="A263" s="292" t="s">
        <v>106</v>
      </c>
      <c r="D263" s="299"/>
      <c r="E263" s="299"/>
      <c r="F263" s="296"/>
      <c r="G263" s="295"/>
      <c r="H263" s="296"/>
      <c r="I263" s="295"/>
      <c r="J263" s="295"/>
      <c r="K263" s="296"/>
      <c r="L263" s="294" t="s">
        <v>197</v>
      </c>
    </row>
    <row r="264" spans="1:12" ht="12">
      <c r="A264" s="466" t="s">
        <v>198</v>
      </c>
      <c r="B264" s="466"/>
      <c r="C264" s="466"/>
      <c r="D264" s="466"/>
      <c r="E264" s="466"/>
      <c r="F264" s="466"/>
      <c r="G264" s="466"/>
      <c r="H264" s="466"/>
      <c r="I264" s="466"/>
      <c r="J264" s="466"/>
      <c r="K264" s="466"/>
      <c r="L264" s="466"/>
    </row>
    <row r="265" spans="1:12" ht="12">
      <c r="A265" s="292" t="s">
        <v>78</v>
      </c>
      <c r="F265" s="343"/>
      <c r="G265" s="342"/>
      <c r="H265" s="342"/>
      <c r="I265" s="341"/>
      <c r="J265" s="341"/>
      <c r="K265" s="296"/>
      <c r="L265" s="291" t="s">
        <v>79</v>
      </c>
    </row>
    <row r="266" spans="1:12" ht="12">
      <c r="A266" s="283" t="s">
        <v>1</v>
      </c>
      <c r="B266" s="283" t="s">
        <v>1</v>
      </c>
      <c r="C266" s="283" t="s">
        <v>1</v>
      </c>
      <c r="D266" s="283" t="s">
        <v>1</v>
      </c>
      <c r="E266" s="283"/>
      <c r="F266" s="283" t="s">
        <v>1</v>
      </c>
      <c r="G266" s="283" t="s">
        <v>1</v>
      </c>
      <c r="H266" s="283" t="s">
        <v>1</v>
      </c>
      <c r="I266" s="283" t="s">
        <v>1</v>
      </c>
      <c r="J266" s="283"/>
      <c r="K266" s="283" t="s">
        <v>1</v>
      </c>
      <c r="L266" s="283" t="s">
        <v>1</v>
      </c>
    </row>
    <row r="267" spans="1:12" ht="12">
      <c r="A267" s="289" t="s">
        <v>2</v>
      </c>
      <c r="D267" s="289" t="s">
        <v>2</v>
      </c>
      <c r="E267" s="289"/>
      <c r="F267" s="274"/>
      <c r="G267" s="285" t="s">
        <v>62</v>
      </c>
      <c r="H267" s="308"/>
      <c r="I267" s="285" t="s">
        <v>65</v>
      </c>
      <c r="J267" s="285"/>
      <c r="K267" s="308"/>
      <c r="L267" s="285" t="s">
        <v>70</v>
      </c>
    </row>
    <row r="268" spans="1:12" ht="12">
      <c r="A268" s="289" t="s">
        <v>4</v>
      </c>
      <c r="B268" s="307" t="s">
        <v>18</v>
      </c>
      <c r="D268" s="289" t="s">
        <v>4</v>
      </c>
      <c r="E268" s="289"/>
      <c r="F268" s="33"/>
      <c r="G268" s="285" t="s">
        <v>7</v>
      </c>
      <c r="H268" s="33"/>
      <c r="I268" s="285" t="s">
        <v>7</v>
      </c>
      <c r="J268" s="285"/>
      <c r="K268" s="33"/>
      <c r="L268" s="285" t="s">
        <v>8</v>
      </c>
    </row>
    <row r="269" spans="1:12" ht="12">
      <c r="A269" s="283" t="s">
        <v>1</v>
      </c>
      <c r="B269" s="283" t="s">
        <v>1</v>
      </c>
      <c r="C269" s="283" t="s">
        <v>1</v>
      </c>
      <c r="D269" s="283" t="s">
        <v>1</v>
      </c>
      <c r="E269" s="283"/>
      <c r="F269" s="14" t="s">
        <v>1</v>
      </c>
      <c r="G269" s="14" t="s">
        <v>1</v>
      </c>
      <c r="H269" s="14" t="s">
        <v>1</v>
      </c>
      <c r="I269" s="14" t="s">
        <v>1</v>
      </c>
      <c r="J269" s="14"/>
      <c r="K269" s="14" t="s">
        <v>1</v>
      </c>
      <c r="L269" s="271" t="s">
        <v>1</v>
      </c>
    </row>
    <row r="270" spans="1:12" ht="12">
      <c r="A270" s="301">
        <v>1</v>
      </c>
      <c r="B270" s="4" t="s">
        <v>199</v>
      </c>
      <c r="C270" s="5"/>
      <c r="D270" s="301">
        <v>1</v>
      </c>
      <c r="E270" s="301"/>
      <c r="F270" s="308"/>
      <c r="G270" s="274">
        <f>22337843</f>
        <v>22337843</v>
      </c>
      <c r="H270" s="308"/>
      <c r="I270" s="274">
        <f>50830263</f>
        <v>50830263</v>
      </c>
      <c r="J270" s="274"/>
      <c r="K270" s="308"/>
      <c r="L270" s="274">
        <f>15474002</f>
        <v>15474002</v>
      </c>
    </row>
    <row r="271" spans="1:12" ht="12">
      <c r="A271" s="301">
        <f aca="true" t="shared" si="7" ref="A271:A277">(A270+1)</f>
        <v>2</v>
      </c>
      <c r="B271" s="4" t="s">
        <v>200</v>
      </c>
      <c r="D271" s="301">
        <f aca="true" t="shared" si="8" ref="D271:D277">(D270+1)</f>
        <v>2</v>
      </c>
      <c r="E271" s="301"/>
      <c r="F271" s="308"/>
      <c r="G271" s="304">
        <f>3045414.48</f>
        <v>3045414.48</v>
      </c>
      <c r="H271" s="337"/>
      <c r="I271" s="304">
        <f>2594763.77</f>
        <v>2594763.77</v>
      </c>
      <c r="J271" s="304"/>
      <c r="K271" s="337"/>
      <c r="L271" s="304">
        <f>2544379</f>
        <v>2544379</v>
      </c>
    </row>
    <row r="272" spans="1:12" ht="12">
      <c r="A272" s="301">
        <f t="shared" si="7"/>
        <v>3</v>
      </c>
      <c r="B272" s="318" t="s">
        <v>201</v>
      </c>
      <c r="D272" s="301">
        <f t="shared" si="8"/>
        <v>3</v>
      </c>
      <c r="E272" s="301"/>
      <c r="F272" s="308"/>
      <c r="G272" s="304">
        <f>3663345.8</f>
        <v>3663345.8</v>
      </c>
      <c r="H272" s="337"/>
      <c r="I272" s="304">
        <f>4884513.57</f>
        <v>4884513.57</v>
      </c>
      <c r="J272" s="304"/>
      <c r="K272" s="337"/>
      <c r="L272" s="304">
        <f>5144621-296971</f>
        <v>4847650</v>
      </c>
    </row>
    <row r="273" spans="1:12" ht="12">
      <c r="A273" s="301">
        <f t="shared" si="7"/>
        <v>4</v>
      </c>
      <c r="B273" s="269" t="s">
        <v>202</v>
      </c>
      <c r="C273" s="311"/>
      <c r="D273" s="301">
        <f t="shared" si="8"/>
        <v>4</v>
      </c>
      <c r="E273" s="301"/>
      <c r="F273" s="308"/>
      <c r="G273" s="279">
        <f>5276074.02</f>
        <v>5276074.02</v>
      </c>
      <c r="I273" s="279">
        <f>5401138.63</f>
        <v>5401138.63</v>
      </c>
      <c r="J273" s="279"/>
      <c r="K273" s="337"/>
      <c r="L273" s="304">
        <f>5308560</f>
        <v>5308560</v>
      </c>
    </row>
    <row r="274" spans="1:12" ht="12">
      <c r="A274" s="301">
        <f t="shared" si="7"/>
        <v>5</v>
      </c>
      <c r="D274" s="301">
        <f t="shared" si="8"/>
        <v>5</v>
      </c>
      <c r="E274" s="301"/>
      <c r="F274" s="308"/>
      <c r="G274" s="304"/>
      <c r="H274" s="337"/>
      <c r="I274" s="304"/>
      <c r="J274" s="304"/>
      <c r="K274" s="337"/>
      <c r="L274" s="304"/>
    </row>
    <row r="275" spans="1:12" ht="12">
      <c r="A275" s="301">
        <f t="shared" si="7"/>
        <v>6</v>
      </c>
      <c r="D275" s="301">
        <f t="shared" si="8"/>
        <v>6</v>
      </c>
      <c r="E275" s="301"/>
      <c r="F275" s="308"/>
      <c r="G275" s="304"/>
      <c r="H275" s="337"/>
      <c r="I275" s="304"/>
      <c r="J275" s="304"/>
      <c r="K275" s="337"/>
      <c r="L275" s="304"/>
    </row>
    <row r="276" spans="1:12" ht="12">
      <c r="A276" s="301">
        <f t="shared" si="7"/>
        <v>7</v>
      </c>
      <c r="D276" s="301">
        <f t="shared" si="8"/>
        <v>7</v>
      </c>
      <c r="E276" s="301"/>
      <c r="F276" s="308"/>
      <c r="G276" s="279"/>
      <c r="I276" s="279"/>
      <c r="J276" s="279"/>
      <c r="K276" s="337"/>
      <c r="L276" s="304"/>
    </row>
    <row r="277" spans="1:12" ht="12">
      <c r="A277" s="301">
        <f t="shared" si="7"/>
        <v>8</v>
      </c>
      <c r="D277" s="301">
        <f t="shared" si="8"/>
        <v>8</v>
      </c>
      <c r="E277" s="301"/>
      <c r="F277" s="308"/>
      <c r="G277" s="279"/>
      <c r="H277" s="337"/>
      <c r="I277" s="304"/>
      <c r="J277" s="304"/>
      <c r="K277" s="337"/>
      <c r="L277" s="304"/>
    </row>
    <row r="278" spans="1:12" ht="12">
      <c r="A278" s="301"/>
      <c r="D278" s="301"/>
      <c r="E278" s="301"/>
      <c r="F278" s="252" t="s">
        <v>1</v>
      </c>
      <c r="G278" s="252" t="s">
        <v>1</v>
      </c>
      <c r="H278" s="252" t="s">
        <v>1</v>
      </c>
      <c r="I278" s="252" t="s">
        <v>1</v>
      </c>
      <c r="J278" s="252"/>
      <c r="K278" s="252" t="s">
        <v>1</v>
      </c>
      <c r="L278" s="252" t="s">
        <v>1</v>
      </c>
    </row>
    <row r="279" spans="1:12" ht="12">
      <c r="A279" s="359">
        <v>9</v>
      </c>
      <c r="B279" s="5" t="s">
        <v>203</v>
      </c>
      <c r="C279" s="5"/>
      <c r="D279" s="359">
        <v>9</v>
      </c>
      <c r="E279" s="359"/>
      <c r="F279" s="308"/>
      <c r="G279" s="304">
        <f>SUM(G270:G278)</f>
        <v>34322677.3</v>
      </c>
      <c r="H279" s="337"/>
      <c r="I279" s="304">
        <f>SUM(I270:I278)</f>
        <v>63710678.970000006</v>
      </c>
      <c r="J279" s="304"/>
      <c r="K279" s="337"/>
      <c r="L279" s="304">
        <f>SUM(L270:L278)</f>
        <v>28174591</v>
      </c>
    </row>
    <row r="280" spans="1:12" ht="12">
      <c r="A280" s="359"/>
      <c r="B280" s="5"/>
      <c r="C280" s="5"/>
      <c r="D280" s="359"/>
      <c r="E280" s="359"/>
      <c r="F280" s="252" t="s">
        <v>1</v>
      </c>
      <c r="G280" s="252" t="s">
        <v>1</v>
      </c>
      <c r="H280" s="252" t="s">
        <v>1</v>
      </c>
      <c r="I280" s="252" t="s">
        <v>1</v>
      </c>
      <c r="J280" s="252"/>
      <c r="K280" s="252" t="s">
        <v>1</v>
      </c>
      <c r="L280" s="252" t="s">
        <v>1</v>
      </c>
    </row>
    <row r="281" spans="1:12" ht="12">
      <c r="A281" s="359">
        <v>10</v>
      </c>
      <c r="B281" s="259"/>
      <c r="C281" s="5"/>
      <c r="D281" s="359">
        <v>10</v>
      </c>
      <c r="E281" s="359"/>
      <c r="F281" s="308"/>
      <c r="G281" s="304"/>
      <c r="H281" s="337"/>
      <c r="I281" s="304"/>
      <c r="J281" s="304"/>
      <c r="K281" s="337"/>
      <c r="L281" s="304"/>
    </row>
    <row r="282" spans="1:12" ht="12">
      <c r="A282" s="359">
        <v>11</v>
      </c>
      <c r="B282" s="259"/>
      <c r="C282" s="5"/>
      <c r="D282" s="359">
        <v>11</v>
      </c>
      <c r="E282" s="359"/>
      <c r="F282" s="308"/>
      <c r="G282" s="274"/>
      <c r="H282" s="308"/>
      <c r="I282" s="274"/>
      <c r="J282" s="274"/>
      <c r="K282" s="308"/>
      <c r="L282" s="274"/>
    </row>
    <row r="283" spans="1:12" ht="12">
      <c r="A283" s="359">
        <v>12</v>
      </c>
      <c r="B283" s="259" t="s">
        <v>204</v>
      </c>
      <c r="C283" s="361"/>
      <c r="D283" s="359">
        <v>12</v>
      </c>
      <c r="E283" s="359"/>
      <c r="F283" s="308"/>
      <c r="H283" s="308"/>
      <c r="I283" s="274"/>
      <c r="J283" s="274"/>
      <c r="K283" s="308"/>
      <c r="L283" s="274"/>
    </row>
    <row r="284" spans="1:12" ht="12">
      <c r="A284" s="359">
        <v>13</v>
      </c>
      <c r="B284" s="5"/>
      <c r="C284" s="5"/>
      <c r="D284" s="359">
        <v>13</v>
      </c>
      <c r="E284" s="359"/>
      <c r="F284" s="308"/>
      <c r="G284" s="274"/>
      <c r="H284" s="308"/>
      <c r="I284" s="274"/>
      <c r="J284" s="274"/>
      <c r="K284" s="308"/>
      <c r="L284" s="274"/>
    </row>
    <row r="285" spans="1:12" ht="12">
      <c r="A285" s="5"/>
      <c r="B285" s="5"/>
      <c r="C285" s="5"/>
      <c r="D285" s="5"/>
      <c r="E285" s="5"/>
      <c r="F285" s="252" t="s">
        <v>1</v>
      </c>
      <c r="G285" s="252" t="s">
        <v>1</v>
      </c>
      <c r="H285" s="252" t="s">
        <v>1</v>
      </c>
      <c r="I285" s="252" t="s">
        <v>1</v>
      </c>
      <c r="J285" s="252"/>
      <c r="K285" s="252" t="s">
        <v>1</v>
      </c>
      <c r="L285" s="252" t="s">
        <v>1</v>
      </c>
    </row>
    <row r="286" spans="1:12" ht="12">
      <c r="A286" s="359">
        <v>14</v>
      </c>
      <c r="B286" s="5" t="s">
        <v>205</v>
      </c>
      <c r="C286" s="5"/>
      <c r="D286" s="359">
        <v>14</v>
      </c>
      <c r="E286" s="359"/>
      <c r="F286" s="308"/>
      <c r="G286" s="274">
        <f>SUM(G281:G284)</f>
        <v>0</v>
      </c>
      <c r="H286" s="308"/>
      <c r="I286" s="274">
        <f>SUM(I281:I284)</f>
        <v>0</v>
      </c>
      <c r="J286" s="274"/>
      <c r="K286" s="308"/>
      <c r="L286" s="274">
        <f>SUM(L281:L284)</f>
        <v>0</v>
      </c>
    </row>
    <row r="287" spans="1:12" ht="12">
      <c r="A287" s="359"/>
      <c r="B287" s="5"/>
      <c r="C287" s="5"/>
      <c r="D287" s="359"/>
      <c r="E287" s="359"/>
      <c r="F287" s="252" t="s">
        <v>1</v>
      </c>
      <c r="G287" s="252" t="s">
        <v>1</v>
      </c>
      <c r="H287" s="252" t="s">
        <v>1</v>
      </c>
      <c r="I287" s="252" t="s">
        <v>1</v>
      </c>
      <c r="J287" s="252"/>
      <c r="K287" s="252" t="s">
        <v>1</v>
      </c>
      <c r="L287" s="252" t="s">
        <v>1</v>
      </c>
    </row>
    <row r="288" spans="1:12" ht="12">
      <c r="A288" s="359">
        <v>15</v>
      </c>
      <c r="B288" s="259" t="s">
        <v>206</v>
      </c>
      <c r="C288" s="255"/>
      <c r="D288" s="359">
        <v>15</v>
      </c>
      <c r="E288" s="359"/>
      <c r="F288" s="308"/>
      <c r="G288" s="274">
        <f>SUM(G279,G286)</f>
        <v>34322677.3</v>
      </c>
      <c r="H288" s="308"/>
      <c r="I288" s="274">
        <f>SUM(I279,I286)</f>
        <v>63710678.970000006</v>
      </c>
      <c r="J288" s="274"/>
      <c r="K288" s="308"/>
      <c r="L288" s="274">
        <f>SUM(L279,L286)</f>
        <v>28174591</v>
      </c>
    </row>
    <row r="289" spans="1:12" ht="12">
      <c r="A289" s="359"/>
      <c r="B289" s="259"/>
      <c r="C289" s="255"/>
      <c r="D289" s="359"/>
      <c r="E289" s="359"/>
      <c r="F289" s="308"/>
      <c r="G289" s="274"/>
      <c r="H289" s="308"/>
      <c r="I289" s="274"/>
      <c r="J289" s="274"/>
      <c r="K289" s="308"/>
      <c r="L289" s="274"/>
    </row>
    <row r="290" spans="1:12" ht="12">
      <c r="A290" s="359"/>
      <c r="B290" s="5"/>
      <c r="C290" s="5"/>
      <c r="D290" s="359"/>
      <c r="E290" s="359"/>
      <c r="F290" s="308"/>
      <c r="G290" s="274"/>
      <c r="H290" s="308"/>
      <c r="I290" s="274"/>
      <c r="J290" s="274"/>
      <c r="K290" s="308"/>
      <c r="L290" s="274"/>
    </row>
    <row r="291" spans="1:12" ht="12">
      <c r="A291" s="359">
        <v>16</v>
      </c>
      <c r="B291" s="259" t="s">
        <v>207</v>
      </c>
      <c r="C291" s="5"/>
      <c r="D291" s="359">
        <v>16</v>
      </c>
      <c r="E291" s="359"/>
      <c r="F291" s="308"/>
      <c r="G291" s="304">
        <f>-4793269</f>
        <v>-4793269</v>
      </c>
      <c r="H291" s="337"/>
      <c r="I291" s="304">
        <f>-3750772</f>
        <v>-3750772</v>
      </c>
      <c r="J291" s="304"/>
      <c r="K291" s="304"/>
      <c r="L291" s="304">
        <v>0</v>
      </c>
    </row>
    <row r="292" spans="1:12" ht="12">
      <c r="A292" s="359">
        <v>17</v>
      </c>
      <c r="B292" s="4" t="s">
        <v>0</v>
      </c>
      <c r="C292" s="5"/>
      <c r="D292" s="359">
        <v>17</v>
      </c>
      <c r="E292" s="359"/>
      <c r="F292" s="5"/>
      <c r="G292" s="304"/>
      <c r="H292" s="20"/>
      <c r="I292" s="304"/>
      <c r="J292" s="304"/>
      <c r="K292" s="304"/>
      <c r="L292" s="304"/>
    </row>
    <row r="293" spans="1:12" ht="12">
      <c r="A293" s="359">
        <v>18</v>
      </c>
      <c r="B293" s="5"/>
      <c r="C293" s="5"/>
      <c r="D293" s="359">
        <v>18</v>
      </c>
      <c r="E293" s="359"/>
      <c r="F293" s="5"/>
      <c r="G293" s="5"/>
      <c r="H293" s="5"/>
      <c r="I293" s="5"/>
      <c r="J293" s="5"/>
      <c r="K293" s="5"/>
      <c r="L293" s="5"/>
    </row>
    <row r="294" spans="1:12" ht="12">
      <c r="A294" s="301">
        <v>19</v>
      </c>
      <c r="D294" s="301">
        <v>19</v>
      </c>
      <c r="E294" s="301"/>
      <c r="F294" s="5"/>
      <c r="G294" s="5"/>
      <c r="H294" s="5"/>
      <c r="I294" s="5"/>
      <c r="J294" s="5"/>
      <c r="K294" s="5"/>
      <c r="L294" s="5"/>
    </row>
    <row r="295" spans="1:12" ht="12">
      <c r="A295" s="301"/>
      <c r="B295" s="259"/>
      <c r="C295" s="5"/>
      <c r="D295" s="301"/>
      <c r="E295" s="301"/>
      <c r="F295" s="252" t="s">
        <v>1</v>
      </c>
      <c r="G295" s="252" t="s">
        <v>1</v>
      </c>
      <c r="H295" s="252" t="s">
        <v>1</v>
      </c>
      <c r="I295" s="252" t="s">
        <v>1</v>
      </c>
      <c r="J295" s="252"/>
      <c r="K295" s="252" t="s">
        <v>1</v>
      </c>
      <c r="L295" s="252" t="s">
        <v>1</v>
      </c>
    </row>
    <row r="296" spans="1:12" ht="12">
      <c r="A296" s="301">
        <v>20</v>
      </c>
      <c r="B296" s="259" t="s">
        <v>208</v>
      </c>
      <c r="C296" s="5"/>
      <c r="D296" s="301">
        <v>20</v>
      </c>
      <c r="E296" s="301"/>
      <c r="F296" s="308"/>
      <c r="G296" s="274">
        <f>SUM(G288+G291)</f>
        <v>29529408.299999997</v>
      </c>
      <c r="H296" s="308"/>
      <c r="I296" s="274">
        <f>SUM(I288+I291)</f>
        <v>59959906.970000006</v>
      </c>
      <c r="J296" s="274"/>
      <c r="K296" s="308"/>
      <c r="L296" s="274">
        <f>SUM(L288+L291)</f>
        <v>28174591</v>
      </c>
    </row>
    <row r="297" spans="1:12" ht="12">
      <c r="A297" s="305"/>
      <c r="B297" s="297"/>
      <c r="D297" s="299"/>
      <c r="E297" s="299"/>
      <c r="F297" s="252" t="s">
        <v>1</v>
      </c>
      <c r="G297" s="252" t="s">
        <v>1</v>
      </c>
      <c r="H297" s="252" t="s">
        <v>1</v>
      </c>
      <c r="I297" s="252" t="s">
        <v>1</v>
      </c>
      <c r="J297" s="252"/>
      <c r="K297" s="252" t="s">
        <v>1</v>
      </c>
      <c r="L297" s="252" t="s">
        <v>1</v>
      </c>
    </row>
    <row r="298" spans="1:12" ht="12">
      <c r="A298" s="292" t="s">
        <v>106</v>
      </c>
      <c r="D298" s="299"/>
      <c r="E298" s="299"/>
      <c r="F298" s="296"/>
      <c r="G298" s="295"/>
      <c r="H298" s="296"/>
      <c r="I298" s="295"/>
      <c r="J298" s="295"/>
      <c r="K298" s="296"/>
      <c r="L298" s="294" t="s">
        <v>209</v>
      </c>
    </row>
    <row r="299" spans="1:12" ht="12">
      <c r="A299" s="466" t="s">
        <v>210</v>
      </c>
      <c r="B299" s="466"/>
      <c r="C299" s="466"/>
      <c r="D299" s="466"/>
      <c r="E299" s="466"/>
      <c r="F299" s="466"/>
      <c r="G299" s="466"/>
      <c r="H299" s="466"/>
      <c r="I299" s="466"/>
      <c r="J299" s="466"/>
      <c r="K299" s="466"/>
      <c r="L299" s="466"/>
    </row>
    <row r="300" spans="1:12" ht="12">
      <c r="A300" s="292" t="s">
        <v>78</v>
      </c>
      <c r="F300" s="343"/>
      <c r="G300" s="342"/>
      <c r="H300" s="342"/>
      <c r="I300" s="295"/>
      <c r="J300" s="295"/>
      <c r="K300" s="296"/>
      <c r="L300" s="291" t="s">
        <v>79</v>
      </c>
    </row>
    <row r="301" spans="1:12" ht="12">
      <c r="A301" s="283" t="s">
        <v>1</v>
      </c>
      <c r="B301" s="283" t="s">
        <v>1</v>
      </c>
      <c r="C301" s="283" t="s">
        <v>1</v>
      </c>
      <c r="D301" s="283" t="s">
        <v>1</v>
      </c>
      <c r="E301" s="283"/>
      <c r="F301" s="283" t="s">
        <v>1</v>
      </c>
      <c r="G301" s="283" t="s">
        <v>1</v>
      </c>
      <c r="H301" s="283" t="s">
        <v>1</v>
      </c>
      <c r="I301" s="283" t="s">
        <v>1</v>
      </c>
      <c r="J301" s="283"/>
      <c r="K301" s="283" t="s">
        <v>1</v>
      </c>
      <c r="L301" s="283" t="s">
        <v>1</v>
      </c>
    </row>
    <row r="302" spans="1:12" ht="12">
      <c r="A302" s="289" t="s">
        <v>2</v>
      </c>
      <c r="D302" s="289" t="s">
        <v>2</v>
      </c>
      <c r="E302" s="289"/>
      <c r="F302" s="274"/>
      <c r="G302" s="285" t="s">
        <v>62</v>
      </c>
      <c r="H302" s="308"/>
      <c r="I302" s="285" t="s">
        <v>65</v>
      </c>
      <c r="J302" s="285"/>
      <c r="K302" s="308"/>
      <c r="L302" s="285" t="s">
        <v>70</v>
      </c>
    </row>
    <row r="303" spans="1:12" ht="12">
      <c r="A303" s="289" t="s">
        <v>4</v>
      </c>
      <c r="B303" s="307" t="s">
        <v>18</v>
      </c>
      <c r="D303" s="289" t="s">
        <v>4</v>
      </c>
      <c r="E303" s="289"/>
      <c r="F303" s="33"/>
      <c r="G303" s="285" t="s">
        <v>7</v>
      </c>
      <c r="H303" s="33"/>
      <c r="I303" s="285" t="s">
        <v>7</v>
      </c>
      <c r="J303" s="285"/>
      <c r="K303" s="33"/>
      <c r="L303" s="285" t="s">
        <v>8</v>
      </c>
    </row>
    <row r="304" spans="1:12" ht="12">
      <c r="A304" s="283" t="s">
        <v>1</v>
      </c>
      <c r="B304" s="283" t="s">
        <v>1</v>
      </c>
      <c r="C304" s="283" t="s">
        <v>1</v>
      </c>
      <c r="D304" s="283" t="s">
        <v>1</v>
      </c>
      <c r="E304" s="283"/>
      <c r="F304" s="14" t="s">
        <v>1</v>
      </c>
      <c r="G304" s="14" t="s">
        <v>1</v>
      </c>
      <c r="H304" s="14" t="s">
        <v>1</v>
      </c>
      <c r="I304" s="14" t="s">
        <v>1</v>
      </c>
      <c r="J304" s="14"/>
      <c r="K304" s="14" t="s">
        <v>1</v>
      </c>
      <c r="L304" s="271" t="s">
        <v>1</v>
      </c>
    </row>
    <row r="305" spans="1:12" ht="12">
      <c r="A305" s="359">
        <v>1</v>
      </c>
      <c r="B305" s="4" t="s">
        <v>211</v>
      </c>
      <c r="C305" s="5"/>
      <c r="D305" s="359">
        <v>1</v>
      </c>
      <c r="E305" s="359"/>
      <c r="F305" s="308"/>
      <c r="G305" s="274"/>
      <c r="H305" s="308"/>
      <c r="I305" s="274"/>
      <c r="J305" s="274"/>
      <c r="K305" s="308"/>
      <c r="L305" s="274"/>
    </row>
    <row r="306" spans="1:12" ht="12">
      <c r="A306" s="359"/>
      <c r="B306" s="4"/>
      <c r="C306" s="5"/>
      <c r="D306" s="359"/>
      <c r="E306" s="359"/>
      <c r="F306" s="308"/>
      <c r="G306" s="274"/>
      <c r="H306" s="308"/>
      <c r="I306" s="274"/>
      <c r="J306" s="274"/>
      <c r="K306" s="308"/>
      <c r="L306" s="274"/>
    </row>
    <row r="307" spans="1:12" ht="12">
      <c r="A307" s="359">
        <f>(A305+1)</f>
        <v>2</v>
      </c>
      <c r="B307" s="20" t="s">
        <v>212</v>
      </c>
      <c r="C307" s="5"/>
      <c r="D307" s="359">
        <f>(D305+1)</f>
        <v>2</v>
      </c>
      <c r="E307" s="359"/>
      <c r="F307" s="308"/>
      <c r="G307" s="304">
        <f>51306405.02</f>
        <v>51306405.02</v>
      </c>
      <c r="H307" s="337"/>
      <c r="I307" s="304">
        <f>50229045.75</f>
        <v>50229045.75</v>
      </c>
      <c r="J307" s="304"/>
      <c r="K307" s="337"/>
      <c r="L307" s="304">
        <f>48889459</f>
        <v>48889459</v>
      </c>
    </row>
    <row r="308" spans="1:12" ht="12">
      <c r="A308" s="359">
        <f aca="true" t="shared" si="9" ref="A308:A313">(A307+1)</f>
        <v>3</v>
      </c>
      <c r="B308" s="20" t="s">
        <v>213</v>
      </c>
      <c r="C308" s="5"/>
      <c r="D308" s="359">
        <f aca="true" t="shared" si="10" ref="D308:D313">(D307+1)</f>
        <v>3</v>
      </c>
      <c r="E308" s="359"/>
      <c r="F308" s="308"/>
      <c r="G308" s="304">
        <f>846709.24</f>
        <v>846709.24</v>
      </c>
      <c r="H308" s="337"/>
      <c r="I308" s="304">
        <f>848638.94</f>
        <v>848638.94</v>
      </c>
      <c r="J308" s="304"/>
      <c r="K308" s="337"/>
      <c r="L308" s="304">
        <f>843673</f>
        <v>843673</v>
      </c>
    </row>
    <row r="309" spans="1:12" ht="12">
      <c r="A309" s="359">
        <f t="shared" si="9"/>
        <v>4</v>
      </c>
      <c r="B309" s="20" t="s">
        <v>214</v>
      </c>
      <c r="C309" s="5"/>
      <c r="D309" s="359">
        <f t="shared" si="10"/>
        <v>4</v>
      </c>
      <c r="E309" s="359"/>
      <c r="F309" s="308"/>
      <c r="G309" s="304"/>
      <c r="H309" s="337"/>
      <c r="I309" s="304"/>
      <c r="J309" s="304"/>
      <c r="K309" s="337"/>
      <c r="L309" s="304"/>
    </row>
    <row r="310" spans="1:12" ht="12">
      <c r="A310" s="359">
        <f t="shared" si="9"/>
        <v>5</v>
      </c>
      <c r="B310" s="4" t="s">
        <v>215</v>
      </c>
      <c r="C310" s="5"/>
      <c r="D310" s="359">
        <f t="shared" si="10"/>
        <v>5</v>
      </c>
      <c r="E310" s="359"/>
      <c r="F310" s="308"/>
      <c r="G310" s="304"/>
      <c r="H310" s="337"/>
      <c r="I310" s="304"/>
      <c r="J310" s="304"/>
      <c r="K310" s="337"/>
      <c r="L310" s="304"/>
    </row>
    <row r="311" spans="1:12" ht="12">
      <c r="A311" s="359">
        <f t="shared" si="9"/>
        <v>6</v>
      </c>
      <c r="B311" s="20" t="s">
        <v>216</v>
      </c>
      <c r="C311" s="5"/>
      <c r="D311" s="359">
        <f t="shared" si="10"/>
        <v>6</v>
      </c>
      <c r="E311" s="359"/>
      <c r="F311" s="308"/>
      <c r="G311" s="304">
        <f>449225.81</f>
        <v>449225.81</v>
      </c>
      <c r="H311" s="337"/>
      <c r="I311" s="304">
        <f>448335.56</f>
        <v>448335.56</v>
      </c>
      <c r="J311" s="304"/>
      <c r="K311" s="337"/>
      <c r="L311" s="304">
        <f>338531-100000</f>
        <v>238531</v>
      </c>
    </row>
    <row r="312" spans="1:12" ht="12">
      <c r="A312" s="359">
        <f t="shared" si="9"/>
        <v>7</v>
      </c>
      <c r="B312" s="20" t="s">
        <v>217</v>
      </c>
      <c r="C312" s="5"/>
      <c r="D312" s="359">
        <f t="shared" si="10"/>
        <v>7</v>
      </c>
      <c r="E312" s="359"/>
      <c r="F312" s="308"/>
      <c r="G312" s="304">
        <f>1120617.41</f>
        <v>1120617.41</v>
      </c>
      <c r="H312" s="337"/>
      <c r="I312" s="304">
        <f>1290028.81</f>
        <v>1290028.81</v>
      </c>
      <c r="J312" s="304"/>
      <c r="K312" s="337"/>
      <c r="L312" s="304">
        <f>1301556-158476-1</f>
        <v>1143079</v>
      </c>
    </row>
    <row r="313" spans="1:12" ht="12">
      <c r="A313" s="359">
        <f t="shared" si="9"/>
        <v>8</v>
      </c>
      <c r="C313" s="5"/>
      <c r="D313" s="359">
        <f t="shared" si="10"/>
        <v>8</v>
      </c>
      <c r="E313" s="359"/>
      <c r="F313" s="308"/>
      <c r="H313" s="337"/>
      <c r="I313" s="304"/>
      <c r="J313" s="304"/>
      <c r="K313" s="337"/>
      <c r="L313" s="304"/>
    </row>
    <row r="314" spans="1:5" ht="12">
      <c r="A314" s="359">
        <v>9</v>
      </c>
      <c r="B314" s="20"/>
      <c r="C314" s="5"/>
      <c r="D314" s="359">
        <v>9</v>
      </c>
      <c r="E314" s="359"/>
    </row>
    <row r="315" spans="3:12" ht="12">
      <c r="C315" s="5"/>
      <c r="D315" s="359"/>
      <c r="E315" s="359"/>
      <c r="F315" s="252" t="s">
        <v>1</v>
      </c>
      <c r="G315" s="252" t="s">
        <v>1</v>
      </c>
      <c r="H315" s="252" t="s">
        <v>1</v>
      </c>
      <c r="I315" s="252" t="s">
        <v>1</v>
      </c>
      <c r="J315" s="252"/>
      <c r="K315" s="252" t="s">
        <v>1</v>
      </c>
      <c r="L315" s="252" t="s">
        <v>1</v>
      </c>
    </row>
    <row r="316" spans="1:12" ht="12">
      <c r="A316" s="359">
        <v>10</v>
      </c>
      <c r="B316" s="5" t="s">
        <v>203</v>
      </c>
      <c r="C316" s="5"/>
      <c r="D316" s="359">
        <v>10</v>
      </c>
      <c r="E316" s="359"/>
      <c r="F316" s="308"/>
      <c r="G316" s="304">
        <f>SUM(G307:G315)</f>
        <v>53722957.480000004</v>
      </c>
      <c r="H316" s="337"/>
      <c r="I316" s="304">
        <f>SUM(I307:I315)</f>
        <v>52816049.06</v>
      </c>
      <c r="J316" s="304"/>
      <c r="K316" s="337"/>
      <c r="L316" s="304">
        <f>SUM(L307:L315)</f>
        <v>51114742</v>
      </c>
    </row>
    <row r="317" spans="3:11" ht="12">
      <c r="C317" s="5"/>
      <c r="F317" s="308"/>
      <c r="H317" s="337"/>
      <c r="K317" s="337"/>
    </row>
    <row r="318" spans="1:12" ht="12">
      <c r="A318" s="359">
        <v>11</v>
      </c>
      <c r="B318" s="20" t="s">
        <v>218</v>
      </c>
      <c r="C318" s="5"/>
      <c r="D318" s="359">
        <v>11</v>
      </c>
      <c r="E318" s="359"/>
      <c r="F318" s="308"/>
      <c r="G318" s="304">
        <f>2603146.99</f>
        <v>2603146.99</v>
      </c>
      <c r="H318" s="337"/>
      <c r="I318" s="304">
        <f>3238322.31</f>
        <v>3238322.31</v>
      </c>
      <c r="J318" s="304"/>
      <c r="K318" s="337"/>
      <c r="L318" s="304">
        <f>3177648</f>
        <v>3177648</v>
      </c>
    </row>
    <row r="319" spans="1:12" ht="12">
      <c r="A319" s="359">
        <v>12</v>
      </c>
      <c r="B319" s="20" t="s">
        <v>219</v>
      </c>
      <c r="C319" s="5"/>
      <c r="D319" s="359">
        <v>12</v>
      </c>
      <c r="E319" s="359"/>
      <c r="F319" s="308"/>
      <c r="G319" s="304"/>
      <c r="H319" s="337"/>
      <c r="I319" s="304"/>
      <c r="J319" s="304"/>
      <c r="K319" s="337"/>
      <c r="L319" s="304"/>
    </row>
    <row r="320" spans="1:12" ht="12">
      <c r="A320" s="359">
        <v>13</v>
      </c>
      <c r="B320" s="20" t="s">
        <v>220</v>
      </c>
      <c r="C320" s="5"/>
      <c r="D320" s="359">
        <v>13</v>
      </c>
      <c r="E320" s="359"/>
      <c r="F320" s="308"/>
      <c r="G320" s="304"/>
      <c r="H320" s="337"/>
      <c r="I320" s="304"/>
      <c r="J320" s="304"/>
      <c r="K320" s="337"/>
      <c r="L320" s="304"/>
    </row>
    <row r="321" spans="1:12" ht="12">
      <c r="A321" s="5"/>
      <c r="B321" s="20"/>
      <c r="C321" s="5"/>
      <c r="D321" s="5"/>
      <c r="E321" s="5"/>
      <c r="F321" s="252" t="s">
        <v>1</v>
      </c>
      <c r="G321" s="252" t="s">
        <v>1</v>
      </c>
      <c r="H321" s="252" t="s">
        <v>1</v>
      </c>
      <c r="I321" s="252" t="s">
        <v>1</v>
      </c>
      <c r="J321" s="252"/>
      <c r="K321" s="252" t="s">
        <v>1</v>
      </c>
      <c r="L321" s="252" t="s">
        <v>1</v>
      </c>
    </row>
    <row r="322" spans="1:12" ht="12">
      <c r="A322" s="359">
        <v>14</v>
      </c>
      <c r="B322" s="5" t="s">
        <v>205</v>
      </c>
      <c r="C322" s="5"/>
      <c r="D322" s="359">
        <v>14</v>
      </c>
      <c r="E322" s="359"/>
      <c r="F322" s="308"/>
      <c r="G322" s="274">
        <f>SUM(G318:G321)</f>
        <v>2603146.99</v>
      </c>
      <c r="H322" s="308"/>
      <c r="I322" s="274">
        <f>SUM(I318:I321)</f>
        <v>3238322.31</v>
      </c>
      <c r="J322" s="274"/>
      <c r="K322" s="308"/>
      <c r="L322" s="274">
        <f>SUM(L318:L321)</f>
        <v>3177648</v>
      </c>
    </row>
    <row r="323" spans="1:12" ht="12">
      <c r="A323" s="359"/>
      <c r="B323" s="20"/>
      <c r="C323" s="5"/>
      <c r="D323" s="359"/>
      <c r="E323" s="359"/>
      <c r="F323" s="252" t="s">
        <v>1</v>
      </c>
      <c r="G323" s="252" t="s">
        <v>1</v>
      </c>
      <c r="H323" s="252" t="s">
        <v>1</v>
      </c>
      <c r="I323" s="252" t="s">
        <v>1</v>
      </c>
      <c r="J323" s="252"/>
      <c r="K323" s="252" t="s">
        <v>1</v>
      </c>
      <c r="L323" s="252" t="s">
        <v>1</v>
      </c>
    </row>
    <row r="324" spans="1:12" ht="12">
      <c r="A324" s="359">
        <v>15</v>
      </c>
      <c r="B324" s="4" t="s">
        <v>221</v>
      </c>
      <c r="C324" s="5"/>
      <c r="D324" s="359">
        <v>15</v>
      </c>
      <c r="E324" s="359"/>
      <c r="F324" s="308"/>
      <c r="G324" s="274">
        <f>SUM(G316+G322)</f>
        <v>56326104.470000006</v>
      </c>
      <c r="H324" s="308"/>
      <c r="I324" s="274">
        <f>SUM(I316+I322)</f>
        <v>56054371.370000005</v>
      </c>
      <c r="J324" s="274"/>
      <c r="K324" s="308"/>
      <c r="L324" s="274">
        <f>SUM(L316+L322)</f>
        <v>54292390</v>
      </c>
    </row>
    <row r="325" spans="1:12" ht="12">
      <c r="A325" s="359"/>
      <c r="B325" s="4"/>
      <c r="C325" s="5"/>
      <c r="D325" s="359"/>
      <c r="E325" s="359"/>
      <c r="F325" s="308"/>
      <c r="G325" s="274"/>
      <c r="H325" s="308"/>
      <c r="I325" s="274"/>
      <c r="J325" s="274"/>
      <c r="K325" s="308"/>
      <c r="L325" s="274"/>
    </row>
    <row r="326" spans="1:12" ht="12">
      <c r="A326" s="359"/>
      <c r="B326" s="5"/>
      <c r="C326" s="5"/>
      <c r="D326" s="359"/>
      <c r="E326" s="359"/>
      <c r="F326" s="308"/>
      <c r="G326" s="274"/>
      <c r="H326" s="308"/>
      <c r="I326" s="274"/>
      <c r="J326" s="274"/>
      <c r="K326" s="308"/>
      <c r="L326" s="274"/>
    </row>
    <row r="327" spans="1:12" ht="12">
      <c r="A327" s="359">
        <v>16</v>
      </c>
      <c r="B327" s="259" t="s">
        <v>207</v>
      </c>
      <c r="C327" s="5"/>
      <c r="D327" s="359">
        <v>16</v>
      </c>
      <c r="E327" s="359"/>
      <c r="F327" s="308"/>
      <c r="G327" s="304"/>
      <c r="H327" s="337"/>
      <c r="I327" s="304"/>
      <c r="J327" s="304"/>
      <c r="K327" s="304"/>
      <c r="L327" s="304"/>
    </row>
    <row r="328" spans="1:12" ht="12">
      <c r="A328" s="359">
        <v>17</v>
      </c>
      <c r="B328" s="4" t="s">
        <v>222</v>
      </c>
      <c r="C328" s="5"/>
      <c r="D328" s="359">
        <v>17</v>
      </c>
      <c r="E328" s="359"/>
      <c r="F328" s="5"/>
      <c r="G328" s="304">
        <f>5449056</f>
        <v>5449056</v>
      </c>
      <c r="H328" s="20"/>
      <c r="I328" s="304">
        <f>4793269</f>
        <v>4793269</v>
      </c>
      <c r="J328" s="304"/>
      <c r="K328" s="304"/>
      <c r="L328" s="304">
        <f>3750772</f>
        <v>3750772</v>
      </c>
    </row>
    <row r="329" spans="1:12" ht="12">
      <c r="A329" s="359">
        <v>18</v>
      </c>
      <c r="B329" s="5"/>
      <c r="C329" s="5"/>
      <c r="D329" s="359">
        <v>18</v>
      </c>
      <c r="E329" s="359"/>
      <c r="F329" s="5"/>
      <c r="G329" s="360"/>
      <c r="H329" s="5"/>
      <c r="I329" s="360"/>
      <c r="J329" s="360"/>
      <c r="K329" s="5"/>
      <c r="L329" s="5"/>
    </row>
    <row r="330" spans="1:12" ht="12">
      <c r="A330" s="359">
        <v>19</v>
      </c>
      <c r="B330" s="5"/>
      <c r="C330" s="5"/>
      <c r="D330" s="359">
        <v>19</v>
      </c>
      <c r="E330" s="359"/>
      <c r="F330" s="5"/>
      <c r="G330" s="5"/>
      <c r="H330" s="5"/>
      <c r="I330" s="5"/>
      <c r="J330" s="5"/>
      <c r="K330" s="5"/>
      <c r="L330" s="5"/>
    </row>
    <row r="331" spans="1:12" ht="12">
      <c r="A331" s="359"/>
      <c r="B331" s="259"/>
      <c r="C331" s="5"/>
      <c r="D331" s="359"/>
      <c r="E331" s="359"/>
      <c r="F331" s="252" t="s">
        <v>1</v>
      </c>
      <c r="G331" s="252" t="s">
        <v>1</v>
      </c>
      <c r="H331" s="252" t="s">
        <v>1</v>
      </c>
      <c r="I331" s="252" t="s">
        <v>1</v>
      </c>
      <c r="J331" s="252"/>
      <c r="K331" s="252" t="s">
        <v>1</v>
      </c>
      <c r="L331" s="252" t="s">
        <v>1</v>
      </c>
    </row>
    <row r="332" spans="1:12" ht="12">
      <c r="A332" s="359">
        <v>20</v>
      </c>
      <c r="B332" s="259" t="s">
        <v>223</v>
      </c>
      <c r="C332" s="5"/>
      <c r="D332" s="359">
        <v>20</v>
      </c>
      <c r="E332" s="359"/>
      <c r="F332" s="308"/>
      <c r="G332" s="274">
        <f>SUM(G324:G330)</f>
        <v>61775160.470000006</v>
      </c>
      <c r="H332" s="308"/>
      <c r="I332" s="274">
        <f>SUM(I324:I330)</f>
        <v>60847640.370000005</v>
      </c>
      <c r="J332" s="274"/>
      <c r="K332" s="308"/>
      <c r="L332" s="274">
        <f>SUM(L324:L330)</f>
        <v>58043162</v>
      </c>
    </row>
    <row r="333" spans="1:12" ht="12">
      <c r="A333" s="358"/>
      <c r="B333" s="4"/>
      <c r="C333" s="5"/>
      <c r="D333" s="21"/>
      <c r="E333" s="21"/>
      <c r="F333" s="252" t="s">
        <v>1</v>
      </c>
      <c r="G333" s="252" t="s">
        <v>1</v>
      </c>
      <c r="H333" s="252" t="s">
        <v>1</v>
      </c>
      <c r="I333" s="252" t="s">
        <v>1</v>
      </c>
      <c r="J333" s="252"/>
      <c r="K333" s="252" t="s">
        <v>1</v>
      </c>
      <c r="L333" s="252" t="s">
        <v>1</v>
      </c>
    </row>
    <row r="334" spans="1:12" s="311" customFormat="1" ht="12">
      <c r="A334" s="292" t="s">
        <v>106</v>
      </c>
      <c r="B334" s="269"/>
      <c r="C334" s="269"/>
      <c r="D334" s="299"/>
      <c r="E334" s="299"/>
      <c r="F334" s="296"/>
      <c r="G334" s="295"/>
      <c r="H334" s="296"/>
      <c r="I334" s="295"/>
      <c r="J334" s="295"/>
      <c r="K334" s="296"/>
      <c r="L334" s="294" t="s">
        <v>224</v>
      </c>
    </row>
    <row r="335" spans="1:12" s="311" customFormat="1" ht="12">
      <c r="A335" s="466" t="s">
        <v>225</v>
      </c>
      <c r="B335" s="466"/>
      <c r="C335" s="466"/>
      <c r="D335" s="466"/>
      <c r="E335" s="466"/>
      <c r="F335" s="466"/>
      <c r="G335" s="466"/>
      <c r="H335" s="466"/>
      <c r="I335" s="466"/>
      <c r="J335" s="466"/>
      <c r="K335" s="466"/>
      <c r="L335" s="466"/>
    </row>
    <row r="336" spans="1:12" s="311" customFormat="1" ht="12">
      <c r="A336" s="292" t="s">
        <v>78</v>
      </c>
      <c r="B336" s="269"/>
      <c r="C336" s="269"/>
      <c r="D336" s="269"/>
      <c r="E336" s="269"/>
      <c r="F336" s="343"/>
      <c r="G336" s="342"/>
      <c r="H336" s="342"/>
      <c r="I336" s="295"/>
      <c r="J336" s="295"/>
      <c r="K336" s="296"/>
      <c r="L336" s="291" t="s">
        <v>79</v>
      </c>
    </row>
    <row r="337" spans="1:12" s="311" customFormat="1" ht="12">
      <c r="A337" s="283" t="s">
        <v>1</v>
      </c>
      <c r="B337" s="283" t="s">
        <v>1</v>
      </c>
      <c r="C337" s="283" t="s">
        <v>1</v>
      </c>
      <c r="D337" s="283" t="s">
        <v>1</v>
      </c>
      <c r="E337" s="283"/>
      <c r="F337" s="283" t="s">
        <v>1</v>
      </c>
      <c r="G337" s="283" t="s">
        <v>1</v>
      </c>
      <c r="H337" s="283" t="s">
        <v>1</v>
      </c>
      <c r="I337" s="283" t="s">
        <v>1</v>
      </c>
      <c r="J337" s="283"/>
      <c r="K337" s="283" t="s">
        <v>1</v>
      </c>
      <c r="L337" s="283" t="s">
        <v>1</v>
      </c>
    </row>
    <row r="338" spans="1:12" s="311" customFormat="1" ht="12">
      <c r="A338" s="289" t="s">
        <v>2</v>
      </c>
      <c r="B338" s="269"/>
      <c r="C338" s="269"/>
      <c r="D338" s="289" t="s">
        <v>2</v>
      </c>
      <c r="E338" s="289"/>
      <c r="F338" s="274"/>
      <c r="G338" s="285" t="s">
        <v>62</v>
      </c>
      <c r="H338" s="308"/>
      <c r="I338" s="285" t="s">
        <v>65</v>
      </c>
      <c r="J338" s="285"/>
      <c r="K338" s="308"/>
      <c r="L338" s="285" t="s">
        <v>70</v>
      </c>
    </row>
    <row r="339" spans="1:12" s="311" customFormat="1" ht="12">
      <c r="A339" s="289" t="s">
        <v>4</v>
      </c>
      <c r="B339" s="307" t="s">
        <v>18</v>
      </c>
      <c r="C339" s="269"/>
      <c r="D339" s="289" t="s">
        <v>4</v>
      </c>
      <c r="E339" s="289"/>
      <c r="F339" s="33"/>
      <c r="G339" s="285" t="s">
        <v>7</v>
      </c>
      <c r="H339" s="33"/>
      <c r="I339" s="285" t="s">
        <v>7</v>
      </c>
      <c r="J339" s="285"/>
      <c r="K339" s="33"/>
      <c r="L339" s="285" t="s">
        <v>8</v>
      </c>
    </row>
    <row r="340" spans="1:12" s="311" customFormat="1" ht="12">
      <c r="A340" s="283" t="s">
        <v>1</v>
      </c>
      <c r="B340" s="283" t="s">
        <v>1</v>
      </c>
      <c r="C340" s="283" t="s">
        <v>1</v>
      </c>
      <c r="D340" s="283" t="s">
        <v>1</v>
      </c>
      <c r="E340" s="283"/>
      <c r="F340" s="14" t="s">
        <v>1</v>
      </c>
      <c r="G340" s="14" t="s">
        <v>1</v>
      </c>
      <c r="H340" s="14" t="s">
        <v>1</v>
      </c>
      <c r="I340" s="14" t="s">
        <v>1</v>
      </c>
      <c r="J340" s="14"/>
      <c r="K340" s="14" t="s">
        <v>1</v>
      </c>
      <c r="L340" s="271" t="s">
        <v>1</v>
      </c>
    </row>
    <row r="341" spans="1:12" s="311" customFormat="1" ht="12">
      <c r="A341" s="311">
        <v>1</v>
      </c>
      <c r="B341" s="311" t="s">
        <v>226</v>
      </c>
      <c r="D341" s="311">
        <v>1</v>
      </c>
      <c r="F341" s="357"/>
      <c r="G341" s="357"/>
      <c r="H341" s="357"/>
      <c r="I341" s="319"/>
      <c r="J341" s="319"/>
      <c r="K341" s="357"/>
      <c r="L341" s="357"/>
    </row>
    <row r="342" spans="6:12" s="311" customFormat="1" ht="12">
      <c r="F342" s="357"/>
      <c r="G342" s="357"/>
      <c r="H342" s="357"/>
      <c r="I342" s="319"/>
      <c r="J342" s="319"/>
      <c r="K342" s="357"/>
      <c r="L342" s="357"/>
    </row>
    <row r="343" spans="1:12" s="311" customFormat="1" ht="12">
      <c r="A343" s="311">
        <v>2</v>
      </c>
      <c r="B343" s="311" t="s">
        <v>227</v>
      </c>
      <c r="D343" s="311">
        <v>2</v>
      </c>
      <c r="F343" s="357"/>
      <c r="G343" s="357"/>
      <c r="H343" s="357"/>
      <c r="I343" s="319"/>
      <c r="J343" s="319"/>
      <c r="K343" s="357"/>
      <c r="L343" s="357"/>
    </row>
    <row r="344" spans="1:12" s="311" customFormat="1" ht="12">
      <c r="A344" s="311">
        <v>3</v>
      </c>
      <c r="B344" s="311" t="s">
        <v>228</v>
      </c>
      <c r="D344" s="311">
        <v>3</v>
      </c>
      <c r="F344" s="357"/>
      <c r="G344" s="304">
        <f>8850485</f>
        <v>8850485</v>
      </c>
      <c r="H344" s="357"/>
      <c r="I344" s="304">
        <f>12030160</f>
        <v>12030160</v>
      </c>
      <c r="J344" s="304"/>
      <c r="K344" s="357"/>
      <c r="L344" s="304">
        <f>11718956</f>
        <v>11718956</v>
      </c>
    </row>
    <row r="345" spans="1:12" s="311" customFormat="1" ht="12">
      <c r="A345" s="311">
        <v>4</v>
      </c>
      <c r="B345" s="311" t="s">
        <v>229</v>
      </c>
      <c r="D345" s="311">
        <v>4</v>
      </c>
      <c r="F345" s="357"/>
      <c r="G345" s="304">
        <v>300</v>
      </c>
      <c r="H345" s="357"/>
      <c r="I345" s="304">
        <v>400</v>
      </c>
      <c r="J345" s="304"/>
      <c r="K345" s="357"/>
      <c r="L345" s="304">
        <v>400</v>
      </c>
    </row>
    <row r="346" spans="1:4" s="311" customFormat="1" ht="12">
      <c r="A346" s="311">
        <v>5</v>
      </c>
      <c r="D346" s="311">
        <v>5</v>
      </c>
    </row>
    <row r="347" spans="1:12" s="311" customFormat="1" ht="12">
      <c r="A347" s="311">
        <v>6</v>
      </c>
      <c r="D347" s="311">
        <v>6</v>
      </c>
      <c r="F347" s="357"/>
      <c r="G347" s="357"/>
      <c r="H347" s="357"/>
      <c r="I347" s="319"/>
      <c r="J347" s="319"/>
      <c r="K347" s="357"/>
      <c r="L347" s="357"/>
    </row>
    <row r="348" spans="1:4" s="311" customFormat="1" ht="12">
      <c r="A348" s="311">
        <v>7</v>
      </c>
      <c r="D348" s="311">
        <v>7</v>
      </c>
    </row>
    <row r="349" spans="1:12" s="311" customFormat="1" ht="12">
      <c r="A349" s="311">
        <v>8</v>
      </c>
      <c r="D349" s="311">
        <v>8</v>
      </c>
      <c r="F349" s="357"/>
      <c r="G349" s="357"/>
      <c r="H349" s="357"/>
      <c r="I349" s="319"/>
      <c r="J349" s="319"/>
      <c r="K349" s="357"/>
      <c r="L349" s="357"/>
    </row>
    <row r="350" spans="1:12" s="311" customFormat="1" ht="12">
      <c r="A350" s="311">
        <v>9</v>
      </c>
      <c r="D350" s="311">
        <v>9</v>
      </c>
      <c r="F350" s="357"/>
      <c r="G350" s="357"/>
      <c r="H350" s="357"/>
      <c r="I350" s="319"/>
      <c r="J350" s="319"/>
      <c r="K350" s="357"/>
      <c r="L350" s="357"/>
    </row>
    <row r="351" spans="1:12" s="311" customFormat="1" ht="12">
      <c r="A351" s="311">
        <v>10</v>
      </c>
      <c r="D351" s="311">
        <v>10</v>
      </c>
      <c r="F351" s="357"/>
      <c r="G351" s="357"/>
      <c r="H351" s="357"/>
      <c r="I351" s="319"/>
      <c r="J351" s="319"/>
      <c r="K351" s="357"/>
      <c r="L351" s="357"/>
    </row>
    <row r="352" spans="1:12" s="311" customFormat="1" ht="12">
      <c r="A352" s="311">
        <v>11</v>
      </c>
      <c r="D352" s="311">
        <v>11</v>
      </c>
      <c r="F352" s="357"/>
      <c r="G352" s="357"/>
      <c r="H352" s="357"/>
      <c r="I352" s="319"/>
      <c r="J352" s="319"/>
      <c r="K352" s="357"/>
      <c r="L352" s="357"/>
    </row>
    <row r="353" spans="1:12" s="311" customFormat="1" ht="12">
      <c r="A353" s="311">
        <v>12</v>
      </c>
      <c r="D353" s="311">
        <v>12</v>
      </c>
      <c r="F353" s="357"/>
      <c r="G353" s="357"/>
      <c r="H353" s="357"/>
      <c r="I353" s="319"/>
      <c r="J353" s="319"/>
      <c r="K353" s="357"/>
      <c r="L353" s="357"/>
    </row>
    <row r="354" spans="1:12" s="311" customFormat="1" ht="12">
      <c r="A354" s="311">
        <v>13</v>
      </c>
      <c r="D354" s="311">
        <v>13</v>
      </c>
      <c r="F354" s="357"/>
      <c r="G354" s="357"/>
      <c r="H354" s="357"/>
      <c r="I354" s="319"/>
      <c r="J354" s="319"/>
      <c r="K354" s="357"/>
      <c r="L354" s="357"/>
    </row>
    <row r="355" spans="1:12" s="311" customFormat="1" ht="12">
      <c r="A355" s="311">
        <v>14</v>
      </c>
      <c r="D355" s="311">
        <v>14</v>
      </c>
      <c r="F355" s="357"/>
      <c r="G355" s="357"/>
      <c r="H355" s="357"/>
      <c r="I355" s="319"/>
      <c r="J355" s="319"/>
      <c r="K355" s="357"/>
      <c r="L355" s="357"/>
    </row>
    <row r="356" spans="1:12" s="311" customFormat="1" ht="12">
      <c r="A356" s="311">
        <v>15</v>
      </c>
      <c r="D356" s="311">
        <v>15</v>
      </c>
      <c r="F356" s="357"/>
      <c r="G356" s="357"/>
      <c r="H356" s="357"/>
      <c r="I356" s="319"/>
      <c r="J356" s="319"/>
      <c r="K356" s="357"/>
      <c r="L356" s="357"/>
    </row>
    <row r="357" spans="1:12" s="311" customFormat="1" ht="12">
      <c r="A357" s="311">
        <v>16</v>
      </c>
      <c r="D357" s="311">
        <v>16</v>
      </c>
      <c r="F357" s="357"/>
      <c r="G357" s="357"/>
      <c r="H357" s="357"/>
      <c r="I357" s="319"/>
      <c r="J357" s="319"/>
      <c r="K357" s="357"/>
      <c r="L357" s="357"/>
    </row>
    <row r="358" spans="1:12" s="311" customFormat="1" ht="12">
      <c r="A358" s="311">
        <v>17</v>
      </c>
      <c r="D358" s="311">
        <v>17</v>
      </c>
      <c r="F358" s="357"/>
      <c r="G358" s="357"/>
      <c r="H358" s="357"/>
      <c r="I358" s="319"/>
      <c r="J358" s="319"/>
      <c r="K358" s="357"/>
      <c r="L358" s="357"/>
    </row>
    <row r="359" spans="1:12" s="311" customFormat="1" ht="12">
      <c r="A359" s="311">
        <v>18</v>
      </c>
      <c r="D359" s="311">
        <v>18</v>
      </c>
      <c r="F359" s="357"/>
      <c r="G359" s="357"/>
      <c r="H359" s="357"/>
      <c r="I359" s="319"/>
      <c r="J359" s="319"/>
      <c r="K359" s="357"/>
      <c r="L359" s="357"/>
    </row>
    <row r="360" spans="1:12" s="311" customFormat="1" ht="12">
      <c r="A360" s="311">
        <v>19</v>
      </c>
      <c r="D360" s="311">
        <v>19</v>
      </c>
      <c r="F360" s="357"/>
      <c r="G360" s="357"/>
      <c r="H360" s="357"/>
      <c r="I360" s="319"/>
      <c r="J360" s="319"/>
      <c r="K360" s="357"/>
      <c r="L360" s="357"/>
    </row>
    <row r="361" spans="1:12" s="311" customFormat="1" ht="12">
      <c r="A361" s="311">
        <v>20</v>
      </c>
      <c r="D361" s="311">
        <v>20</v>
      </c>
      <c r="F361" s="357"/>
      <c r="G361" s="357"/>
      <c r="H361" s="357"/>
      <c r="I361" s="319"/>
      <c r="J361" s="319"/>
      <c r="K361" s="357"/>
      <c r="L361" s="357"/>
    </row>
    <row r="362" spans="1:12" s="311" customFormat="1" ht="12">
      <c r="A362" s="311">
        <v>21</v>
      </c>
      <c r="D362" s="311">
        <v>21</v>
      </c>
      <c r="F362" s="357"/>
      <c r="G362" s="357"/>
      <c r="H362" s="357"/>
      <c r="I362" s="319"/>
      <c r="J362" s="319"/>
      <c r="K362" s="357"/>
      <c r="L362" s="357"/>
    </row>
    <row r="363" spans="1:12" s="311" customFormat="1" ht="12">
      <c r="A363" s="311">
        <v>22</v>
      </c>
      <c r="D363" s="311">
        <v>22</v>
      </c>
      <c r="F363" s="357"/>
      <c r="G363" s="357"/>
      <c r="H363" s="357"/>
      <c r="I363" s="319"/>
      <c r="J363" s="319"/>
      <c r="K363" s="357"/>
      <c r="L363" s="357"/>
    </row>
    <row r="364" spans="1:4" s="311" customFormat="1" ht="12">
      <c r="A364" s="311">
        <v>23</v>
      </c>
      <c r="D364" s="311">
        <v>23</v>
      </c>
    </row>
    <row r="365" spans="1:4" s="311" customFormat="1" ht="12">
      <c r="A365" s="311">
        <v>24</v>
      </c>
      <c r="D365" s="311">
        <v>24</v>
      </c>
    </row>
    <row r="366" spans="6:12" s="311" customFormat="1" ht="12">
      <c r="F366" s="252" t="s">
        <v>1</v>
      </c>
      <c r="G366" s="252" t="s">
        <v>1</v>
      </c>
      <c r="H366" s="252" t="s">
        <v>1</v>
      </c>
      <c r="I366" s="252" t="s">
        <v>1</v>
      </c>
      <c r="J366" s="252"/>
      <c r="K366" s="252" t="s">
        <v>1</v>
      </c>
      <c r="L366" s="252" t="s">
        <v>1</v>
      </c>
    </row>
    <row r="367" spans="1:12" s="311" customFormat="1" ht="12">
      <c r="A367" s="311">
        <v>25</v>
      </c>
      <c r="B367" s="311" t="s">
        <v>230</v>
      </c>
      <c r="D367" s="311">
        <v>25</v>
      </c>
      <c r="F367" s="357"/>
      <c r="G367" s="274">
        <f>G344</f>
        <v>8850485</v>
      </c>
      <c r="H367" s="357"/>
      <c r="I367" s="274">
        <f>I344</f>
        <v>12030160</v>
      </c>
      <c r="J367" s="274"/>
      <c r="K367" s="357"/>
      <c r="L367" s="274">
        <f>L344</f>
        <v>11718956</v>
      </c>
    </row>
    <row r="368" spans="6:12" s="311" customFormat="1" ht="12">
      <c r="F368" s="252" t="s">
        <v>1</v>
      </c>
      <c r="G368" s="252" t="s">
        <v>1</v>
      </c>
      <c r="H368" s="252" t="s">
        <v>1</v>
      </c>
      <c r="I368" s="252" t="s">
        <v>1</v>
      </c>
      <c r="J368" s="252"/>
      <c r="K368" s="252" t="s">
        <v>1</v>
      </c>
      <c r="L368" s="252" t="s">
        <v>1</v>
      </c>
    </row>
    <row r="369" spans="6:12" s="311" customFormat="1" ht="12">
      <c r="F369" s="357"/>
      <c r="G369" s="274"/>
      <c r="H369" s="357"/>
      <c r="I369" s="274"/>
      <c r="J369" s="274"/>
      <c r="K369" s="357"/>
      <c r="L369" s="274"/>
    </row>
    <row r="370" s="311" customFormat="1" ht="12">
      <c r="A370" s="311" t="s">
        <v>231</v>
      </c>
    </row>
    <row r="372" spans="1:12" ht="12">
      <c r="A372" s="292" t="s">
        <v>75</v>
      </c>
      <c r="D372" s="299"/>
      <c r="E372" s="299"/>
      <c r="F372" s="296"/>
      <c r="G372" s="295"/>
      <c r="H372" s="296"/>
      <c r="I372" s="295"/>
      <c r="J372" s="295"/>
      <c r="K372" s="296"/>
      <c r="L372" s="294" t="s">
        <v>232</v>
      </c>
    </row>
    <row r="373" spans="1:12" ht="12">
      <c r="A373" s="464" t="s">
        <v>233</v>
      </c>
      <c r="B373" s="464"/>
      <c r="C373" s="464"/>
      <c r="D373" s="464"/>
      <c r="E373" s="464"/>
      <c r="F373" s="464"/>
      <c r="G373" s="464"/>
      <c r="H373" s="464"/>
      <c r="I373" s="464"/>
      <c r="J373" s="464"/>
      <c r="K373" s="464"/>
      <c r="L373" s="464"/>
    </row>
    <row r="374" spans="1:12" ht="12">
      <c r="A374" s="292" t="s">
        <v>78</v>
      </c>
      <c r="F374" s="353"/>
      <c r="I374" s="295"/>
      <c r="J374" s="295"/>
      <c r="K374" s="296"/>
      <c r="L374" s="291" t="s">
        <v>79</v>
      </c>
    </row>
    <row r="375" spans="1:12" ht="12">
      <c r="A375" s="283" t="s">
        <v>1</v>
      </c>
      <c r="B375" s="283" t="s">
        <v>1</v>
      </c>
      <c r="C375" s="283" t="s">
        <v>1</v>
      </c>
      <c r="D375" s="283" t="s">
        <v>1</v>
      </c>
      <c r="E375" s="283"/>
      <c r="F375" s="283" t="s">
        <v>1</v>
      </c>
      <c r="G375" s="283" t="s">
        <v>1</v>
      </c>
      <c r="H375" s="283" t="s">
        <v>1</v>
      </c>
      <c r="I375" s="283" t="s">
        <v>1</v>
      </c>
      <c r="J375" s="283"/>
      <c r="K375" s="283" t="s">
        <v>1</v>
      </c>
      <c r="L375" s="283" t="s">
        <v>1</v>
      </c>
    </row>
    <row r="376" spans="1:12" ht="12">
      <c r="A376" s="289" t="s">
        <v>2</v>
      </c>
      <c r="D376" s="289" t="s">
        <v>2</v>
      </c>
      <c r="E376" s="289"/>
      <c r="F376" s="285"/>
      <c r="G376" s="285" t="s">
        <v>62</v>
      </c>
      <c r="H376" s="309"/>
      <c r="I376" s="285" t="s">
        <v>65</v>
      </c>
      <c r="J376" s="285"/>
      <c r="K376" s="308"/>
      <c r="L376" s="285" t="s">
        <v>70</v>
      </c>
    </row>
    <row r="377" spans="1:12" ht="12">
      <c r="A377" s="289" t="s">
        <v>4</v>
      </c>
      <c r="B377" s="307" t="s">
        <v>18</v>
      </c>
      <c r="D377" s="289" t="s">
        <v>4</v>
      </c>
      <c r="E377" s="289"/>
      <c r="F377" s="286"/>
      <c r="G377" s="285" t="s">
        <v>7</v>
      </c>
      <c r="H377" s="286"/>
      <c r="I377" s="285" t="s">
        <v>7</v>
      </c>
      <c r="J377" s="285"/>
      <c r="K377" s="286"/>
      <c r="L377" s="285" t="s">
        <v>8</v>
      </c>
    </row>
    <row r="378" spans="1:12" ht="12">
      <c r="A378" s="283" t="s">
        <v>1</v>
      </c>
      <c r="B378" s="283" t="s">
        <v>1</v>
      </c>
      <c r="C378" s="283" t="s">
        <v>1</v>
      </c>
      <c r="D378" s="283" t="s">
        <v>1</v>
      </c>
      <c r="E378" s="283"/>
      <c r="F378" s="14" t="s">
        <v>1</v>
      </c>
      <c r="G378" s="14" t="s">
        <v>1</v>
      </c>
      <c r="H378" s="14" t="s">
        <v>1</v>
      </c>
      <c r="I378" s="14" t="s">
        <v>1</v>
      </c>
      <c r="J378" s="14"/>
      <c r="K378" s="14" t="s">
        <v>1</v>
      </c>
      <c r="L378" s="271" t="s">
        <v>1</v>
      </c>
    </row>
    <row r="379" spans="1:12" ht="12">
      <c r="A379" s="354">
        <v>1</v>
      </c>
      <c r="B379" s="297" t="s">
        <v>234</v>
      </c>
      <c r="D379" s="354">
        <v>1</v>
      </c>
      <c r="E379" s="354"/>
      <c r="F379" s="308"/>
      <c r="G379" s="304"/>
      <c r="H379" s="337"/>
      <c r="I379" s="5"/>
      <c r="J379" s="5"/>
      <c r="K379" s="337"/>
      <c r="L379" s="304"/>
    </row>
    <row r="380" spans="1:12" ht="12">
      <c r="A380" s="354">
        <f aca="true" t="shared" si="11" ref="A380:A402">(A379+1)</f>
        <v>2</v>
      </c>
      <c r="B380" s="269" t="s">
        <v>235</v>
      </c>
      <c r="D380" s="354">
        <f aca="true" t="shared" si="12" ref="D380:D402">(D379+1)</f>
        <v>2</v>
      </c>
      <c r="E380" s="354"/>
      <c r="F380" s="308"/>
      <c r="G380" s="304">
        <f>30670450</f>
        <v>30670450</v>
      </c>
      <c r="H380" s="337"/>
      <c r="I380" s="304"/>
      <c r="J380" s="304"/>
      <c r="K380" s="337"/>
      <c r="L380" s="304"/>
    </row>
    <row r="381" spans="1:12" ht="12">
      <c r="A381" s="354">
        <f t="shared" si="11"/>
        <v>3</v>
      </c>
      <c r="B381" s="269" t="s">
        <v>236</v>
      </c>
      <c r="D381" s="354">
        <f t="shared" si="12"/>
        <v>3</v>
      </c>
      <c r="E381" s="354"/>
      <c r="F381" s="308"/>
      <c r="G381" s="304"/>
      <c r="H381" s="337"/>
      <c r="I381" s="304">
        <f>20991320</f>
        <v>20991320</v>
      </c>
      <c r="J381" s="304"/>
      <c r="K381" s="337"/>
      <c r="L381" s="304"/>
    </row>
    <row r="382" spans="1:12" ht="12">
      <c r="A382" s="354">
        <f t="shared" si="11"/>
        <v>4</v>
      </c>
      <c r="B382" s="269" t="s">
        <v>237</v>
      </c>
      <c r="D382" s="354">
        <f t="shared" si="12"/>
        <v>4</v>
      </c>
      <c r="E382" s="354"/>
      <c r="F382" s="308"/>
      <c r="G382" s="304"/>
      <c r="H382" s="337"/>
      <c r="I382" s="304"/>
      <c r="J382" s="304"/>
      <c r="K382" s="337"/>
      <c r="L382" s="304">
        <f>30451162</f>
        <v>30451162</v>
      </c>
    </row>
    <row r="383" spans="1:11" ht="12">
      <c r="A383" s="354">
        <f t="shared" si="11"/>
        <v>5</v>
      </c>
      <c r="D383" s="354">
        <f t="shared" si="12"/>
        <v>5</v>
      </c>
      <c r="E383" s="354"/>
      <c r="F383" s="308"/>
      <c r="G383" s="304"/>
      <c r="H383" s="337"/>
      <c r="I383" s="304"/>
      <c r="J383" s="304"/>
      <c r="K383" s="337"/>
    </row>
    <row r="384" spans="1:12" ht="12">
      <c r="A384" s="354">
        <f t="shared" si="11"/>
        <v>6</v>
      </c>
      <c r="B384" s="338"/>
      <c r="D384" s="354">
        <f t="shared" si="12"/>
        <v>6</v>
      </c>
      <c r="E384" s="354"/>
      <c r="F384" s="308"/>
      <c r="G384" s="304"/>
      <c r="H384" s="337"/>
      <c r="I384" s="304"/>
      <c r="J384" s="304"/>
      <c r="K384" s="337"/>
      <c r="L384" s="304"/>
    </row>
    <row r="385" spans="1:12" ht="12">
      <c r="A385" s="354">
        <f t="shared" si="11"/>
        <v>7</v>
      </c>
      <c r="B385" s="297" t="s">
        <v>238</v>
      </c>
      <c r="D385" s="354">
        <f t="shared" si="12"/>
        <v>7</v>
      </c>
      <c r="E385" s="354"/>
      <c r="F385" s="308"/>
      <c r="G385" s="304"/>
      <c r="H385" s="337"/>
      <c r="I385" s="304"/>
      <c r="J385" s="304"/>
      <c r="K385" s="337"/>
      <c r="L385" s="304"/>
    </row>
    <row r="386" spans="1:12" ht="12">
      <c r="A386" s="354">
        <f t="shared" si="11"/>
        <v>8</v>
      </c>
      <c r="B386" s="338"/>
      <c r="D386" s="354">
        <f t="shared" si="12"/>
        <v>8</v>
      </c>
      <c r="E386" s="354"/>
      <c r="F386" s="308"/>
      <c r="G386" s="304"/>
      <c r="H386" s="337"/>
      <c r="I386" s="304"/>
      <c r="J386" s="304"/>
      <c r="K386" s="337"/>
      <c r="L386" s="304"/>
    </row>
    <row r="387" spans="1:12" ht="12">
      <c r="A387" s="354">
        <f t="shared" si="11"/>
        <v>9</v>
      </c>
      <c r="D387" s="354">
        <f t="shared" si="12"/>
        <v>9</v>
      </c>
      <c r="E387" s="354"/>
      <c r="F387" s="308"/>
      <c r="G387" s="304"/>
      <c r="H387" s="337"/>
      <c r="I387" s="304"/>
      <c r="J387" s="304"/>
      <c r="K387" s="337"/>
      <c r="L387" s="304"/>
    </row>
    <row r="388" spans="1:12" ht="12">
      <c r="A388" s="354">
        <f t="shared" si="11"/>
        <v>10</v>
      </c>
      <c r="D388" s="354">
        <f t="shared" si="12"/>
        <v>10</v>
      </c>
      <c r="E388" s="354"/>
      <c r="F388" s="308"/>
      <c r="G388" s="304"/>
      <c r="H388" s="337"/>
      <c r="K388" s="337"/>
      <c r="L388" s="304"/>
    </row>
    <row r="389" spans="1:12" ht="12">
      <c r="A389" s="354">
        <f t="shared" si="11"/>
        <v>11</v>
      </c>
      <c r="D389" s="354">
        <f t="shared" si="12"/>
        <v>11</v>
      </c>
      <c r="E389" s="354"/>
      <c r="F389" s="308"/>
      <c r="G389" s="304"/>
      <c r="H389" s="337"/>
      <c r="K389" s="337"/>
      <c r="L389" s="304"/>
    </row>
    <row r="390" spans="1:12" ht="12">
      <c r="A390" s="354">
        <f t="shared" si="11"/>
        <v>12</v>
      </c>
      <c r="D390" s="354">
        <f t="shared" si="12"/>
        <v>12</v>
      </c>
      <c r="E390" s="354"/>
      <c r="F390" s="308"/>
      <c r="H390" s="337"/>
      <c r="K390" s="337"/>
      <c r="L390" s="304"/>
    </row>
    <row r="391" spans="1:12" ht="12">
      <c r="A391" s="354">
        <f t="shared" si="11"/>
        <v>13</v>
      </c>
      <c r="B391" s="338"/>
      <c r="D391" s="354">
        <f t="shared" si="12"/>
        <v>13</v>
      </c>
      <c r="E391" s="354"/>
      <c r="F391" s="308"/>
      <c r="G391" s="304"/>
      <c r="H391" s="337"/>
      <c r="I391" s="304"/>
      <c r="J391" s="304"/>
      <c r="K391" s="337"/>
      <c r="L391" s="304"/>
    </row>
    <row r="392" spans="1:12" ht="12">
      <c r="A392" s="354">
        <f t="shared" si="11"/>
        <v>14</v>
      </c>
      <c r="B392" s="20" t="s">
        <v>239</v>
      </c>
      <c r="C392" s="5"/>
      <c r="D392" s="356">
        <f t="shared" si="12"/>
        <v>14</v>
      </c>
      <c r="E392" s="356"/>
      <c r="F392" s="308"/>
      <c r="G392" s="304"/>
      <c r="H392" s="337"/>
      <c r="I392" s="304"/>
      <c r="J392" s="304"/>
      <c r="K392" s="337"/>
      <c r="L392" s="304"/>
    </row>
    <row r="393" spans="1:12" ht="12">
      <c r="A393" s="354">
        <f t="shared" si="11"/>
        <v>15</v>
      </c>
      <c r="B393" s="338"/>
      <c r="D393" s="354">
        <f t="shared" si="12"/>
        <v>15</v>
      </c>
      <c r="E393" s="354"/>
      <c r="F393" s="308"/>
      <c r="G393" s="304"/>
      <c r="H393" s="337"/>
      <c r="I393" s="304"/>
      <c r="J393" s="304"/>
      <c r="K393" s="337"/>
      <c r="L393" s="304"/>
    </row>
    <row r="394" spans="1:12" ht="12">
      <c r="A394" s="354">
        <f t="shared" si="11"/>
        <v>16</v>
      </c>
      <c r="B394" s="338"/>
      <c r="D394" s="354">
        <f t="shared" si="12"/>
        <v>16</v>
      </c>
      <c r="E394" s="354"/>
      <c r="F394" s="308"/>
      <c r="G394" s="304"/>
      <c r="H394" s="337"/>
      <c r="I394" s="304"/>
      <c r="J394" s="304"/>
      <c r="K394" s="337"/>
      <c r="L394" s="304"/>
    </row>
    <row r="395" spans="1:12" ht="12">
      <c r="A395" s="354">
        <f t="shared" si="11"/>
        <v>17</v>
      </c>
      <c r="B395" s="338"/>
      <c r="D395" s="354">
        <f t="shared" si="12"/>
        <v>17</v>
      </c>
      <c r="E395" s="354"/>
      <c r="F395" s="308"/>
      <c r="G395" s="304"/>
      <c r="H395" s="337"/>
      <c r="I395" s="304"/>
      <c r="J395" s="304"/>
      <c r="K395" s="337"/>
      <c r="L395" s="304"/>
    </row>
    <row r="396" spans="1:12" ht="12">
      <c r="A396" s="354">
        <f t="shared" si="11"/>
        <v>18</v>
      </c>
      <c r="B396" s="338"/>
      <c r="D396" s="354">
        <f t="shared" si="12"/>
        <v>18</v>
      </c>
      <c r="E396" s="354"/>
      <c r="F396" s="308"/>
      <c r="G396" s="304"/>
      <c r="H396" s="337"/>
      <c r="I396" s="304"/>
      <c r="J396" s="304"/>
      <c r="K396" s="337"/>
      <c r="L396" s="304"/>
    </row>
    <row r="397" spans="1:12" ht="12">
      <c r="A397" s="354">
        <f t="shared" si="11"/>
        <v>19</v>
      </c>
      <c r="B397" s="338"/>
      <c r="D397" s="354">
        <f t="shared" si="12"/>
        <v>19</v>
      </c>
      <c r="E397" s="354"/>
      <c r="F397" s="308"/>
      <c r="G397" s="304"/>
      <c r="H397" s="337"/>
      <c r="I397" s="304"/>
      <c r="J397" s="304"/>
      <c r="K397" s="337"/>
      <c r="L397" s="304"/>
    </row>
    <row r="398" spans="1:12" ht="12">
      <c r="A398" s="354">
        <f t="shared" si="11"/>
        <v>20</v>
      </c>
      <c r="B398" s="338"/>
      <c r="D398" s="354">
        <f t="shared" si="12"/>
        <v>20</v>
      </c>
      <c r="E398" s="354"/>
      <c r="F398" s="308"/>
      <c r="G398" s="304"/>
      <c r="H398" s="337"/>
      <c r="I398" s="304"/>
      <c r="J398" s="304"/>
      <c r="K398" s="337"/>
      <c r="L398" s="304"/>
    </row>
    <row r="399" spans="1:12" ht="12">
      <c r="A399" s="354">
        <f t="shared" si="11"/>
        <v>21</v>
      </c>
      <c r="B399" s="338"/>
      <c r="D399" s="354">
        <f t="shared" si="12"/>
        <v>21</v>
      </c>
      <c r="E399" s="354"/>
      <c r="F399" s="308"/>
      <c r="G399" s="304"/>
      <c r="H399" s="337"/>
      <c r="I399" s="304"/>
      <c r="J399" s="304"/>
      <c r="K399" s="337"/>
      <c r="L399" s="304"/>
    </row>
    <row r="400" spans="1:12" ht="12">
      <c r="A400" s="354">
        <f t="shared" si="11"/>
        <v>22</v>
      </c>
      <c r="B400" s="338"/>
      <c r="D400" s="354">
        <f t="shared" si="12"/>
        <v>22</v>
      </c>
      <c r="E400" s="354"/>
      <c r="F400" s="308"/>
      <c r="G400" s="304"/>
      <c r="H400" s="337"/>
      <c r="I400" s="304"/>
      <c r="J400" s="304"/>
      <c r="K400" s="337"/>
      <c r="L400" s="304"/>
    </row>
    <row r="401" spans="1:12" ht="12">
      <c r="A401" s="354">
        <f t="shared" si="11"/>
        <v>23</v>
      </c>
      <c r="B401" s="338"/>
      <c r="D401" s="354">
        <f t="shared" si="12"/>
        <v>23</v>
      </c>
      <c r="E401" s="354"/>
      <c r="F401" s="308"/>
      <c r="G401" s="304"/>
      <c r="H401" s="337"/>
      <c r="I401" s="304"/>
      <c r="J401" s="304"/>
      <c r="K401" s="337"/>
      <c r="L401" s="304"/>
    </row>
    <row r="402" spans="1:12" ht="12">
      <c r="A402" s="354">
        <f t="shared" si="11"/>
        <v>24</v>
      </c>
      <c r="B402" s="338"/>
      <c r="D402" s="354">
        <f t="shared" si="12"/>
        <v>24</v>
      </c>
      <c r="E402" s="354"/>
      <c r="F402" s="308"/>
      <c r="G402" s="304"/>
      <c r="H402" s="337"/>
      <c r="I402" s="304"/>
      <c r="J402" s="304"/>
      <c r="K402" s="337"/>
      <c r="L402" s="304"/>
    </row>
    <row r="403" spans="1:12" ht="12">
      <c r="A403" s="355"/>
      <c r="D403" s="355"/>
      <c r="E403" s="355"/>
      <c r="F403" s="252" t="s">
        <v>1</v>
      </c>
      <c r="G403" s="252" t="s">
        <v>1</v>
      </c>
      <c r="H403" s="252" t="s">
        <v>1</v>
      </c>
      <c r="I403" s="252" t="s">
        <v>1</v>
      </c>
      <c r="J403" s="252"/>
      <c r="K403" s="252" t="s">
        <v>1</v>
      </c>
      <c r="L403" s="252" t="s">
        <v>1</v>
      </c>
    </row>
    <row r="404" spans="1:12" ht="12">
      <c r="A404" s="354">
        <f>(A402+1)</f>
        <v>25</v>
      </c>
      <c r="B404" s="297" t="s">
        <v>240</v>
      </c>
      <c r="D404" s="354">
        <f>(D402+1)</f>
        <v>25</v>
      </c>
      <c r="E404" s="354"/>
      <c r="F404" s="308"/>
      <c r="G404" s="295">
        <f>SUM(G380:G402)</f>
        <v>30670450</v>
      </c>
      <c r="H404" s="300"/>
      <c r="I404" s="295">
        <f>SUM(I380:I402)</f>
        <v>20991320</v>
      </c>
      <c r="J404" s="295"/>
      <c r="K404" s="300"/>
      <c r="L404" s="295">
        <f>SUM(L380:L402)</f>
        <v>30451162</v>
      </c>
    </row>
    <row r="405" spans="1:12" ht="12">
      <c r="A405" s="354"/>
      <c r="B405" s="297"/>
      <c r="D405" s="354"/>
      <c r="E405" s="354"/>
      <c r="F405" s="252" t="s">
        <v>1</v>
      </c>
      <c r="G405" s="252" t="s">
        <v>1</v>
      </c>
      <c r="H405" s="298" t="s">
        <v>1</v>
      </c>
      <c r="I405" s="298" t="s">
        <v>1</v>
      </c>
      <c r="J405" s="298"/>
      <c r="K405" s="298" t="s">
        <v>1</v>
      </c>
      <c r="L405" s="298" t="s">
        <v>1</v>
      </c>
    </row>
    <row r="406" spans="4:5" ht="12">
      <c r="D406" s="299"/>
      <c r="E406" s="299"/>
    </row>
    <row r="407" spans="1:12" ht="12">
      <c r="A407" s="292" t="s">
        <v>75</v>
      </c>
      <c r="D407" s="299"/>
      <c r="E407" s="299"/>
      <c r="F407" s="296"/>
      <c r="G407" s="295"/>
      <c r="H407" s="296"/>
      <c r="I407" s="295"/>
      <c r="J407" s="295"/>
      <c r="K407" s="296"/>
      <c r="L407" s="294" t="s">
        <v>241</v>
      </c>
    </row>
    <row r="408" spans="1:12" ht="12">
      <c r="A408" s="464" t="s">
        <v>242</v>
      </c>
      <c r="B408" s="464"/>
      <c r="C408" s="464"/>
      <c r="D408" s="464"/>
      <c r="E408" s="464"/>
      <c r="F408" s="464"/>
      <c r="G408" s="464"/>
      <c r="H408" s="464"/>
      <c r="I408" s="464"/>
      <c r="J408" s="464"/>
      <c r="K408" s="464"/>
      <c r="L408" s="464"/>
    </row>
    <row r="409" spans="1:12" ht="12">
      <c r="A409" s="292" t="s">
        <v>78</v>
      </c>
      <c r="F409" s="353"/>
      <c r="I409" s="295"/>
      <c r="J409" s="295"/>
      <c r="K409" s="296"/>
      <c r="L409" s="291" t="s">
        <v>79</v>
      </c>
    </row>
    <row r="410" spans="1:12" ht="12">
      <c r="A410" s="283" t="s">
        <v>1</v>
      </c>
      <c r="B410" s="283" t="s">
        <v>1</v>
      </c>
      <c r="C410" s="283" t="s">
        <v>1</v>
      </c>
      <c r="D410" s="283" t="s">
        <v>1</v>
      </c>
      <c r="E410" s="283"/>
      <c r="F410" s="283" t="s">
        <v>1</v>
      </c>
      <c r="G410" s="283" t="s">
        <v>1</v>
      </c>
      <c r="H410" s="283" t="s">
        <v>1</v>
      </c>
      <c r="I410" s="283" t="s">
        <v>1</v>
      </c>
      <c r="J410" s="283"/>
      <c r="K410" s="283" t="s">
        <v>1</v>
      </c>
      <c r="L410" s="283" t="s">
        <v>1</v>
      </c>
    </row>
    <row r="411" spans="1:12" ht="12">
      <c r="A411" s="289" t="s">
        <v>2</v>
      </c>
      <c r="D411" s="289" t="s">
        <v>2</v>
      </c>
      <c r="E411" s="289"/>
      <c r="F411" s="285"/>
      <c r="G411" s="285" t="s">
        <v>62</v>
      </c>
      <c r="H411" s="309"/>
      <c r="I411" s="285" t="s">
        <v>65</v>
      </c>
      <c r="J411" s="285"/>
      <c r="K411" s="308"/>
      <c r="L411" s="285" t="s">
        <v>70</v>
      </c>
    </row>
    <row r="412" spans="1:12" ht="12">
      <c r="A412" s="289" t="s">
        <v>4</v>
      </c>
      <c r="B412" s="307" t="s">
        <v>18</v>
      </c>
      <c r="D412" s="289" t="s">
        <v>4</v>
      </c>
      <c r="E412" s="289"/>
      <c r="F412" s="286"/>
      <c r="G412" s="285" t="s">
        <v>7</v>
      </c>
      <c r="H412" s="286"/>
      <c r="I412" s="285" t="s">
        <v>7</v>
      </c>
      <c r="J412" s="285"/>
      <c r="K412" s="286"/>
      <c r="L412" s="285" t="s">
        <v>8</v>
      </c>
    </row>
    <row r="413" spans="1:12" ht="12">
      <c r="A413" s="283" t="s">
        <v>1</v>
      </c>
      <c r="B413" s="283" t="s">
        <v>1</v>
      </c>
      <c r="C413" s="283" t="s">
        <v>1</v>
      </c>
      <c r="D413" s="283" t="s">
        <v>1</v>
      </c>
      <c r="E413" s="283"/>
      <c r="F413" s="14" t="s">
        <v>1</v>
      </c>
      <c r="G413" s="14" t="s">
        <v>1</v>
      </c>
      <c r="H413" s="14" t="s">
        <v>1</v>
      </c>
      <c r="I413" s="14" t="s">
        <v>1</v>
      </c>
      <c r="J413" s="14"/>
      <c r="K413" s="14" t="s">
        <v>1</v>
      </c>
      <c r="L413" s="271" t="s">
        <v>1</v>
      </c>
    </row>
    <row r="414" spans="1:12" ht="12">
      <c r="A414" s="269">
        <v>1</v>
      </c>
      <c r="B414" s="269" t="s">
        <v>243</v>
      </c>
      <c r="D414" s="299">
        <v>1</v>
      </c>
      <c r="E414" s="299"/>
      <c r="G414" s="340">
        <f>33274713</f>
        <v>33274713</v>
      </c>
      <c r="I414" s="279">
        <f>14461424.22</f>
        <v>14461424.22</v>
      </c>
      <c r="J414" s="279"/>
      <c r="L414" s="279">
        <f>33494001</f>
        <v>33494001</v>
      </c>
    </row>
    <row r="415" spans="1:12" ht="12">
      <c r="A415" s="269">
        <v>2</v>
      </c>
      <c r="D415" s="299">
        <v>2</v>
      </c>
      <c r="E415" s="299"/>
      <c r="G415" s="340"/>
      <c r="I415" s="340"/>
      <c r="J415" s="340"/>
      <c r="L415" s="340"/>
    </row>
    <row r="416" spans="1:12" ht="12">
      <c r="A416" s="269">
        <v>3</v>
      </c>
      <c r="D416" s="299">
        <v>3</v>
      </c>
      <c r="E416" s="299"/>
      <c r="L416" s="340"/>
    </row>
    <row r="417" spans="1:12" ht="12">
      <c r="A417" s="269">
        <v>4</v>
      </c>
      <c r="D417" s="299">
        <v>4</v>
      </c>
      <c r="E417" s="299"/>
      <c r="L417" s="340"/>
    </row>
    <row r="418" spans="1:12" ht="12">
      <c r="A418" s="269">
        <v>5</v>
      </c>
      <c r="D418" s="299">
        <v>5</v>
      </c>
      <c r="E418" s="299"/>
      <c r="L418" s="340"/>
    </row>
    <row r="419" spans="1:12" ht="12">
      <c r="A419" s="269">
        <v>6</v>
      </c>
      <c r="D419" s="299">
        <v>6</v>
      </c>
      <c r="E419" s="299"/>
      <c r="L419" s="340"/>
    </row>
    <row r="420" spans="1:12" ht="12">
      <c r="A420" s="269">
        <v>7</v>
      </c>
      <c r="D420" s="299">
        <v>7</v>
      </c>
      <c r="E420" s="299"/>
      <c r="L420" s="340"/>
    </row>
    <row r="421" spans="1:12" ht="12">
      <c r="A421" s="269">
        <v>8</v>
      </c>
      <c r="D421" s="299">
        <v>8</v>
      </c>
      <c r="E421" s="299"/>
      <c r="L421" s="340"/>
    </row>
    <row r="422" spans="1:12" ht="12">
      <c r="A422" s="269">
        <v>9</v>
      </c>
      <c r="D422" s="299">
        <v>9</v>
      </c>
      <c r="E422" s="299"/>
      <c r="L422" s="340"/>
    </row>
    <row r="423" spans="1:12" ht="12">
      <c r="A423" s="269">
        <v>10</v>
      </c>
      <c r="D423" s="299">
        <v>10</v>
      </c>
      <c r="E423" s="299"/>
      <c r="L423" s="340"/>
    </row>
    <row r="424" spans="1:12" ht="12">
      <c r="A424" s="269">
        <v>11</v>
      </c>
      <c r="D424" s="299">
        <v>11</v>
      </c>
      <c r="E424" s="299"/>
      <c r="L424" s="340"/>
    </row>
    <row r="425" spans="1:12" ht="12">
      <c r="A425" s="269">
        <v>12</v>
      </c>
      <c r="D425" s="299">
        <v>12</v>
      </c>
      <c r="E425" s="299"/>
      <c r="L425" s="340"/>
    </row>
    <row r="426" spans="1:12" ht="12">
      <c r="A426" s="269">
        <v>13</v>
      </c>
      <c r="D426" s="299">
        <v>13</v>
      </c>
      <c r="E426" s="299"/>
      <c r="L426" s="340"/>
    </row>
    <row r="427" spans="1:12" ht="12">
      <c r="A427" s="269">
        <v>14</v>
      </c>
      <c r="D427" s="299">
        <v>14</v>
      </c>
      <c r="E427" s="299"/>
      <c r="L427" s="340"/>
    </row>
    <row r="428" spans="1:12" ht="12">
      <c r="A428" s="269">
        <v>15</v>
      </c>
      <c r="D428" s="299">
        <v>15</v>
      </c>
      <c r="E428" s="299"/>
      <c r="L428" s="340"/>
    </row>
    <row r="429" spans="1:12" ht="12">
      <c r="A429" s="269">
        <v>16</v>
      </c>
      <c r="D429" s="299">
        <v>16</v>
      </c>
      <c r="E429" s="299"/>
      <c r="L429" s="340"/>
    </row>
    <row r="430" spans="1:12" ht="12">
      <c r="A430" s="269">
        <v>17</v>
      </c>
      <c r="D430" s="299">
        <v>17</v>
      </c>
      <c r="E430" s="299"/>
      <c r="L430" s="340"/>
    </row>
    <row r="431" spans="1:12" ht="12">
      <c r="A431" s="269">
        <v>18</v>
      </c>
      <c r="D431" s="299">
        <v>18</v>
      </c>
      <c r="E431" s="299"/>
      <c r="L431" s="340"/>
    </row>
    <row r="432" spans="1:12" ht="12">
      <c r="A432" s="269">
        <v>19</v>
      </c>
      <c r="D432" s="299">
        <v>19</v>
      </c>
      <c r="E432" s="299"/>
      <c r="L432" s="340"/>
    </row>
    <row r="433" spans="1:12" ht="12">
      <c r="A433" s="269">
        <v>20</v>
      </c>
      <c r="D433" s="299">
        <v>20</v>
      </c>
      <c r="E433" s="299"/>
      <c r="L433" s="340"/>
    </row>
    <row r="434" spans="1:12" ht="12">
      <c r="A434" s="269">
        <v>21</v>
      </c>
      <c r="D434" s="299">
        <v>21</v>
      </c>
      <c r="E434" s="299"/>
      <c r="L434" s="340"/>
    </row>
    <row r="435" spans="1:12" ht="12">
      <c r="A435" s="269">
        <v>22</v>
      </c>
      <c r="D435" s="299">
        <v>22</v>
      </c>
      <c r="E435" s="299"/>
      <c r="L435" s="340"/>
    </row>
    <row r="436" spans="1:12" ht="12">
      <c r="A436" s="269">
        <v>23</v>
      </c>
      <c r="D436" s="299">
        <v>23</v>
      </c>
      <c r="E436" s="299"/>
      <c r="L436" s="340"/>
    </row>
    <row r="437" spans="1:12" ht="12">
      <c r="A437" s="269">
        <v>24</v>
      </c>
      <c r="D437" s="299">
        <v>24</v>
      </c>
      <c r="E437" s="299"/>
      <c r="L437" s="340"/>
    </row>
    <row r="438" spans="4:12" ht="12">
      <c r="D438" s="299"/>
      <c r="E438" s="299"/>
      <c r="F438" s="252" t="s">
        <v>1</v>
      </c>
      <c r="G438" s="252" t="s">
        <v>1</v>
      </c>
      <c r="H438" s="252" t="s">
        <v>1</v>
      </c>
      <c r="I438" s="252" t="s">
        <v>1</v>
      </c>
      <c r="J438" s="252"/>
      <c r="K438" s="252" t="s">
        <v>1</v>
      </c>
      <c r="L438" s="18" t="s">
        <v>1</v>
      </c>
    </row>
    <row r="439" spans="1:12" ht="12">
      <c r="A439" s="269">
        <v>25</v>
      </c>
      <c r="B439" s="269" t="s">
        <v>244</v>
      </c>
      <c r="D439" s="299">
        <v>25</v>
      </c>
      <c r="E439" s="299"/>
      <c r="G439" s="340">
        <f>SUM(G414:G437)</f>
        <v>33274713</v>
      </c>
      <c r="I439" s="340">
        <f>SUM(I414:I437)</f>
        <v>14461424.22</v>
      </c>
      <c r="J439" s="340"/>
      <c r="L439" s="340">
        <f>SUM(L414:L437)</f>
        <v>33494001</v>
      </c>
    </row>
    <row r="440" spans="4:12" ht="12">
      <c r="D440" s="299"/>
      <c r="E440" s="299"/>
      <c r="F440" s="252" t="s">
        <v>1</v>
      </c>
      <c r="G440" s="252" t="s">
        <v>1</v>
      </c>
      <c r="H440" s="252" t="s">
        <v>1</v>
      </c>
      <c r="I440" s="252" t="s">
        <v>1</v>
      </c>
      <c r="J440" s="252"/>
      <c r="K440" s="252" t="s">
        <v>1</v>
      </c>
      <c r="L440" s="252" t="s">
        <v>1</v>
      </c>
    </row>
    <row r="441" spans="4:12" ht="12">
      <c r="D441" s="299"/>
      <c r="E441" s="299"/>
      <c r="F441" s="296"/>
      <c r="G441" s="295"/>
      <c r="H441" s="296"/>
      <c r="I441" s="295"/>
      <c r="J441" s="295"/>
      <c r="K441" s="296"/>
      <c r="L441" s="295"/>
    </row>
    <row r="442" spans="1:12" ht="12">
      <c r="A442" s="292" t="s">
        <v>106</v>
      </c>
      <c r="D442" s="299"/>
      <c r="E442" s="299"/>
      <c r="F442" s="296"/>
      <c r="G442" s="295"/>
      <c r="H442" s="296"/>
      <c r="I442" s="295"/>
      <c r="J442" s="295"/>
      <c r="K442" s="296"/>
      <c r="L442" s="294" t="s">
        <v>245</v>
      </c>
    </row>
    <row r="443" spans="1:12" ht="12">
      <c r="A443" s="462" t="s">
        <v>246</v>
      </c>
      <c r="B443" s="462"/>
      <c r="C443" s="462"/>
      <c r="D443" s="462"/>
      <c r="E443" s="462"/>
      <c r="F443" s="462"/>
      <c r="G443" s="462"/>
      <c r="H443" s="462"/>
      <c r="I443" s="462"/>
      <c r="J443" s="462"/>
      <c r="K443" s="462"/>
      <c r="L443" s="462"/>
    </row>
    <row r="444" spans="1:12" ht="12">
      <c r="A444" s="292" t="s">
        <v>78</v>
      </c>
      <c r="F444" s="296"/>
      <c r="G444" s="295"/>
      <c r="H444" s="343"/>
      <c r="I444" s="296"/>
      <c r="J444" s="296"/>
      <c r="K444" s="296"/>
      <c r="L444" s="291" t="s">
        <v>79</v>
      </c>
    </row>
    <row r="445" spans="1:12" ht="12">
      <c r="A445" s="283" t="s">
        <v>1</v>
      </c>
      <c r="B445" s="283" t="s">
        <v>1</v>
      </c>
      <c r="C445" s="283" t="s">
        <v>1</v>
      </c>
      <c r="D445" s="283" t="s">
        <v>1</v>
      </c>
      <c r="E445" s="283"/>
      <c r="F445" s="283" t="s">
        <v>1</v>
      </c>
      <c r="G445" s="283" t="s">
        <v>1</v>
      </c>
      <c r="H445" s="283" t="s">
        <v>1</v>
      </c>
      <c r="I445" s="283" t="s">
        <v>1</v>
      </c>
      <c r="J445" s="283"/>
      <c r="K445" s="283" t="s">
        <v>1</v>
      </c>
      <c r="L445" s="283" t="s">
        <v>1</v>
      </c>
    </row>
    <row r="446" spans="1:12" ht="12">
      <c r="A446" s="289" t="s">
        <v>2</v>
      </c>
      <c r="D446" s="289" t="s">
        <v>2</v>
      </c>
      <c r="E446" s="289"/>
      <c r="F446" s="286"/>
      <c r="G446" s="285" t="s">
        <v>62</v>
      </c>
      <c r="H446" s="309"/>
      <c r="I446" s="285" t="s">
        <v>65</v>
      </c>
      <c r="J446" s="285"/>
      <c r="K446" s="308"/>
      <c r="L446" s="285" t="s">
        <v>70</v>
      </c>
    </row>
    <row r="447" spans="1:12" ht="12">
      <c r="A447" s="289" t="s">
        <v>4</v>
      </c>
      <c r="B447" s="307" t="s">
        <v>18</v>
      </c>
      <c r="D447" s="289" t="s">
        <v>4</v>
      </c>
      <c r="E447" s="289"/>
      <c r="F447" s="286" t="s">
        <v>247</v>
      </c>
      <c r="G447" s="285" t="s">
        <v>7</v>
      </c>
      <c r="H447" s="286" t="s">
        <v>247</v>
      </c>
      <c r="I447" s="306" t="s">
        <v>7</v>
      </c>
      <c r="J447" s="306"/>
      <c r="K447" s="286" t="s">
        <v>247</v>
      </c>
      <c r="L447" s="306" t="s">
        <v>8</v>
      </c>
    </row>
    <row r="448" spans="1:12" ht="12">
      <c r="A448" s="283" t="s">
        <v>1</v>
      </c>
      <c r="B448" s="283" t="s">
        <v>1</v>
      </c>
      <c r="C448" s="283" t="s">
        <v>1</v>
      </c>
      <c r="D448" s="283" t="s">
        <v>1</v>
      </c>
      <c r="E448" s="283"/>
      <c r="F448" s="14" t="s">
        <v>1</v>
      </c>
      <c r="G448" s="14" t="s">
        <v>1</v>
      </c>
      <c r="H448" s="283" t="s">
        <v>1</v>
      </c>
      <c r="I448" s="283" t="s">
        <v>1</v>
      </c>
      <c r="J448" s="283"/>
      <c r="K448" s="283" t="s">
        <v>1</v>
      </c>
      <c r="L448" s="270" t="s">
        <v>1</v>
      </c>
    </row>
    <row r="449" spans="1:12" ht="12">
      <c r="A449" s="280">
        <v>1</v>
      </c>
      <c r="B449" s="297" t="s">
        <v>248</v>
      </c>
      <c r="C449" s="352"/>
      <c r="D449" s="280">
        <v>1</v>
      </c>
      <c r="E449" s="280"/>
      <c r="F449" s="303">
        <f>1353.7</f>
        <v>1353.7</v>
      </c>
      <c r="G449" s="302">
        <f>132387858.85</f>
        <v>132387858.85</v>
      </c>
      <c r="H449" s="303">
        <f>1355.3</f>
        <v>1355.3</v>
      </c>
      <c r="I449" s="302">
        <f>135095136.71</f>
        <v>135095136.71</v>
      </c>
      <c r="J449" s="302"/>
      <c r="K449" s="303">
        <f>1375.2</f>
        <v>1375.2</v>
      </c>
      <c r="L449" s="302">
        <f>137082521</f>
        <v>137082521</v>
      </c>
    </row>
    <row r="450" spans="1:12" ht="12">
      <c r="A450" s="280">
        <v>2</v>
      </c>
      <c r="B450" s="297" t="s">
        <v>249</v>
      </c>
      <c r="C450" s="352"/>
      <c r="D450" s="280">
        <v>2</v>
      </c>
      <c r="E450" s="280"/>
      <c r="F450" s="303"/>
      <c r="G450" s="302">
        <f>35378521.12</f>
        <v>35378521.12</v>
      </c>
      <c r="H450" s="303"/>
      <c r="I450" s="302">
        <f>33122596.08</f>
        <v>33122596.08</v>
      </c>
      <c r="J450" s="302"/>
      <c r="K450" s="303"/>
      <c r="L450" s="302">
        <f>33738695</f>
        <v>33738695</v>
      </c>
    </row>
    <row r="451" spans="1:12" ht="12">
      <c r="A451" s="280">
        <v>3</v>
      </c>
      <c r="B451" s="297" t="s">
        <v>250</v>
      </c>
      <c r="C451" s="352"/>
      <c r="D451" s="280">
        <v>3</v>
      </c>
      <c r="E451" s="280"/>
      <c r="F451" s="303">
        <f>434</f>
        <v>434</v>
      </c>
      <c r="G451" s="302">
        <f>17528731.9+13670135.44</f>
        <v>31198867.339999996</v>
      </c>
      <c r="H451" s="303">
        <f>438.3</f>
        <v>438.3</v>
      </c>
      <c r="I451" s="302">
        <f>17953883.26+14415365.05</f>
        <v>32369248.310000002</v>
      </c>
      <c r="J451" s="302"/>
      <c r="K451" s="303">
        <f>449.2</f>
        <v>449.2</v>
      </c>
      <c r="L451" s="302">
        <f>18442453+14737386</f>
        <v>33179839</v>
      </c>
    </row>
    <row r="452" spans="1:12" ht="12">
      <c r="A452" s="280">
        <v>4</v>
      </c>
      <c r="B452" s="297" t="s">
        <v>251</v>
      </c>
      <c r="C452" s="352"/>
      <c r="D452" s="280">
        <v>4</v>
      </c>
      <c r="E452" s="280"/>
      <c r="F452" s="300">
        <f>SUM(F449,F451)</f>
        <v>1787.7</v>
      </c>
      <c r="G452" s="295">
        <f>SUM(G449:G451)</f>
        <v>198965247.31</v>
      </c>
      <c r="H452" s="300">
        <f>SUM(H449,H451)</f>
        <v>1793.6</v>
      </c>
      <c r="I452" s="295">
        <f>SUM(I449:I451)</f>
        <v>200586981.10000002</v>
      </c>
      <c r="J452" s="295"/>
      <c r="K452" s="300">
        <f>SUM(K449,K451)</f>
        <v>1824.4</v>
      </c>
      <c r="L452" s="295">
        <f>SUM(L449:L451)</f>
        <v>204001055</v>
      </c>
    </row>
    <row r="453" spans="1:12" ht="12">
      <c r="A453" s="280">
        <v>5</v>
      </c>
      <c r="C453" s="352"/>
      <c r="D453" s="280">
        <v>5</v>
      </c>
      <c r="E453" s="280"/>
      <c r="F453" s="300"/>
      <c r="G453" s="295"/>
      <c r="H453" s="300"/>
      <c r="I453" s="295"/>
      <c r="J453" s="295"/>
      <c r="K453" s="345"/>
      <c r="L453" s="295"/>
    </row>
    <row r="454" spans="1:12" ht="12">
      <c r="A454" s="280">
        <v>6</v>
      </c>
      <c r="B454" s="297" t="s">
        <v>252</v>
      </c>
      <c r="C454" s="352"/>
      <c r="D454" s="280">
        <v>6</v>
      </c>
      <c r="E454" s="280"/>
      <c r="F454" s="303">
        <f>91.9</f>
        <v>91.9</v>
      </c>
      <c r="G454" s="302">
        <f>3512234.83+2738621.54</f>
        <v>6250856.37</v>
      </c>
      <c r="H454" s="303">
        <f>91.6</f>
        <v>91.6</v>
      </c>
      <c r="I454" s="302">
        <f>3499298.55+2809351.22</f>
        <v>6308649.77</v>
      </c>
      <c r="J454" s="302"/>
      <c r="K454" s="303">
        <f>91.6</f>
        <v>91.6</v>
      </c>
      <c r="L454" s="302">
        <f>3509516+2872108</f>
        <v>6381624</v>
      </c>
    </row>
    <row r="455" spans="1:12" ht="12">
      <c r="A455" s="280">
        <v>7</v>
      </c>
      <c r="B455" s="297" t="s">
        <v>253</v>
      </c>
      <c r="C455" s="352"/>
      <c r="D455" s="280">
        <v>7</v>
      </c>
      <c r="E455" s="280"/>
      <c r="F455" s="303">
        <f>286.7</f>
        <v>286.7</v>
      </c>
      <c r="G455" s="302">
        <f>14339246.96</f>
        <v>14339246.96</v>
      </c>
      <c r="H455" s="303">
        <f>280</f>
        <v>280</v>
      </c>
      <c r="I455" s="302">
        <f>14001668.7</f>
        <v>14001668.7</v>
      </c>
      <c r="J455" s="302"/>
      <c r="K455" s="303">
        <f>280.3</f>
        <v>280.3</v>
      </c>
      <c r="L455" s="302">
        <f>14017597</f>
        <v>14017597</v>
      </c>
    </row>
    <row r="456" spans="1:12" ht="12">
      <c r="A456" s="280">
        <v>8</v>
      </c>
      <c r="B456" s="297" t="s">
        <v>254</v>
      </c>
      <c r="C456" s="352"/>
      <c r="D456" s="280">
        <v>8</v>
      </c>
      <c r="E456" s="280"/>
      <c r="F456" s="303"/>
      <c r="G456" s="302">
        <f>3962230.29</f>
        <v>3962230.29</v>
      </c>
      <c r="H456" s="303"/>
      <c r="I456" s="302">
        <f>3925892.6</f>
        <v>3925892.6</v>
      </c>
      <c r="J456" s="302"/>
      <c r="K456" s="303"/>
      <c r="L456" s="302">
        <f>4088375</f>
        <v>4088375</v>
      </c>
    </row>
    <row r="457" spans="1:12" ht="12">
      <c r="A457" s="280">
        <v>9</v>
      </c>
      <c r="B457" s="297" t="s">
        <v>255</v>
      </c>
      <c r="C457" s="352"/>
      <c r="D457" s="280">
        <v>9</v>
      </c>
      <c r="E457" s="280"/>
      <c r="F457" s="300">
        <f>SUM(F454,F455)</f>
        <v>378.6</v>
      </c>
      <c r="G457" s="295">
        <f>SUM(G454:G456)</f>
        <v>24552333.62</v>
      </c>
      <c r="H457" s="300">
        <f>SUM(H454,H455)</f>
        <v>371.6</v>
      </c>
      <c r="I457" s="295">
        <f>SUM(I454:I456)</f>
        <v>24236211.07</v>
      </c>
      <c r="J457" s="295"/>
      <c r="K457" s="300">
        <f>SUM(K454,K455)</f>
        <v>371.9</v>
      </c>
      <c r="L457" s="295">
        <f>SUM(L454:L456)</f>
        <v>24487596</v>
      </c>
    </row>
    <row r="458" spans="1:12" ht="12">
      <c r="A458" s="280">
        <v>10</v>
      </c>
      <c r="C458" s="352"/>
      <c r="D458" s="280">
        <v>10</v>
      </c>
      <c r="E458" s="280"/>
      <c r="F458" s="300"/>
      <c r="G458" s="295"/>
      <c r="H458" s="300"/>
      <c r="I458" s="295"/>
      <c r="J458" s="295"/>
      <c r="K458" s="300"/>
      <c r="L458" s="295"/>
    </row>
    <row r="459" spans="1:12" ht="12">
      <c r="A459" s="280">
        <v>11</v>
      </c>
      <c r="B459" s="297" t="s">
        <v>256</v>
      </c>
      <c r="C459" s="352"/>
      <c r="D459" s="280">
        <v>11</v>
      </c>
      <c r="E459" s="280"/>
      <c r="F459" s="300">
        <f>SUM(F452,F457)</f>
        <v>2166.3</v>
      </c>
      <c r="G459" s="295">
        <f>SUM(G452,G457)</f>
        <v>223517580.93</v>
      </c>
      <c r="H459" s="300">
        <f>SUM(H452,H457)</f>
        <v>2165.2</v>
      </c>
      <c r="I459" s="295">
        <f>SUM(I452,I457)</f>
        <v>224823192.17000002</v>
      </c>
      <c r="J459" s="295"/>
      <c r="K459" s="300">
        <f>SUM(K452,K457)</f>
        <v>2196.3</v>
      </c>
      <c r="L459" s="295">
        <f>SUM(L452,L457)</f>
        <v>228488651</v>
      </c>
    </row>
    <row r="460" spans="1:12" ht="12">
      <c r="A460" s="280">
        <v>12</v>
      </c>
      <c r="C460" s="352"/>
      <c r="D460" s="280">
        <v>12</v>
      </c>
      <c r="E460" s="280"/>
      <c r="G460" s="295"/>
      <c r="I460" s="295"/>
      <c r="J460" s="295"/>
      <c r="L460" s="295"/>
    </row>
    <row r="461" spans="1:12" ht="12">
      <c r="A461" s="280">
        <v>13</v>
      </c>
      <c r="B461" s="297" t="s">
        <v>257</v>
      </c>
      <c r="C461" s="352"/>
      <c r="D461" s="280">
        <v>13</v>
      </c>
      <c r="E461" s="280"/>
      <c r="F461" s="303">
        <f>92</f>
        <v>92</v>
      </c>
      <c r="G461" s="302">
        <f>1817774.29+20000.65</f>
        <v>1837774.94</v>
      </c>
      <c r="H461" s="303">
        <f>98.3</f>
        <v>98.3</v>
      </c>
      <c r="I461" s="302">
        <f>1941577.13+27241.36</f>
        <v>1968818.49</v>
      </c>
      <c r="J461" s="302"/>
      <c r="K461" s="303">
        <f>99.2</f>
        <v>99.2</v>
      </c>
      <c r="L461" s="302">
        <f>1960492+27197</f>
        <v>1987689</v>
      </c>
    </row>
    <row r="462" spans="1:12" ht="12">
      <c r="A462" s="280">
        <v>14</v>
      </c>
      <c r="C462" s="352"/>
      <c r="D462" s="280">
        <v>14</v>
      </c>
      <c r="E462" s="280"/>
      <c r="F462" s="338"/>
      <c r="G462" s="302"/>
      <c r="H462" s="338"/>
      <c r="I462" s="302"/>
      <c r="J462" s="302"/>
      <c r="K462" s="338"/>
      <c r="L462" s="302"/>
    </row>
    <row r="463" spans="1:12" ht="12">
      <c r="A463" s="280">
        <v>15</v>
      </c>
      <c r="B463" s="297" t="s">
        <v>258</v>
      </c>
      <c r="C463" s="352"/>
      <c r="D463" s="280">
        <v>15</v>
      </c>
      <c r="E463" s="280"/>
      <c r="F463" s="303"/>
      <c r="G463" s="302">
        <f>2669458.51</f>
        <v>2669458.51</v>
      </c>
      <c r="H463" s="303"/>
      <c r="I463" s="302">
        <f>2972545.06</f>
        <v>2972545.06</v>
      </c>
      <c r="J463" s="302"/>
      <c r="K463" s="303"/>
      <c r="L463" s="302">
        <f>3172314</f>
        <v>3172314</v>
      </c>
    </row>
    <row r="464" spans="1:12" ht="12">
      <c r="A464" s="24">
        <v>16</v>
      </c>
      <c r="B464" s="297" t="s">
        <v>259</v>
      </c>
      <c r="C464" s="352"/>
      <c r="D464" s="24">
        <v>16</v>
      </c>
      <c r="E464" s="24"/>
      <c r="F464" s="303"/>
      <c r="G464" s="302">
        <f>18321095.01</f>
        <v>18321095.01</v>
      </c>
      <c r="H464" s="303"/>
      <c r="I464" s="302">
        <f>17738982.74</f>
        <v>17738982.74</v>
      </c>
      <c r="J464" s="302"/>
      <c r="K464" s="303"/>
      <c r="L464" s="302">
        <f>32653360-296971-100000</f>
        <v>32256389</v>
      </c>
    </row>
    <row r="465" spans="1:12" ht="12">
      <c r="A465" s="24"/>
      <c r="B465" s="297"/>
      <c r="D465" s="24"/>
      <c r="E465" s="24"/>
      <c r="F465" s="303"/>
      <c r="G465" s="302"/>
      <c r="H465" s="303"/>
      <c r="I465" s="302"/>
      <c r="J465" s="302"/>
      <c r="K465" s="303"/>
      <c r="L465" s="302"/>
    </row>
    <row r="466" spans="1:12" ht="12">
      <c r="A466" s="24">
        <v>17</v>
      </c>
      <c r="B466" s="297" t="s">
        <v>260</v>
      </c>
      <c r="D466" s="24">
        <v>17</v>
      </c>
      <c r="E466" s="24"/>
      <c r="F466" s="303"/>
      <c r="G466" s="302"/>
      <c r="H466" s="303"/>
      <c r="I466" s="302"/>
      <c r="J466" s="302"/>
      <c r="K466" s="346"/>
      <c r="L466" s="302"/>
    </row>
    <row r="467" spans="1:12" ht="12">
      <c r="A467" s="280">
        <v>18</v>
      </c>
      <c r="B467" s="269" t="s">
        <v>261</v>
      </c>
      <c r="D467" s="24">
        <v>18</v>
      </c>
      <c r="E467" s="24"/>
      <c r="F467" s="303"/>
      <c r="G467" s="302"/>
      <c r="H467" s="303"/>
      <c r="I467" s="351"/>
      <c r="J467" s="351"/>
      <c r="K467" s="303"/>
      <c r="L467" s="302"/>
    </row>
    <row r="468" spans="1:12" ht="12">
      <c r="A468" s="280">
        <v>19</v>
      </c>
      <c r="D468" s="269">
        <v>19</v>
      </c>
      <c r="F468" s="298"/>
      <c r="G468" s="298"/>
      <c r="H468" s="298"/>
      <c r="I468" s="298"/>
      <c r="J468" s="298"/>
      <c r="K468" s="298"/>
      <c r="L468" s="298"/>
    </row>
    <row r="469" spans="1:12" ht="12">
      <c r="A469" s="280">
        <v>20</v>
      </c>
      <c r="D469" s="24">
        <v>20</v>
      </c>
      <c r="E469" s="24"/>
      <c r="F469" s="298"/>
      <c r="G469" s="298"/>
      <c r="H469" s="298"/>
      <c r="I469" s="298"/>
      <c r="J469" s="298"/>
      <c r="K469" s="298"/>
      <c r="L469" s="298"/>
    </row>
    <row r="470" spans="1:12" s="5" customFormat="1" ht="12">
      <c r="A470" s="24">
        <v>21</v>
      </c>
      <c r="D470" s="24">
        <v>21</v>
      </c>
      <c r="E470" s="24"/>
      <c r="F470" s="252"/>
      <c r="G470" s="274"/>
      <c r="H470" s="252"/>
      <c r="I470" s="274"/>
      <c r="J470" s="274"/>
      <c r="K470" s="252"/>
      <c r="L470" s="274"/>
    </row>
    <row r="471" spans="1:12" s="5" customFormat="1" ht="12">
      <c r="A471" s="24">
        <v>22</v>
      </c>
      <c r="D471" s="24">
        <v>22</v>
      </c>
      <c r="E471" s="24"/>
      <c r="F471" s="308"/>
      <c r="G471" s="274"/>
      <c r="H471" s="308"/>
      <c r="I471" s="274"/>
      <c r="J471" s="274"/>
      <c r="K471" s="308"/>
      <c r="L471" s="274"/>
    </row>
    <row r="472" spans="1:12" s="5" customFormat="1" ht="12">
      <c r="A472" s="24">
        <v>23</v>
      </c>
      <c r="C472" s="313"/>
      <c r="D472" s="24">
        <v>23</v>
      </c>
      <c r="E472" s="24"/>
      <c r="G472" s="274"/>
      <c r="I472" s="274"/>
      <c r="J472" s="274"/>
      <c r="L472" s="274"/>
    </row>
    <row r="473" spans="1:12" s="5" customFormat="1" ht="12">
      <c r="A473" s="24">
        <v>24</v>
      </c>
      <c r="C473" s="313"/>
      <c r="D473" s="24">
        <v>24</v>
      </c>
      <c r="E473" s="24"/>
      <c r="G473" s="274"/>
      <c r="I473" s="274"/>
      <c r="J473" s="274"/>
      <c r="L473" s="274"/>
    </row>
    <row r="474" spans="6:12" ht="12">
      <c r="F474" s="252" t="s">
        <v>1</v>
      </c>
      <c r="G474" s="252" t="s">
        <v>1</v>
      </c>
      <c r="H474" s="298" t="s">
        <v>1</v>
      </c>
      <c r="I474" s="298" t="s">
        <v>1</v>
      </c>
      <c r="J474" s="298"/>
      <c r="K474" s="298" t="s">
        <v>1</v>
      </c>
      <c r="L474" s="298" t="s">
        <v>1</v>
      </c>
    </row>
    <row r="475" spans="1:12" ht="12">
      <c r="A475" s="280">
        <v>25</v>
      </c>
      <c r="B475" s="297" t="s">
        <v>262</v>
      </c>
      <c r="D475" s="280">
        <v>25</v>
      </c>
      <c r="E475" s="280"/>
      <c r="F475" s="350">
        <f>F459</f>
        <v>2166.3</v>
      </c>
      <c r="G475" s="344">
        <f>SUM(G459:G473)</f>
        <v>246345909.39</v>
      </c>
      <c r="H475" s="350">
        <f>H459</f>
        <v>2165.2</v>
      </c>
      <c r="I475" s="344">
        <f>SUM(I459:I473)</f>
        <v>247503538.46000004</v>
      </c>
      <c r="J475" s="344"/>
      <c r="K475" s="350">
        <f>K459</f>
        <v>2196.3</v>
      </c>
      <c r="L475" s="295">
        <f>SUM(L459:L473)</f>
        <v>265905043</v>
      </c>
    </row>
    <row r="476" spans="1:12" ht="12">
      <c r="A476" s="280"/>
      <c r="B476" s="297"/>
      <c r="D476" s="280"/>
      <c r="E476" s="280"/>
      <c r="F476" s="252" t="s">
        <v>1</v>
      </c>
      <c r="G476" s="252" t="s">
        <v>1</v>
      </c>
      <c r="H476" s="298" t="s">
        <v>1</v>
      </c>
      <c r="I476" s="298" t="s">
        <v>1</v>
      </c>
      <c r="J476" s="298"/>
      <c r="K476" s="298" t="s">
        <v>1</v>
      </c>
      <c r="L476" s="298" t="s">
        <v>1</v>
      </c>
    </row>
    <row r="477" spans="1:5" ht="12">
      <c r="A477" s="297" t="s">
        <v>263</v>
      </c>
      <c r="D477" s="299"/>
      <c r="E477" s="299"/>
    </row>
    <row r="478" spans="1:7" ht="12">
      <c r="A478" s="269" t="s">
        <v>264</v>
      </c>
      <c r="G478" s="340"/>
    </row>
    <row r="480" spans="1:12" ht="12">
      <c r="A480" s="292" t="s">
        <v>106</v>
      </c>
      <c r="D480" s="299"/>
      <c r="E480" s="299"/>
      <c r="F480" s="296"/>
      <c r="G480" s="295"/>
      <c r="H480" s="296"/>
      <c r="I480" s="295"/>
      <c r="J480" s="295"/>
      <c r="K480" s="296"/>
      <c r="L480" s="294" t="s">
        <v>265</v>
      </c>
    </row>
    <row r="481" spans="1:12" ht="12">
      <c r="A481" s="462" t="s">
        <v>266</v>
      </c>
      <c r="B481" s="462"/>
      <c r="C481" s="462"/>
      <c r="D481" s="462"/>
      <c r="E481" s="462"/>
      <c r="F481" s="462"/>
      <c r="G481" s="462"/>
      <c r="H481" s="462"/>
      <c r="I481" s="462"/>
      <c r="J481" s="462"/>
      <c r="K481" s="462"/>
      <c r="L481" s="462"/>
    </row>
    <row r="482" spans="1:12" ht="12">
      <c r="A482" s="292" t="s">
        <v>78</v>
      </c>
      <c r="F482" s="296"/>
      <c r="G482" s="343"/>
      <c r="H482" s="342"/>
      <c r="I482" s="341"/>
      <c r="J482" s="341"/>
      <c r="K482" s="296"/>
      <c r="L482" s="291" t="s">
        <v>79</v>
      </c>
    </row>
    <row r="483" spans="1:12" ht="12">
      <c r="A483" s="283" t="s">
        <v>1</v>
      </c>
      <c r="B483" s="283" t="s">
        <v>1</v>
      </c>
      <c r="C483" s="283" t="s">
        <v>1</v>
      </c>
      <c r="D483" s="283" t="s">
        <v>1</v>
      </c>
      <c r="E483" s="283"/>
      <c r="F483" s="283" t="s">
        <v>1</v>
      </c>
      <c r="G483" s="283" t="s">
        <v>1</v>
      </c>
      <c r="H483" s="283" t="s">
        <v>1</v>
      </c>
      <c r="I483" s="283" t="s">
        <v>1</v>
      </c>
      <c r="J483" s="283"/>
      <c r="K483" s="283" t="s">
        <v>1</v>
      </c>
      <c r="L483" s="283" t="s">
        <v>1</v>
      </c>
    </row>
    <row r="484" spans="1:12" ht="12">
      <c r="A484" s="289" t="s">
        <v>2</v>
      </c>
      <c r="D484" s="289" t="s">
        <v>2</v>
      </c>
      <c r="E484" s="289"/>
      <c r="F484" s="286"/>
      <c r="G484" s="285" t="s">
        <v>62</v>
      </c>
      <c r="H484" s="309"/>
      <c r="I484" s="285" t="s">
        <v>65</v>
      </c>
      <c r="J484" s="285"/>
      <c r="K484" s="308"/>
      <c r="L484" s="285" t="s">
        <v>70</v>
      </c>
    </row>
    <row r="485" spans="1:12" ht="12">
      <c r="A485" s="289" t="s">
        <v>4</v>
      </c>
      <c r="B485" s="307" t="s">
        <v>18</v>
      </c>
      <c r="D485" s="289" t="s">
        <v>4</v>
      </c>
      <c r="E485" s="289"/>
      <c r="F485" s="286" t="s">
        <v>6</v>
      </c>
      <c r="G485" s="285" t="s">
        <v>7</v>
      </c>
      <c r="H485" s="286" t="s">
        <v>6</v>
      </c>
      <c r="I485" s="285" t="s">
        <v>7</v>
      </c>
      <c r="J485" s="285"/>
      <c r="K485" s="286" t="s">
        <v>6</v>
      </c>
      <c r="L485" s="285" t="s">
        <v>8</v>
      </c>
    </row>
    <row r="486" spans="1:12" ht="12">
      <c r="A486" s="283" t="s">
        <v>1</v>
      </c>
      <c r="B486" s="283" t="s">
        <v>1</v>
      </c>
      <c r="C486" s="283" t="s">
        <v>1</v>
      </c>
      <c r="D486" s="283" t="s">
        <v>1</v>
      </c>
      <c r="E486" s="283"/>
      <c r="F486" s="14" t="s">
        <v>1</v>
      </c>
      <c r="G486" s="14" t="s">
        <v>1</v>
      </c>
      <c r="H486" s="14" t="s">
        <v>1</v>
      </c>
      <c r="I486" s="14" t="s">
        <v>1</v>
      </c>
      <c r="J486" s="14"/>
      <c r="K486" s="14" t="s">
        <v>1</v>
      </c>
      <c r="L486" s="271" t="s">
        <v>1</v>
      </c>
    </row>
    <row r="487" spans="1:12" ht="12">
      <c r="A487" s="280">
        <v>1</v>
      </c>
      <c r="B487" s="297" t="s">
        <v>267</v>
      </c>
      <c r="D487" s="280">
        <v>1</v>
      </c>
      <c r="E487" s="280"/>
      <c r="F487" s="337">
        <f>30.3</f>
        <v>30.3</v>
      </c>
      <c r="G487" s="304">
        <f>2893777.97</f>
        <v>2893777.97</v>
      </c>
      <c r="H487" s="337">
        <f>29</f>
        <v>29</v>
      </c>
      <c r="I487" s="304">
        <f>2774263.62</f>
        <v>2774263.62</v>
      </c>
      <c r="J487" s="304"/>
      <c r="K487" s="337">
        <f>29.3</f>
        <v>29.3</v>
      </c>
      <c r="L487" s="304">
        <f>2801304</f>
        <v>2801304</v>
      </c>
    </row>
    <row r="488" spans="1:12" ht="12">
      <c r="A488" s="280">
        <v>2</v>
      </c>
      <c r="B488" s="297" t="s">
        <v>268</v>
      </c>
      <c r="D488" s="280">
        <v>2</v>
      </c>
      <c r="E488" s="280"/>
      <c r="F488" s="337"/>
      <c r="G488" s="304">
        <f>944050.14</f>
        <v>944050.14</v>
      </c>
      <c r="H488" s="337"/>
      <c r="I488" s="304">
        <f>940386.95</f>
        <v>940386.95</v>
      </c>
      <c r="J488" s="304"/>
      <c r="K488" s="337"/>
      <c r="L488" s="304">
        <f>959239</f>
        <v>959239</v>
      </c>
    </row>
    <row r="489" spans="1:12" ht="12">
      <c r="A489" s="280">
        <v>3</v>
      </c>
      <c r="B489" s="297" t="s">
        <v>269</v>
      </c>
      <c r="D489" s="280">
        <v>3</v>
      </c>
      <c r="E489" s="280"/>
      <c r="F489" s="337">
        <f>10.4</f>
        <v>10.4</v>
      </c>
      <c r="G489" s="304">
        <f>398716.3+2362559.32</f>
        <v>2761275.6199999996</v>
      </c>
      <c r="H489" s="337">
        <f>8.5</f>
        <v>8.5</v>
      </c>
      <c r="I489" s="304">
        <f>323962.32+2485899.95</f>
        <v>2809862.27</v>
      </c>
      <c r="J489" s="304"/>
      <c r="K489" s="337">
        <f>8.5</f>
        <v>8.5</v>
      </c>
      <c r="L489" s="304">
        <f>324934+2502568</f>
        <v>2827502</v>
      </c>
    </row>
    <row r="490" spans="1:12" ht="12">
      <c r="A490" s="280">
        <v>4</v>
      </c>
      <c r="B490" s="297" t="s">
        <v>270</v>
      </c>
      <c r="D490" s="280">
        <v>4</v>
      </c>
      <c r="E490" s="280"/>
      <c r="F490" s="308">
        <f>SUM(F487,F489)</f>
        <v>40.7</v>
      </c>
      <c r="G490" s="274">
        <f>SUM(G487:G489)</f>
        <v>6599103.73</v>
      </c>
      <c r="H490" s="308">
        <f>SUM(H487,H489)</f>
        <v>37.5</v>
      </c>
      <c r="I490" s="274">
        <f>SUM(I487:I489)</f>
        <v>6524512.84</v>
      </c>
      <c r="J490" s="274"/>
      <c r="K490" s="308">
        <f>SUM(K487,K489)</f>
        <v>37.8</v>
      </c>
      <c r="L490" s="274">
        <f>SUM(L487:L489)</f>
        <v>6588045</v>
      </c>
    </row>
    <row r="491" spans="1:12" ht="12">
      <c r="A491" s="280">
        <v>5</v>
      </c>
      <c r="D491" s="280">
        <v>5</v>
      </c>
      <c r="E491" s="280"/>
      <c r="F491" s="347"/>
      <c r="G491" s="274"/>
      <c r="H491" s="347"/>
      <c r="I491" s="274"/>
      <c r="J491" s="274"/>
      <c r="K491" s="347"/>
      <c r="L491" s="274"/>
    </row>
    <row r="492" spans="1:12" ht="12">
      <c r="A492" s="280">
        <v>6</v>
      </c>
      <c r="B492" s="297" t="s">
        <v>252</v>
      </c>
      <c r="D492" s="280">
        <v>6</v>
      </c>
      <c r="E492" s="280"/>
      <c r="F492" s="337">
        <f>0.2</f>
        <v>0.2</v>
      </c>
      <c r="G492" s="304">
        <f>7641.99+45267.14</f>
        <v>52909.13</v>
      </c>
      <c r="H492" s="337">
        <v>0.04</v>
      </c>
      <c r="I492" s="304">
        <f>1698.22+12994.25</f>
        <v>14692.47</v>
      </c>
      <c r="J492" s="304"/>
      <c r="K492" s="337">
        <f>0.04</f>
        <v>0.04</v>
      </c>
      <c r="L492" s="304">
        <f>1703+13077</f>
        <v>14780</v>
      </c>
    </row>
    <row r="493" spans="1:12" ht="12">
      <c r="A493" s="280">
        <v>7</v>
      </c>
      <c r="B493" s="297" t="s">
        <v>253</v>
      </c>
      <c r="D493" s="280">
        <v>7</v>
      </c>
      <c r="E493" s="280"/>
      <c r="F493" s="337">
        <f>4.8</f>
        <v>4.8</v>
      </c>
      <c r="G493" s="304">
        <f>265000.68</f>
        <v>265000.68</v>
      </c>
      <c r="H493" s="337">
        <f>3</f>
        <v>3</v>
      </c>
      <c r="I493" s="304">
        <f>163124.64</f>
        <v>163124.64</v>
      </c>
      <c r="J493" s="304"/>
      <c r="K493" s="337">
        <f>3</f>
        <v>3</v>
      </c>
      <c r="L493" s="304">
        <f>166744</f>
        <v>166744</v>
      </c>
    </row>
    <row r="494" spans="1:12" ht="12">
      <c r="A494" s="280">
        <v>8</v>
      </c>
      <c r="B494" s="297" t="s">
        <v>254</v>
      </c>
      <c r="D494" s="280">
        <v>8</v>
      </c>
      <c r="E494" s="280"/>
      <c r="F494" s="337"/>
      <c r="G494" s="304">
        <f>87525.99</f>
        <v>87525.99</v>
      </c>
      <c r="H494" s="337"/>
      <c r="I494" s="304">
        <f>54817.54</f>
        <v>54817.54</v>
      </c>
      <c r="J494" s="304"/>
      <c r="K494" s="337"/>
      <c r="L494" s="304">
        <f>55507</f>
        <v>55507</v>
      </c>
    </row>
    <row r="495" spans="1:12" ht="12">
      <c r="A495" s="280">
        <v>9</v>
      </c>
      <c r="B495" s="297" t="s">
        <v>255</v>
      </c>
      <c r="D495" s="280">
        <v>9</v>
      </c>
      <c r="E495" s="280"/>
      <c r="F495" s="308">
        <f>SUM(F492+F493)</f>
        <v>5</v>
      </c>
      <c r="G495" s="274">
        <f>SUM(G492:G494)</f>
        <v>405435.8</v>
      </c>
      <c r="H495" s="308">
        <f>SUM(H492+H493)</f>
        <v>3.04</v>
      </c>
      <c r="I495" s="274">
        <f>SUM(I492:I494)</f>
        <v>232634.65000000002</v>
      </c>
      <c r="J495" s="274"/>
      <c r="K495" s="308">
        <f>SUM(K492+K493)</f>
        <v>3.04</v>
      </c>
      <c r="L495" s="274">
        <f>SUM(L492:L494)</f>
        <v>237031</v>
      </c>
    </row>
    <row r="496" spans="1:12" ht="12">
      <c r="A496" s="280">
        <v>10</v>
      </c>
      <c r="D496" s="280">
        <v>10</v>
      </c>
      <c r="E496" s="280"/>
      <c r="F496" s="308"/>
      <c r="G496" s="274"/>
      <c r="H496" s="308"/>
      <c r="I496" s="274"/>
      <c r="J496" s="274"/>
      <c r="K496" s="308"/>
      <c r="L496" s="274"/>
    </row>
    <row r="497" spans="1:12" ht="12">
      <c r="A497" s="280">
        <v>11</v>
      </c>
      <c r="B497" s="297" t="s">
        <v>256</v>
      </c>
      <c r="D497" s="280">
        <v>11</v>
      </c>
      <c r="E497" s="280"/>
      <c r="F497" s="308">
        <f>SUM(F490,F495)</f>
        <v>45.7</v>
      </c>
      <c r="G497" s="274">
        <f>SUM(G490,G495)</f>
        <v>7004539.53</v>
      </c>
      <c r="H497" s="308">
        <f>SUM(H490,H495)</f>
        <v>40.54</v>
      </c>
      <c r="I497" s="274">
        <f>SUM(I490,I495)</f>
        <v>6757147.49</v>
      </c>
      <c r="J497" s="274"/>
      <c r="K497" s="308">
        <f>SUM(K490,K495)</f>
        <v>40.839999999999996</v>
      </c>
      <c r="L497" s="274">
        <f>SUM(L490,L495)</f>
        <v>6825076</v>
      </c>
    </row>
    <row r="498" spans="1:12" ht="12">
      <c r="A498" s="280">
        <v>12</v>
      </c>
      <c r="D498" s="280">
        <v>12</v>
      </c>
      <c r="E498" s="280"/>
      <c r="F498" s="308"/>
      <c r="G498" s="274"/>
      <c r="H498" s="308"/>
      <c r="I498" s="274"/>
      <c r="J498" s="274"/>
      <c r="K498" s="308"/>
      <c r="L498" s="274"/>
    </row>
    <row r="499" spans="1:12" ht="12">
      <c r="A499" s="280">
        <v>13</v>
      </c>
      <c r="B499" s="297" t="s">
        <v>271</v>
      </c>
      <c r="D499" s="280">
        <v>13</v>
      </c>
      <c r="E499" s="280"/>
      <c r="F499" s="337">
        <f>1.5</f>
        <v>1.5</v>
      </c>
      <c r="G499" s="304">
        <f>30613.33+336.75</f>
        <v>30950.08</v>
      </c>
      <c r="H499" s="337">
        <f>3.3</f>
        <v>3.3</v>
      </c>
      <c r="I499" s="304">
        <f>65711.4+919.96</f>
        <v>66631.36</v>
      </c>
      <c r="J499" s="304"/>
      <c r="K499" s="337">
        <f>3.3</f>
        <v>3.3</v>
      </c>
      <c r="L499" s="304">
        <f>66012+740</f>
        <v>66752</v>
      </c>
    </row>
    <row r="500" spans="1:12" ht="12">
      <c r="A500" s="280">
        <v>14</v>
      </c>
      <c r="D500" s="280">
        <v>14</v>
      </c>
      <c r="E500" s="280"/>
      <c r="F500" s="337"/>
      <c r="G500" s="304"/>
      <c r="H500" s="337"/>
      <c r="I500" s="304"/>
      <c r="J500" s="304"/>
      <c r="K500" s="349"/>
      <c r="L500" s="304"/>
    </row>
    <row r="501" spans="1:12" ht="12">
      <c r="A501" s="280">
        <v>15</v>
      </c>
      <c r="B501" s="297" t="s">
        <v>258</v>
      </c>
      <c r="D501" s="280">
        <v>15</v>
      </c>
      <c r="E501" s="280"/>
      <c r="F501" s="337"/>
      <c r="G501" s="304">
        <f>78157.35</f>
        <v>78157.35</v>
      </c>
      <c r="H501" s="337"/>
      <c r="I501" s="304">
        <f>59095.4</f>
        <v>59095.4</v>
      </c>
      <c r="J501" s="304"/>
      <c r="K501" s="337"/>
      <c r="L501" s="304">
        <f>69213</f>
        <v>69213</v>
      </c>
    </row>
    <row r="502" spans="1:12" ht="12">
      <c r="A502" s="24">
        <v>16</v>
      </c>
      <c r="B502" s="297" t="s">
        <v>259</v>
      </c>
      <c r="D502" s="24">
        <v>16</v>
      </c>
      <c r="E502" s="24"/>
      <c r="F502" s="337"/>
      <c r="G502" s="304">
        <f>1085171.82</f>
        <v>1085171.82</v>
      </c>
      <c r="H502" s="337"/>
      <c r="I502" s="304">
        <f>1301283.62</f>
        <v>1301283.62</v>
      </c>
      <c r="J502" s="304"/>
      <c r="K502" s="337"/>
      <c r="L502" s="304">
        <f>1647563</f>
        <v>1647563</v>
      </c>
    </row>
    <row r="503" spans="1:12" ht="12">
      <c r="A503" s="24"/>
      <c r="B503" s="297"/>
      <c r="D503" s="24"/>
      <c r="E503" s="24"/>
      <c r="F503" s="337"/>
      <c r="G503" s="304"/>
      <c r="H503" s="337"/>
      <c r="I503" s="304"/>
      <c r="J503" s="304"/>
      <c r="K503" s="337"/>
      <c r="L503" s="304"/>
    </row>
    <row r="504" spans="1:12" ht="12">
      <c r="A504" s="24">
        <v>17</v>
      </c>
      <c r="B504" s="297" t="s">
        <v>260</v>
      </c>
      <c r="D504" s="24">
        <v>17</v>
      </c>
      <c r="E504" s="24"/>
      <c r="F504" s="337"/>
      <c r="G504" s="304"/>
      <c r="H504" s="337"/>
      <c r="I504" s="304"/>
      <c r="J504" s="304"/>
      <c r="K504" s="337"/>
      <c r="L504" s="304"/>
    </row>
    <row r="505" spans="1:12" ht="12">
      <c r="A505" s="280">
        <v>18</v>
      </c>
      <c r="B505" s="269" t="s">
        <v>272</v>
      </c>
      <c r="D505" s="24">
        <v>18</v>
      </c>
      <c r="E505" s="24"/>
      <c r="F505" s="337"/>
      <c r="G505" s="304"/>
      <c r="H505" s="337"/>
      <c r="I505" s="304"/>
      <c r="J505" s="304"/>
      <c r="K505" s="337"/>
      <c r="L505" s="304"/>
    </row>
    <row r="506" spans="1:12" ht="12">
      <c r="A506" s="280">
        <v>19</v>
      </c>
      <c r="B506" s="297"/>
      <c r="D506" s="24">
        <v>19</v>
      </c>
      <c r="E506" s="24"/>
      <c r="F506" s="337"/>
      <c r="G506" s="304"/>
      <c r="H506" s="337"/>
      <c r="I506" s="5"/>
      <c r="J506" s="5"/>
      <c r="K506" s="5"/>
      <c r="L506" s="5"/>
    </row>
    <row r="507" spans="1:12" ht="12">
      <c r="A507" s="280">
        <v>20</v>
      </c>
      <c r="D507" s="24">
        <v>20</v>
      </c>
      <c r="E507" s="24"/>
      <c r="F507" s="252"/>
      <c r="G507" s="252"/>
      <c r="H507" s="252"/>
      <c r="I507" s="252"/>
      <c r="J507" s="252"/>
      <c r="K507" s="252"/>
      <c r="L507" s="252"/>
    </row>
    <row r="508" spans="1:12" s="5" customFormat="1" ht="12">
      <c r="A508" s="24">
        <v>21</v>
      </c>
      <c r="D508" s="24">
        <v>21</v>
      </c>
      <c r="E508" s="24"/>
      <c r="G508" s="252"/>
      <c r="H508" s="252"/>
      <c r="I508" s="274"/>
      <c r="J508" s="274"/>
      <c r="K508" s="252"/>
      <c r="L508" s="274"/>
    </row>
    <row r="509" spans="1:12" s="5" customFormat="1" ht="12">
      <c r="A509" s="24">
        <v>22</v>
      </c>
      <c r="D509" s="24">
        <v>22</v>
      </c>
      <c r="E509" s="24"/>
      <c r="G509" s="252"/>
      <c r="H509" s="308"/>
      <c r="I509" s="274"/>
      <c r="J509" s="274"/>
      <c r="K509" s="308"/>
      <c r="L509" s="274"/>
    </row>
    <row r="510" spans="1:12" s="5" customFormat="1" ht="12">
      <c r="A510" s="24">
        <v>23</v>
      </c>
      <c r="C510" s="313"/>
      <c r="D510" s="24">
        <v>23</v>
      </c>
      <c r="E510" s="24"/>
      <c r="G510" s="252"/>
      <c r="I510" s="274"/>
      <c r="J510" s="274"/>
      <c r="L510" s="274"/>
    </row>
    <row r="511" spans="1:12" s="5" customFormat="1" ht="12">
      <c r="A511" s="24">
        <v>24</v>
      </c>
      <c r="C511" s="313"/>
      <c r="D511" s="24">
        <v>24</v>
      </c>
      <c r="E511" s="24"/>
      <c r="G511" s="252"/>
      <c r="I511" s="274"/>
      <c r="J511" s="274"/>
      <c r="L511" s="274"/>
    </row>
    <row r="512" spans="6:12" ht="12">
      <c r="F512" s="252" t="s">
        <v>1</v>
      </c>
      <c r="G512" s="252" t="s">
        <v>1</v>
      </c>
      <c r="H512" s="252" t="s">
        <v>1</v>
      </c>
      <c r="I512" s="252" t="s">
        <v>1</v>
      </c>
      <c r="J512" s="252"/>
      <c r="K512" s="252" t="s">
        <v>1</v>
      </c>
      <c r="L512" s="252" t="s">
        <v>1</v>
      </c>
    </row>
    <row r="513" spans="1:12" ht="12">
      <c r="A513" s="280">
        <v>25</v>
      </c>
      <c r="B513" s="297" t="s">
        <v>273</v>
      </c>
      <c r="D513" s="280">
        <v>25</v>
      </c>
      <c r="E513" s="280"/>
      <c r="F513" s="39">
        <f>F497</f>
        <v>45.7</v>
      </c>
      <c r="G513" s="19">
        <f>SUM(G497:G511)</f>
        <v>8198818.78</v>
      </c>
      <c r="H513" s="39">
        <f>H497</f>
        <v>40.54</v>
      </c>
      <c r="I513" s="19">
        <f>SUM(I497:I511)</f>
        <v>8184157.870000001</v>
      </c>
      <c r="J513" s="19"/>
      <c r="K513" s="39">
        <f>K497</f>
        <v>40.839999999999996</v>
      </c>
      <c r="L513" s="19">
        <f>SUM(L497:L511)</f>
        <v>8608604</v>
      </c>
    </row>
    <row r="514" spans="4:12" ht="12">
      <c r="D514" s="299"/>
      <c r="E514" s="299"/>
      <c r="F514" s="252" t="s">
        <v>1</v>
      </c>
      <c r="G514" s="252" t="s">
        <v>1</v>
      </c>
      <c r="H514" s="252" t="s">
        <v>1</v>
      </c>
      <c r="I514" s="252" t="s">
        <v>1</v>
      </c>
      <c r="J514" s="252"/>
      <c r="K514" s="252" t="s">
        <v>1</v>
      </c>
      <c r="L514" s="252" t="s">
        <v>1</v>
      </c>
    </row>
    <row r="515" spans="1:12" ht="12">
      <c r="A515" s="292" t="s">
        <v>106</v>
      </c>
      <c r="D515" s="299"/>
      <c r="E515" s="299"/>
      <c r="F515" s="296"/>
      <c r="G515" s="295"/>
      <c r="H515" s="296"/>
      <c r="I515" s="295"/>
      <c r="J515" s="295"/>
      <c r="K515" s="296"/>
      <c r="L515" s="294" t="s">
        <v>274</v>
      </c>
    </row>
    <row r="516" spans="1:12" ht="12">
      <c r="A516" s="462" t="s">
        <v>275</v>
      </c>
      <c r="B516" s="462"/>
      <c r="C516" s="462"/>
      <c r="D516" s="462"/>
      <c r="E516" s="462"/>
      <c r="F516" s="462"/>
      <c r="G516" s="462"/>
      <c r="H516" s="462"/>
      <c r="I516" s="462"/>
      <c r="J516" s="462"/>
      <c r="K516" s="462"/>
      <c r="L516" s="462"/>
    </row>
    <row r="517" spans="1:12" ht="12">
      <c r="A517" s="292" t="s">
        <v>78</v>
      </c>
      <c r="F517" s="296"/>
      <c r="G517" s="295"/>
      <c r="H517" s="343"/>
      <c r="I517" s="341"/>
      <c r="J517" s="341"/>
      <c r="K517" s="296"/>
      <c r="L517" s="291" t="s">
        <v>79</v>
      </c>
    </row>
    <row r="518" spans="1:12" ht="12">
      <c r="A518" s="283" t="s">
        <v>1</v>
      </c>
      <c r="B518" s="283" t="s">
        <v>1</v>
      </c>
      <c r="C518" s="283" t="s">
        <v>1</v>
      </c>
      <c r="D518" s="283" t="s">
        <v>1</v>
      </c>
      <c r="E518" s="283"/>
      <c r="F518" s="283" t="s">
        <v>1</v>
      </c>
      <c r="G518" s="270" t="s">
        <v>1</v>
      </c>
      <c r="H518" s="283" t="s">
        <v>1</v>
      </c>
      <c r="I518" s="270" t="s">
        <v>1</v>
      </c>
      <c r="J518" s="270"/>
      <c r="K518" s="283" t="s">
        <v>1</v>
      </c>
      <c r="L518" s="270" t="s">
        <v>1</v>
      </c>
    </row>
    <row r="519" spans="1:12" ht="12">
      <c r="A519" s="289" t="s">
        <v>2</v>
      </c>
      <c r="D519" s="289" t="s">
        <v>2</v>
      </c>
      <c r="E519" s="289"/>
      <c r="F519" s="348"/>
      <c r="G519" s="285" t="s">
        <v>62</v>
      </c>
      <c r="H519" s="309"/>
      <c r="I519" s="285" t="s">
        <v>65</v>
      </c>
      <c r="J519" s="285"/>
      <c r="K519" s="308"/>
      <c r="L519" s="285" t="s">
        <v>70</v>
      </c>
    </row>
    <row r="520" spans="1:12" ht="12">
      <c r="A520" s="289" t="s">
        <v>4</v>
      </c>
      <c r="B520" s="307" t="s">
        <v>18</v>
      </c>
      <c r="D520" s="289" t="s">
        <v>4</v>
      </c>
      <c r="E520" s="289"/>
      <c r="F520" s="286" t="s">
        <v>6</v>
      </c>
      <c r="G520" s="285" t="s">
        <v>7</v>
      </c>
      <c r="H520" s="293" t="s">
        <v>6</v>
      </c>
      <c r="I520" s="306" t="s">
        <v>7</v>
      </c>
      <c r="J520" s="306"/>
      <c r="K520" s="293" t="s">
        <v>6</v>
      </c>
      <c r="L520" s="306" t="s">
        <v>8</v>
      </c>
    </row>
    <row r="521" spans="1:12" ht="12">
      <c r="A521" s="283" t="s">
        <v>1</v>
      </c>
      <c r="B521" s="283" t="s">
        <v>1</v>
      </c>
      <c r="C521" s="283" t="s">
        <v>1</v>
      </c>
      <c r="D521" s="283" t="s">
        <v>1</v>
      </c>
      <c r="E521" s="283"/>
      <c r="F521" s="14" t="s">
        <v>1</v>
      </c>
      <c r="G521" s="14" t="s">
        <v>1</v>
      </c>
      <c r="H521" s="283" t="s">
        <v>1</v>
      </c>
      <c r="I521" s="270" t="s">
        <v>1</v>
      </c>
      <c r="J521" s="270"/>
      <c r="K521" s="283" t="s">
        <v>1</v>
      </c>
      <c r="L521" s="270" t="s">
        <v>1</v>
      </c>
    </row>
    <row r="522" spans="1:12" ht="12">
      <c r="A522" s="280">
        <v>1</v>
      </c>
      <c r="B522" s="297" t="s">
        <v>276</v>
      </c>
      <c r="D522" s="280">
        <v>1</v>
      </c>
      <c r="E522" s="280"/>
      <c r="F522" s="303">
        <f>6.8</f>
        <v>6.8</v>
      </c>
      <c r="G522" s="302">
        <f>588423.31</f>
        <v>588423.31</v>
      </c>
      <c r="H522" s="303">
        <f>6.6</f>
        <v>6.6</v>
      </c>
      <c r="I522" s="302">
        <f>569343.88</f>
        <v>569343.88</v>
      </c>
      <c r="J522" s="302"/>
      <c r="K522" s="303">
        <f>6.6</f>
        <v>6.6</v>
      </c>
      <c r="L522" s="302">
        <f>572135</f>
        <v>572135</v>
      </c>
    </row>
    <row r="523" spans="1:12" ht="12">
      <c r="A523" s="280">
        <v>2</v>
      </c>
      <c r="B523" s="297" t="s">
        <v>268</v>
      </c>
      <c r="D523" s="280">
        <v>2</v>
      </c>
      <c r="E523" s="280"/>
      <c r="F523" s="303"/>
      <c r="G523" s="302">
        <f>145415.17</f>
        <v>145415.17</v>
      </c>
      <c r="H523" s="303"/>
      <c r="I523" s="302">
        <f>140554.46</f>
        <v>140554.46</v>
      </c>
      <c r="J523" s="302"/>
      <c r="K523" s="303"/>
      <c r="L523" s="302">
        <f>143197</f>
        <v>143197</v>
      </c>
    </row>
    <row r="524" spans="1:12" ht="12">
      <c r="A524" s="280">
        <v>3</v>
      </c>
      <c r="D524" s="280">
        <v>3</v>
      </c>
      <c r="E524" s="280"/>
      <c r="F524" s="303"/>
      <c r="G524" s="302"/>
      <c r="H524" s="303"/>
      <c r="I524" s="302"/>
      <c r="J524" s="302"/>
      <c r="K524" s="346"/>
      <c r="L524" s="302"/>
    </row>
    <row r="525" spans="1:12" ht="12">
      <c r="A525" s="280">
        <v>4</v>
      </c>
      <c r="B525" s="297" t="s">
        <v>270</v>
      </c>
      <c r="D525" s="280">
        <v>4</v>
      </c>
      <c r="E525" s="280"/>
      <c r="F525" s="300">
        <f>SUM(F522:F523)</f>
        <v>6.8</v>
      </c>
      <c r="G525" s="295">
        <f>SUM(G522:G523)</f>
        <v>733838.4800000001</v>
      </c>
      <c r="H525" s="300">
        <f>SUM(H522:H523)</f>
        <v>6.6</v>
      </c>
      <c r="I525" s="295">
        <f>SUM(I522:I523)</f>
        <v>709898.34</v>
      </c>
      <c r="J525" s="295"/>
      <c r="K525" s="300">
        <f>SUM(K522:K523)</f>
        <v>6.6</v>
      </c>
      <c r="L525" s="295">
        <f>SUM(L522:L523)</f>
        <v>715332</v>
      </c>
    </row>
    <row r="526" spans="1:12" ht="12">
      <c r="A526" s="280">
        <v>5</v>
      </c>
      <c r="D526" s="280">
        <v>5</v>
      </c>
      <c r="E526" s="280"/>
      <c r="F526" s="300"/>
      <c r="G526" s="295"/>
      <c r="H526" s="300"/>
      <c r="I526" s="295"/>
      <c r="J526" s="295"/>
      <c r="K526" s="345"/>
      <c r="L526" s="295"/>
    </row>
    <row r="527" spans="1:12" ht="12">
      <c r="A527" s="280">
        <v>6</v>
      </c>
      <c r="D527" s="280">
        <v>6</v>
      </c>
      <c r="E527" s="280"/>
      <c r="F527" s="300"/>
      <c r="G527" s="295"/>
      <c r="H527" s="300"/>
      <c r="I527" s="295"/>
      <c r="J527" s="295"/>
      <c r="K527" s="300"/>
      <c r="L527" s="295"/>
    </row>
    <row r="528" spans="1:12" ht="12">
      <c r="A528" s="280">
        <v>7</v>
      </c>
      <c r="B528" s="297" t="s">
        <v>253</v>
      </c>
      <c r="D528" s="280">
        <v>7</v>
      </c>
      <c r="E528" s="280"/>
      <c r="F528" s="303">
        <f>1.5</f>
        <v>1.5</v>
      </c>
      <c r="G528" s="302">
        <f>63173.88</f>
        <v>63173.88</v>
      </c>
      <c r="H528" s="303">
        <f>1.6</f>
        <v>1.6</v>
      </c>
      <c r="I528" s="302">
        <f>67287.97</f>
        <v>67287.97</v>
      </c>
      <c r="J528" s="302"/>
      <c r="K528" s="303">
        <f>1.5</f>
        <v>1.5</v>
      </c>
      <c r="L528" s="302">
        <f>64160</f>
        <v>64160</v>
      </c>
    </row>
    <row r="529" spans="1:12" ht="12">
      <c r="A529" s="280">
        <v>8</v>
      </c>
      <c r="B529" s="297" t="s">
        <v>254</v>
      </c>
      <c r="D529" s="280">
        <v>8</v>
      </c>
      <c r="E529" s="280"/>
      <c r="F529" s="303"/>
      <c r="G529" s="302">
        <f>29993.45</f>
        <v>29993.45</v>
      </c>
      <c r="H529" s="303"/>
      <c r="I529" s="302">
        <f>21459.74</f>
        <v>21459.74</v>
      </c>
      <c r="J529" s="302"/>
      <c r="K529" s="346"/>
      <c r="L529" s="302">
        <f>21391</f>
        <v>21391</v>
      </c>
    </row>
    <row r="530" spans="1:12" ht="12">
      <c r="A530" s="280">
        <v>9</v>
      </c>
      <c r="B530" s="297" t="s">
        <v>255</v>
      </c>
      <c r="D530" s="280">
        <v>9</v>
      </c>
      <c r="E530" s="280"/>
      <c r="F530" s="300">
        <f>SUM(F528:F529)</f>
        <v>1.5</v>
      </c>
      <c r="G530" s="295">
        <f>SUM(G528:G529)</f>
        <v>93167.33</v>
      </c>
      <c r="H530" s="300">
        <f>SUM(H528:H529)</f>
        <v>1.6</v>
      </c>
      <c r="I530" s="295">
        <f>SUM(I528:I529)</f>
        <v>88747.71</v>
      </c>
      <c r="J530" s="295"/>
      <c r="K530" s="300">
        <f>SUM(K528:K529)</f>
        <v>1.5</v>
      </c>
      <c r="L530" s="295">
        <f>SUM(L528:L529)</f>
        <v>85551</v>
      </c>
    </row>
    <row r="531" spans="1:12" ht="12">
      <c r="A531" s="280">
        <v>10</v>
      </c>
      <c r="D531" s="280">
        <v>10</v>
      </c>
      <c r="E531" s="280"/>
      <c r="F531" s="300"/>
      <c r="G531" s="295"/>
      <c r="H531" s="300"/>
      <c r="I531" s="295"/>
      <c r="J531" s="295"/>
      <c r="K531" s="300"/>
      <c r="L531" s="295"/>
    </row>
    <row r="532" spans="1:12" ht="12">
      <c r="A532" s="280">
        <v>11</v>
      </c>
      <c r="B532" s="297" t="s">
        <v>256</v>
      </c>
      <c r="D532" s="280">
        <v>11</v>
      </c>
      <c r="E532" s="280"/>
      <c r="F532" s="300">
        <f>SUM(F530,F525)</f>
        <v>8.3</v>
      </c>
      <c r="G532" s="295">
        <f>SUM(G530,G525)</f>
        <v>827005.81</v>
      </c>
      <c r="H532" s="300">
        <f>SUM(H530,H525)</f>
        <v>8.2</v>
      </c>
      <c r="I532" s="295">
        <f>SUM(I530,I525)</f>
        <v>798646.0499999999</v>
      </c>
      <c r="J532" s="295"/>
      <c r="K532" s="300">
        <f>SUM(K530,K525)</f>
        <v>8.1</v>
      </c>
      <c r="L532" s="295">
        <f>SUM(L530,L525)</f>
        <v>800883</v>
      </c>
    </row>
    <row r="533" spans="1:12" ht="12">
      <c r="A533" s="280">
        <v>12</v>
      </c>
      <c r="D533" s="280">
        <v>12</v>
      </c>
      <c r="E533" s="280"/>
      <c r="F533" s="300"/>
      <c r="G533" s="295"/>
      <c r="H533" s="300"/>
      <c r="I533" s="295"/>
      <c r="J533" s="295"/>
      <c r="K533" s="300"/>
      <c r="L533" s="295"/>
    </row>
    <row r="534" spans="1:12" ht="12">
      <c r="A534" s="280">
        <v>13</v>
      </c>
      <c r="B534" s="297" t="s">
        <v>277</v>
      </c>
      <c r="D534" s="280">
        <v>13</v>
      </c>
      <c r="E534" s="280"/>
      <c r="F534" s="303">
        <f>0.2+0.4</f>
        <v>0.6000000000000001</v>
      </c>
      <c r="G534" s="302">
        <f>7641.99+7689+4683.85+84.59</f>
        <v>20099.43</v>
      </c>
      <c r="H534" s="303">
        <f>0.1+1.4</f>
        <v>1.5</v>
      </c>
      <c r="I534" s="302">
        <f>5723+27756.12+1267.91+388.57</f>
        <v>35135.6</v>
      </c>
      <c r="J534" s="302"/>
      <c r="K534" s="303">
        <f>1.8</f>
        <v>1.8</v>
      </c>
      <c r="L534" s="302">
        <f>474+191+35000</f>
        <v>35665</v>
      </c>
    </row>
    <row r="535" spans="1:12" ht="12">
      <c r="A535" s="280">
        <v>14</v>
      </c>
      <c r="D535" s="280">
        <v>14</v>
      </c>
      <c r="E535" s="280"/>
      <c r="F535" s="303"/>
      <c r="G535" s="302"/>
      <c r="H535" s="303"/>
      <c r="I535" s="302"/>
      <c r="J535" s="302"/>
      <c r="K535" s="303"/>
      <c r="L535" s="302"/>
    </row>
    <row r="536" spans="1:12" ht="12">
      <c r="A536" s="280">
        <v>15</v>
      </c>
      <c r="B536" s="297" t="s">
        <v>258</v>
      </c>
      <c r="D536" s="280">
        <v>15</v>
      </c>
      <c r="E536" s="280"/>
      <c r="F536" s="303"/>
      <c r="G536" s="302">
        <f>14676.25</f>
        <v>14676.25</v>
      </c>
      <c r="H536" s="303"/>
      <c r="I536" s="302">
        <f>15628.3</f>
        <v>15628.3</v>
      </c>
      <c r="J536" s="302"/>
      <c r="K536" s="303"/>
      <c r="L536" s="302">
        <f>16690</f>
        <v>16690</v>
      </c>
    </row>
    <row r="537" spans="1:12" ht="12">
      <c r="A537" s="24">
        <v>16</v>
      </c>
      <c r="B537" s="297" t="s">
        <v>259</v>
      </c>
      <c r="D537" s="24">
        <v>16</v>
      </c>
      <c r="E537" s="24"/>
      <c r="F537" s="303"/>
      <c r="G537" s="302">
        <f>50787.92</f>
        <v>50787.92</v>
      </c>
      <c r="H537" s="303"/>
      <c r="I537" s="302">
        <f>52536.97</f>
        <v>52536.97</v>
      </c>
      <c r="J537" s="302"/>
      <c r="K537" s="303"/>
      <c r="L537" s="302">
        <f>65638</f>
        <v>65638</v>
      </c>
    </row>
    <row r="538" spans="1:12" ht="12">
      <c r="A538" s="24"/>
      <c r="B538" s="297"/>
      <c r="D538" s="24"/>
      <c r="E538" s="24"/>
      <c r="F538" s="303"/>
      <c r="G538" s="302"/>
      <c r="H538" s="303"/>
      <c r="I538" s="302"/>
      <c r="J538" s="302"/>
      <c r="K538" s="303"/>
      <c r="L538" s="302"/>
    </row>
    <row r="539" spans="1:12" ht="12">
      <c r="A539" s="24">
        <v>17</v>
      </c>
      <c r="B539" s="297" t="s">
        <v>278</v>
      </c>
      <c r="D539" s="24">
        <v>17</v>
      </c>
      <c r="E539" s="24"/>
      <c r="F539" s="303"/>
      <c r="G539" s="302"/>
      <c r="H539" s="303"/>
      <c r="I539" s="302"/>
      <c r="J539" s="302"/>
      <c r="K539" s="303"/>
      <c r="L539" s="302"/>
    </row>
    <row r="540" spans="1:12" ht="12">
      <c r="A540" s="280">
        <v>18</v>
      </c>
      <c r="B540" s="269" t="s">
        <v>279</v>
      </c>
      <c r="D540" s="24">
        <v>18</v>
      </c>
      <c r="E540" s="24"/>
      <c r="F540" s="337"/>
      <c r="G540" s="304"/>
      <c r="H540" s="303"/>
      <c r="I540" s="302"/>
      <c r="J540" s="302"/>
      <c r="K540" s="303"/>
      <c r="L540" s="302"/>
    </row>
    <row r="541" spans="1:8" ht="12">
      <c r="A541" s="280">
        <v>19</v>
      </c>
      <c r="B541" s="297"/>
      <c r="D541" s="24">
        <v>19</v>
      </c>
      <c r="E541" s="24"/>
      <c r="F541" s="337"/>
      <c r="G541" s="304"/>
      <c r="H541" s="303"/>
    </row>
    <row r="542" spans="1:12" ht="12">
      <c r="A542" s="280">
        <v>20</v>
      </c>
      <c r="D542" s="24">
        <v>20</v>
      </c>
      <c r="E542" s="24"/>
      <c r="F542" s="252"/>
      <c r="G542" s="252"/>
      <c r="H542" s="298"/>
      <c r="I542" s="298"/>
      <c r="J542" s="298"/>
      <c r="K542" s="298"/>
      <c r="L542" s="298"/>
    </row>
    <row r="543" spans="1:12" s="5" customFormat="1" ht="12">
      <c r="A543" s="24">
        <v>21</v>
      </c>
      <c r="D543" s="24">
        <v>21</v>
      </c>
      <c r="E543" s="24"/>
      <c r="G543" s="252"/>
      <c r="H543" s="252"/>
      <c r="I543" s="274"/>
      <c r="J543" s="274"/>
      <c r="K543" s="252"/>
      <c r="L543" s="274"/>
    </row>
    <row r="544" spans="1:12" s="5" customFormat="1" ht="12">
      <c r="A544" s="24">
        <v>22</v>
      </c>
      <c r="D544" s="24">
        <v>22</v>
      </c>
      <c r="E544" s="24"/>
      <c r="G544" s="252"/>
      <c r="H544" s="308"/>
      <c r="I544" s="274"/>
      <c r="J544" s="274"/>
      <c r="K544" s="308"/>
      <c r="L544" s="274"/>
    </row>
    <row r="545" spans="1:12" s="5" customFormat="1" ht="12">
      <c r="A545" s="24">
        <v>23</v>
      </c>
      <c r="C545" s="313"/>
      <c r="D545" s="24">
        <v>23</v>
      </c>
      <c r="E545" s="24"/>
      <c r="G545" s="252"/>
      <c r="I545" s="274"/>
      <c r="J545" s="274"/>
      <c r="L545" s="274"/>
    </row>
    <row r="546" spans="1:12" s="5" customFormat="1" ht="12">
      <c r="A546" s="24">
        <v>24</v>
      </c>
      <c r="C546" s="313"/>
      <c r="D546" s="24">
        <v>24</v>
      </c>
      <c r="E546" s="24"/>
      <c r="G546" s="252"/>
      <c r="I546" s="274"/>
      <c r="J546" s="274"/>
      <c r="L546" s="274"/>
    </row>
    <row r="547" spans="6:12" ht="12">
      <c r="F547" s="252" t="s">
        <v>1</v>
      </c>
      <c r="G547" s="252" t="s">
        <v>1</v>
      </c>
      <c r="H547" s="298" t="s">
        <v>1</v>
      </c>
      <c r="I547" s="298" t="s">
        <v>1</v>
      </c>
      <c r="J547" s="298"/>
      <c r="K547" s="298" t="s">
        <v>1</v>
      </c>
      <c r="L547" s="298" t="s">
        <v>1</v>
      </c>
    </row>
    <row r="548" spans="1:12" ht="12">
      <c r="A548" s="280">
        <v>25</v>
      </c>
      <c r="B548" s="297" t="s">
        <v>280</v>
      </c>
      <c r="D548" s="280">
        <v>25</v>
      </c>
      <c r="E548" s="280"/>
      <c r="F548" s="312">
        <f>F532</f>
        <v>8.3</v>
      </c>
      <c r="G548" s="344">
        <f>SUM(G532:G546)</f>
        <v>912569.4100000001</v>
      </c>
      <c r="H548" s="312">
        <f>H532</f>
        <v>8.2</v>
      </c>
      <c r="I548" s="344">
        <f>SUM(I532:I546)</f>
        <v>901946.9199999999</v>
      </c>
      <c r="J548" s="344"/>
      <c r="K548" s="312">
        <f>K532</f>
        <v>8.1</v>
      </c>
      <c r="L548" s="295">
        <f>SUM(L532:L546)</f>
        <v>918876</v>
      </c>
    </row>
    <row r="549" spans="4:12" ht="12">
      <c r="D549" s="299"/>
      <c r="E549" s="299"/>
      <c r="F549" s="252" t="s">
        <v>1</v>
      </c>
      <c r="G549" s="252" t="s">
        <v>1</v>
      </c>
      <c r="H549" s="298" t="s">
        <v>1</v>
      </c>
      <c r="I549" s="298" t="s">
        <v>1</v>
      </c>
      <c r="J549" s="298"/>
      <c r="K549" s="298" t="s">
        <v>1</v>
      </c>
      <c r="L549" s="298" t="s">
        <v>1</v>
      </c>
    </row>
    <row r="550" spans="4:12" ht="12">
      <c r="D550" s="299"/>
      <c r="E550" s="299"/>
      <c r="F550" s="252"/>
      <c r="G550" s="252"/>
      <c r="H550" s="298"/>
      <c r="I550" s="298"/>
      <c r="J550" s="298"/>
      <c r="K550" s="298"/>
      <c r="L550" s="298"/>
    </row>
    <row r="551" spans="1:12" ht="12">
      <c r="A551" s="292" t="s">
        <v>106</v>
      </c>
      <c r="D551" s="299"/>
      <c r="E551" s="299"/>
      <c r="F551" s="296"/>
      <c r="G551" s="295"/>
      <c r="H551" s="296"/>
      <c r="I551" s="295"/>
      <c r="J551" s="295"/>
      <c r="K551" s="296"/>
      <c r="L551" s="294" t="s">
        <v>281</v>
      </c>
    </row>
    <row r="552" spans="1:12" ht="12">
      <c r="A552" s="462" t="s">
        <v>282</v>
      </c>
      <c r="B552" s="462"/>
      <c r="C552" s="462"/>
      <c r="D552" s="462"/>
      <c r="E552" s="462"/>
      <c r="F552" s="462"/>
      <c r="G552" s="462"/>
      <c r="H552" s="462"/>
      <c r="I552" s="462"/>
      <c r="J552" s="462"/>
      <c r="K552" s="462"/>
      <c r="L552" s="462"/>
    </row>
    <row r="553" spans="1:12" ht="12">
      <c r="A553" s="292" t="s">
        <v>78</v>
      </c>
      <c r="F553" s="296"/>
      <c r="G553" s="295"/>
      <c r="H553" s="343"/>
      <c r="I553" s="341"/>
      <c r="J553" s="341"/>
      <c r="K553" s="296"/>
      <c r="L553" s="291" t="s">
        <v>79</v>
      </c>
    </row>
    <row r="554" spans="1:12" ht="12">
      <c r="A554" s="283" t="s">
        <v>1</v>
      </c>
      <c r="B554" s="283" t="s">
        <v>1</v>
      </c>
      <c r="C554" s="283" t="s">
        <v>1</v>
      </c>
      <c r="D554" s="283" t="s">
        <v>1</v>
      </c>
      <c r="E554" s="283"/>
      <c r="F554" s="283" t="s">
        <v>1</v>
      </c>
      <c r="G554" s="270" t="s">
        <v>1</v>
      </c>
      <c r="H554" s="283" t="s">
        <v>1</v>
      </c>
      <c r="I554" s="270" t="s">
        <v>1</v>
      </c>
      <c r="J554" s="270"/>
      <c r="K554" s="283" t="s">
        <v>1</v>
      </c>
      <c r="L554" s="270" t="s">
        <v>1</v>
      </c>
    </row>
    <row r="555" spans="1:12" ht="12">
      <c r="A555" s="289" t="s">
        <v>2</v>
      </c>
      <c r="D555" s="289" t="s">
        <v>2</v>
      </c>
      <c r="E555" s="289"/>
      <c r="F555" s="286"/>
      <c r="G555" s="285" t="s">
        <v>62</v>
      </c>
      <c r="H555" s="309"/>
      <c r="I555" s="285" t="s">
        <v>65</v>
      </c>
      <c r="J555" s="285"/>
      <c r="K555" s="308"/>
      <c r="L555" s="285" t="s">
        <v>70</v>
      </c>
    </row>
    <row r="556" spans="1:12" ht="12">
      <c r="A556" s="289" t="s">
        <v>4</v>
      </c>
      <c r="B556" s="307" t="s">
        <v>18</v>
      </c>
      <c r="D556" s="289" t="s">
        <v>4</v>
      </c>
      <c r="E556" s="289"/>
      <c r="F556" s="286" t="s">
        <v>6</v>
      </c>
      <c r="G556" s="285" t="s">
        <v>7</v>
      </c>
      <c r="H556" s="286" t="s">
        <v>6</v>
      </c>
      <c r="I556" s="285" t="s">
        <v>7</v>
      </c>
      <c r="J556" s="285"/>
      <c r="K556" s="286" t="s">
        <v>6</v>
      </c>
      <c r="L556" s="285" t="s">
        <v>8</v>
      </c>
    </row>
    <row r="557" spans="1:12" ht="12">
      <c r="A557" s="283" t="s">
        <v>1</v>
      </c>
      <c r="B557" s="283" t="s">
        <v>1</v>
      </c>
      <c r="C557" s="283" t="s">
        <v>1</v>
      </c>
      <c r="D557" s="283" t="s">
        <v>1</v>
      </c>
      <c r="E557" s="283"/>
      <c r="F557" s="14" t="s">
        <v>1</v>
      </c>
      <c r="G557" s="14" t="s">
        <v>1</v>
      </c>
      <c r="H557" s="14" t="s">
        <v>1</v>
      </c>
      <c r="I557" s="271" t="s">
        <v>1</v>
      </c>
      <c r="J557" s="271"/>
      <c r="K557" s="14" t="s">
        <v>1</v>
      </c>
      <c r="L557" s="271" t="s">
        <v>1</v>
      </c>
    </row>
    <row r="558" spans="1:12" ht="12">
      <c r="A558" s="280">
        <v>1</v>
      </c>
      <c r="B558" s="297" t="s">
        <v>276</v>
      </c>
      <c r="D558" s="280">
        <v>1</v>
      </c>
      <c r="E558" s="280"/>
      <c r="F558" s="337">
        <f>237.7</f>
        <v>237.7</v>
      </c>
      <c r="G558" s="304">
        <f>19487618.3</f>
        <v>19487618.3</v>
      </c>
      <c r="H558" s="337">
        <f>247.1</f>
        <v>247.1</v>
      </c>
      <c r="I558" s="304">
        <f>20158229.51</f>
        <v>20158229.51</v>
      </c>
      <c r="J558" s="304"/>
      <c r="K558" s="337">
        <f>250.7</f>
        <v>250.7</v>
      </c>
      <c r="L558" s="304">
        <f>20553332</f>
        <v>20553332</v>
      </c>
    </row>
    <row r="559" spans="1:12" ht="12">
      <c r="A559" s="280">
        <v>2</v>
      </c>
      <c r="B559" s="297" t="s">
        <v>268</v>
      </c>
      <c r="D559" s="280">
        <v>2</v>
      </c>
      <c r="E559" s="280"/>
      <c r="F559" s="337"/>
      <c r="G559" s="304">
        <f>5359865.7</f>
        <v>5359865.7</v>
      </c>
      <c r="H559" s="337"/>
      <c r="I559" s="304">
        <f>5339777.52</f>
        <v>5339777.52</v>
      </c>
      <c r="J559" s="304"/>
      <c r="K559" s="337"/>
      <c r="L559" s="304">
        <f>5459265</f>
        <v>5459265</v>
      </c>
    </row>
    <row r="560" spans="1:12" ht="12">
      <c r="A560" s="280">
        <v>3</v>
      </c>
      <c r="D560" s="280">
        <v>3</v>
      </c>
      <c r="E560" s="280"/>
      <c r="F560" s="337"/>
      <c r="G560" s="304"/>
      <c r="H560" s="337"/>
      <c r="I560" s="304"/>
      <c r="J560" s="304"/>
      <c r="K560" s="337"/>
      <c r="L560" s="304"/>
    </row>
    <row r="561" spans="1:12" ht="12">
      <c r="A561" s="280">
        <v>4</v>
      </c>
      <c r="B561" s="297" t="s">
        <v>270</v>
      </c>
      <c r="D561" s="280">
        <v>4</v>
      </c>
      <c r="E561" s="280"/>
      <c r="F561" s="308">
        <f>F558</f>
        <v>237.7</v>
      </c>
      <c r="G561" s="274">
        <f>SUM(G558:G559)</f>
        <v>24847484</v>
      </c>
      <c r="H561" s="308">
        <f>H558</f>
        <v>247.1</v>
      </c>
      <c r="I561" s="274">
        <f>SUM(I558:I559)</f>
        <v>25498007.03</v>
      </c>
      <c r="J561" s="274"/>
      <c r="K561" s="308">
        <f>K558</f>
        <v>250.7</v>
      </c>
      <c r="L561" s="274">
        <f>SUM(L558:L559)</f>
        <v>26012597</v>
      </c>
    </row>
    <row r="562" spans="1:12" ht="12">
      <c r="A562" s="280">
        <v>5</v>
      </c>
      <c r="D562" s="280">
        <v>5</v>
      </c>
      <c r="E562" s="280"/>
      <c r="F562" s="308"/>
      <c r="G562" s="274"/>
      <c r="H562" s="308"/>
      <c r="I562" s="274"/>
      <c r="J562" s="274"/>
      <c r="K562" s="347"/>
      <c r="L562" s="274"/>
    </row>
    <row r="563" spans="1:12" ht="12">
      <c r="A563" s="280">
        <v>6</v>
      </c>
      <c r="D563" s="280">
        <v>6</v>
      </c>
      <c r="E563" s="280"/>
      <c r="F563" s="308"/>
      <c r="G563" s="274"/>
      <c r="H563" s="308"/>
      <c r="I563" s="274"/>
      <c r="J563" s="274"/>
      <c r="K563" s="308"/>
      <c r="L563" s="274"/>
    </row>
    <row r="564" spans="1:12" ht="12">
      <c r="A564" s="280">
        <v>7</v>
      </c>
      <c r="B564" s="297" t="s">
        <v>253</v>
      </c>
      <c r="D564" s="280">
        <v>7</v>
      </c>
      <c r="E564" s="280"/>
      <c r="F564" s="337">
        <f>335.2</f>
        <v>335.2</v>
      </c>
      <c r="G564" s="304">
        <f>18870784.34</f>
        <v>18870784.34</v>
      </c>
      <c r="H564" s="337">
        <f>332.2</f>
        <v>332.2</v>
      </c>
      <c r="I564" s="304">
        <f>18701686.64</f>
        <v>18701686.64</v>
      </c>
      <c r="J564" s="304"/>
      <c r="K564" s="337">
        <f>335.8</f>
        <v>335.8</v>
      </c>
      <c r="L564" s="304">
        <f>18900926</f>
        <v>18900926</v>
      </c>
    </row>
    <row r="565" spans="1:12" ht="12">
      <c r="A565" s="280">
        <v>8</v>
      </c>
      <c r="B565" s="297" t="s">
        <v>254</v>
      </c>
      <c r="D565" s="280">
        <v>8</v>
      </c>
      <c r="E565" s="280"/>
      <c r="F565" s="337"/>
      <c r="G565" s="304">
        <f>5237950.39</f>
        <v>5237950.39</v>
      </c>
      <c r="H565" s="337"/>
      <c r="I565" s="304">
        <f>5169580.02</f>
        <v>5169580.02</v>
      </c>
      <c r="J565" s="304"/>
      <c r="K565" s="337"/>
      <c r="L565" s="304">
        <f>5490759</f>
        <v>5490759</v>
      </c>
    </row>
    <row r="566" spans="1:12" ht="12">
      <c r="A566" s="280">
        <v>9</v>
      </c>
      <c r="B566" s="297" t="s">
        <v>255</v>
      </c>
      <c r="D566" s="280">
        <v>9</v>
      </c>
      <c r="E566" s="280"/>
      <c r="F566" s="308">
        <f>F564</f>
        <v>335.2</v>
      </c>
      <c r="G566" s="274">
        <f>SUM(G564:G565)</f>
        <v>24108734.73</v>
      </c>
      <c r="H566" s="308">
        <f>H564</f>
        <v>332.2</v>
      </c>
      <c r="I566" s="274">
        <f>SUM(I564:I565)</f>
        <v>23871266.66</v>
      </c>
      <c r="J566" s="274"/>
      <c r="K566" s="308">
        <f>K564</f>
        <v>335.8</v>
      </c>
      <c r="L566" s="274">
        <f>SUM(L564:L565)</f>
        <v>24391685</v>
      </c>
    </row>
    <row r="567" spans="1:12" ht="12">
      <c r="A567" s="280">
        <v>10</v>
      </c>
      <c r="D567" s="280">
        <v>10</v>
      </c>
      <c r="E567" s="280"/>
      <c r="F567" s="308"/>
      <c r="G567" s="274"/>
      <c r="H567" s="308"/>
      <c r="I567" s="274"/>
      <c r="J567" s="274"/>
      <c r="K567" s="308"/>
      <c r="L567" s="274"/>
    </row>
    <row r="568" spans="1:12" ht="12">
      <c r="A568" s="280">
        <v>11</v>
      </c>
      <c r="B568" s="297" t="s">
        <v>256</v>
      </c>
      <c r="D568" s="280">
        <v>11</v>
      </c>
      <c r="E568" s="280"/>
      <c r="F568" s="308">
        <f>SUM(F566,F561)</f>
        <v>572.9</v>
      </c>
      <c r="G568" s="274">
        <f>SUM(G566,G561)</f>
        <v>48956218.730000004</v>
      </c>
      <c r="H568" s="308">
        <f>SUM(H566,H561)</f>
        <v>579.3</v>
      </c>
      <c r="I568" s="274">
        <f>SUM(I566,I561)</f>
        <v>49369273.69</v>
      </c>
      <c r="J568" s="274"/>
      <c r="K568" s="308">
        <f>SUM(K566,K561)</f>
        <v>586.5</v>
      </c>
      <c r="L568" s="274">
        <f>SUM(L566,L561)</f>
        <v>50404282</v>
      </c>
    </row>
    <row r="569" spans="1:12" ht="12">
      <c r="A569" s="280">
        <v>12</v>
      </c>
      <c r="D569" s="280">
        <v>12</v>
      </c>
      <c r="E569" s="280"/>
      <c r="F569" s="5"/>
      <c r="G569" s="274"/>
      <c r="H569" s="5"/>
      <c r="I569" s="274"/>
      <c r="J569" s="274"/>
      <c r="K569" s="5"/>
      <c r="L569" s="274"/>
    </row>
    <row r="570" spans="1:12" ht="12">
      <c r="A570" s="280">
        <v>13</v>
      </c>
      <c r="B570" s="297" t="s">
        <v>277</v>
      </c>
      <c r="D570" s="280">
        <v>13</v>
      </c>
      <c r="E570" s="280"/>
      <c r="F570" s="337">
        <f>9.5+76.5</f>
        <v>86</v>
      </c>
      <c r="G570" s="304">
        <f>364723.57+1510887.79+293751.72+16619.76</f>
        <v>2185982.84</v>
      </c>
      <c r="H570" s="337">
        <f>8+87.6</f>
        <v>95.6</v>
      </c>
      <c r="I570" s="304">
        <f>305015.09+1730782.96+310202.66+24230.97</f>
        <v>2370231.68</v>
      </c>
      <c r="J570" s="304"/>
      <c r="K570" s="337">
        <f>8.2+90.5</f>
        <v>98.7</v>
      </c>
      <c r="L570" s="304">
        <f>314409+1787525+597383+25126</f>
        <v>2724443</v>
      </c>
    </row>
    <row r="571" spans="1:12" ht="12">
      <c r="A571" s="280">
        <v>14</v>
      </c>
      <c r="D571" s="280">
        <v>14</v>
      </c>
      <c r="E571" s="280"/>
      <c r="F571" s="304"/>
      <c r="G571" s="304"/>
      <c r="H571" s="304"/>
      <c r="I571" s="304"/>
      <c r="J571" s="304"/>
      <c r="K571" s="304"/>
      <c r="L571" s="304"/>
    </row>
    <row r="572" spans="1:12" ht="12">
      <c r="A572" s="280">
        <v>15</v>
      </c>
      <c r="B572" s="297" t="s">
        <v>258</v>
      </c>
      <c r="D572" s="280">
        <v>15</v>
      </c>
      <c r="E572" s="280"/>
      <c r="F572" s="337"/>
      <c r="G572" s="304">
        <f>410268.28</f>
        <v>410268.28</v>
      </c>
      <c r="H572" s="337"/>
      <c r="I572" s="304">
        <f>476270.04</f>
        <v>476270.04</v>
      </c>
      <c r="J572" s="304"/>
      <c r="K572" s="337"/>
      <c r="L572" s="304">
        <f>486002</f>
        <v>486002</v>
      </c>
    </row>
    <row r="573" spans="1:12" ht="12">
      <c r="A573" s="24">
        <v>16</v>
      </c>
      <c r="B573" s="297" t="s">
        <v>259</v>
      </c>
      <c r="D573" s="24">
        <v>16</v>
      </c>
      <c r="E573" s="24"/>
      <c r="F573" s="337"/>
      <c r="G573" s="304">
        <f>8284431.05</f>
        <v>8284431.05</v>
      </c>
      <c r="H573" s="337"/>
      <c r="I573" s="304">
        <f>7908649.81</f>
        <v>7908649.81</v>
      </c>
      <c r="J573" s="304"/>
      <c r="K573" s="337"/>
      <c r="L573" s="304">
        <f>8795530</f>
        <v>8795530</v>
      </c>
    </row>
    <row r="574" spans="1:12" ht="12">
      <c r="A574" s="24"/>
      <c r="B574" s="297"/>
      <c r="D574" s="24"/>
      <c r="E574" s="24"/>
      <c r="F574" s="337"/>
      <c r="G574" s="304"/>
      <c r="H574" s="337"/>
      <c r="I574" s="304"/>
      <c r="J574" s="304"/>
      <c r="K574" s="337"/>
      <c r="L574" s="304"/>
    </row>
    <row r="575" spans="1:12" ht="12">
      <c r="A575" s="24">
        <v>17</v>
      </c>
      <c r="B575" s="297" t="s">
        <v>278</v>
      </c>
      <c r="D575" s="24">
        <v>17</v>
      </c>
      <c r="E575" s="24"/>
      <c r="F575" s="337"/>
      <c r="G575" s="304">
        <f>1583184.76</f>
        <v>1583184.76</v>
      </c>
      <c r="H575" s="337"/>
      <c r="I575" s="304">
        <f>1450337.54</f>
        <v>1450337.54</v>
      </c>
      <c r="J575" s="304"/>
      <c r="K575" s="337"/>
      <c r="L575" s="304">
        <f>1466354</f>
        <v>1466354</v>
      </c>
    </row>
    <row r="576" spans="1:12" ht="12">
      <c r="A576" s="24">
        <v>18</v>
      </c>
      <c r="B576" s="4" t="s">
        <v>283</v>
      </c>
      <c r="D576" s="24">
        <v>18</v>
      </c>
      <c r="E576" s="24"/>
      <c r="F576" s="337"/>
      <c r="G576" s="304">
        <f>12413825.45</f>
        <v>12413825.45</v>
      </c>
      <c r="H576" s="337"/>
      <c r="I576" s="304">
        <f>12082948.87</f>
        <v>12082948.87</v>
      </c>
      <c r="J576" s="304"/>
      <c r="K576" s="337"/>
      <c r="L576" s="304">
        <f>12284267</f>
        <v>12284267</v>
      </c>
    </row>
    <row r="577" spans="1:11" ht="12">
      <c r="A577" s="24">
        <v>19</v>
      </c>
      <c r="B577" s="4" t="s">
        <v>284</v>
      </c>
      <c r="D577" s="24">
        <v>19</v>
      </c>
      <c r="E577" s="24"/>
      <c r="F577" s="337"/>
      <c r="H577" s="337"/>
      <c r="K577" s="337"/>
    </row>
    <row r="578" spans="1:12" ht="12">
      <c r="A578" s="280">
        <v>20</v>
      </c>
      <c r="B578" s="297" t="s">
        <v>285</v>
      </c>
      <c r="D578" s="24">
        <v>20</v>
      </c>
      <c r="E578" s="24"/>
      <c r="F578" s="337"/>
      <c r="G578" s="304"/>
      <c r="H578" s="337"/>
      <c r="I578" s="304"/>
      <c r="J578" s="304"/>
      <c r="K578" s="337"/>
      <c r="L578" s="304"/>
    </row>
    <row r="579" spans="1:12" s="5" customFormat="1" ht="12">
      <c r="A579" s="24">
        <v>21</v>
      </c>
      <c r="D579" s="24">
        <v>21</v>
      </c>
      <c r="E579" s="24"/>
      <c r="F579" s="252"/>
      <c r="G579" s="274"/>
      <c r="H579" s="252"/>
      <c r="I579" s="274"/>
      <c r="J579" s="274"/>
      <c r="K579" s="252"/>
      <c r="L579" s="274"/>
    </row>
    <row r="580" spans="1:12" s="5" customFormat="1" ht="12">
      <c r="A580" s="24">
        <v>22</v>
      </c>
      <c r="D580" s="24">
        <v>22</v>
      </c>
      <c r="E580" s="24"/>
      <c r="F580" s="308"/>
      <c r="G580" s="274"/>
      <c r="H580" s="308"/>
      <c r="I580" s="274"/>
      <c r="J580" s="274"/>
      <c r="K580" s="308"/>
      <c r="L580" s="274"/>
    </row>
    <row r="581" spans="1:12" s="5" customFormat="1" ht="12">
      <c r="A581" s="24">
        <v>23</v>
      </c>
      <c r="B581" s="297"/>
      <c r="C581" s="313"/>
      <c r="D581" s="24">
        <v>23</v>
      </c>
      <c r="E581" s="24"/>
      <c r="G581" s="252"/>
      <c r="I581" s="274"/>
      <c r="J581" s="274"/>
      <c r="L581" s="274"/>
    </row>
    <row r="582" spans="1:12" s="5" customFormat="1" ht="12">
      <c r="A582" s="24">
        <v>24</v>
      </c>
      <c r="C582" s="313"/>
      <c r="D582" s="24">
        <v>24</v>
      </c>
      <c r="E582" s="24"/>
      <c r="G582" s="252"/>
      <c r="I582" s="274"/>
      <c r="J582" s="274"/>
      <c r="L582" s="274"/>
    </row>
    <row r="583" spans="6:12" ht="12">
      <c r="F583" s="252" t="s">
        <v>1</v>
      </c>
      <c r="G583" s="252" t="s">
        <v>1</v>
      </c>
      <c r="H583" s="252" t="s">
        <v>1</v>
      </c>
      <c r="I583" s="252" t="s">
        <v>1</v>
      </c>
      <c r="J583" s="252"/>
      <c r="K583" s="252" t="s">
        <v>1</v>
      </c>
      <c r="L583" s="252" t="s">
        <v>1</v>
      </c>
    </row>
    <row r="584" spans="1:12" ht="12">
      <c r="A584" s="280">
        <v>25</v>
      </c>
      <c r="B584" s="297" t="s">
        <v>286</v>
      </c>
      <c r="D584" s="280">
        <v>25</v>
      </c>
      <c r="E584" s="280"/>
      <c r="F584" s="39">
        <f>F568</f>
        <v>572.9</v>
      </c>
      <c r="G584" s="19">
        <f>SUM(G568:G582)-G576</f>
        <v>61420085.66</v>
      </c>
      <c r="H584" s="39">
        <f>H568</f>
        <v>579.3</v>
      </c>
      <c r="I584" s="19">
        <f>SUM(I568:I582)-I576</f>
        <v>61574762.76</v>
      </c>
      <c r="J584" s="19"/>
      <c r="K584" s="39">
        <f>K568</f>
        <v>586.5</v>
      </c>
      <c r="L584" s="274">
        <f>SUM(L568:L582)-L576</f>
        <v>63876611</v>
      </c>
    </row>
    <row r="585" spans="4:12" ht="12">
      <c r="D585" s="299"/>
      <c r="E585" s="299"/>
      <c r="F585" s="252" t="s">
        <v>1</v>
      </c>
      <c r="G585" s="252" t="s">
        <v>1</v>
      </c>
      <c r="H585" s="252" t="s">
        <v>1</v>
      </c>
      <c r="I585" s="252" t="s">
        <v>1</v>
      </c>
      <c r="J585" s="252"/>
      <c r="K585" s="252" t="s">
        <v>1</v>
      </c>
      <c r="L585" s="252" t="s">
        <v>1</v>
      </c>
    </row>
    <row r="586" spans="1:12" ht="12">
      <c r="A586" s="292" t="s">
        <v>106</v>
      </c>
      <c r="D586" s="299"/>
      <c r="E586" s="299"/>
      <c r="F586" s="296"/>
      <c r="G586" s="295"/>
      <c r="H586" s="296"/>
      <c r="I586" s="295"/>
      <c r="J586" s="295"/>
      <c r="K586" s="296"/>
      <c r="L586" s="294" t="s">
        <v>287</v>
      </c>
    </row>
    <row r="587" spans="1:12" ht="12">
      <c r="A587" s="462" t="s">
        <v>288</v>
      </c>
      <c r="B587" s="462"/>
      <c r="C587" s="462"/>
      <c r="D587" s="462"/>
      <c r="E587" s="462"/>
      <c r="F587" s="462"/>
      <c r="G587" s="462"/>
      <c r="H587" s="462"/>
      <c r="I587" s="462"/>
      <c r="J587" s="462"/>
      <c r="K587" s="462"/>
      <c r="L587" s="462"/>
    </row>
    <row r="588" spans="1:12" ht="12">
      <c r="A588" s="292" t="s">
        <v>78</v>
      </c>
      <c r="F588" s="296"/>
      <c r="G588" s="295"/>
      <c r="H588" s="343"/>
      <c r="I588" s="341"/>
      <c r="J588" s="341"/>
      <c r="K588" s="296"/>
      <c r="L588" s="291" t="s">
        <v>79</v>
      </c>
    </row>
    <row r="589" spans="1:12" ht="12">
      <c r="A589" s="283" t="s">
        <v>1</v>
      </c>
      <c r="B589" s="283" t="s">
        <v>1</v>
      </c>
      <c r="C589" s="283" t="s">
        <v>1</v>
      </c>
      <c r="D589" s="283" t="s">
        <v>1</v>
      </c>
      <c r="E589" s="283"/>
      <c r="F589" s="283" t="s">
        <v>1</v>
      </c>
      <c r="G589" s="283" t="s">
        <v>1</v>
      </c>
      <c r="H589" s="283" t="s">
        <v>1</v>
      </c>
      <c r="I589" s="283" t="s">
        <v>1</v>
      </c>
      <c r="J589" s="283"/>
      <c r="K589" s="283" t="s">
        <v>1</v>
      </c>
      <c r="L589" s="283" t="s">
        <v>1</v>
      </c>
    </row>
    <row r="590" spans="1:12" ht="12">
      <c r="A590" s="289" t="s">
        <v>2</v>
      </c>
      <c r="D590" s="289" t="s">
        <v>2</v>
      </c>
      <c r="E590" s="289"/>
      <c r="F590" s="286"/>
      <c r="G590" s="285" t="s">
        <v>62</v>
      </c>
      <c r="H590" s="309"/>
      <c r="I590" s="285" t="s">
        <v>65</v>
      </c>
      <c r="J590" s="285"/>
      <c r="K590" s="308"/>
      <c r="L590" s="285" t="s">
        <v>70</v>
      </c>
    </row>
    <row r="591" spans="1:12" ht="12">
      <c r="A591" s="289" t="s">
        <v>4</v>
      </c>
      <c r="B591" s="307" t="s">
        <v>18</v>
      </c>
      <c r="D591" s="289" t="s">
        <v>4</v>
      </c>
      <c r="E591" s="289"/>
      <c r="F591" s="286" t="s">
        <v>6</v>
      </c>
      <c r="G591" s="285" t="s">
        <v>7</v>
      </c>
      <c r="H591" s="286" t="s">
        <v>6</v>
      </c>
      <c r="I591" s="285" t="s">
        <v>7</v>
      </c>
      <c r="J591" s="285"/>
      <c r="K591" s="286" t="s">
        <v>6</v>
      </c>
      <c r="L591" s="285" t="s">
        <v>8</v>
      </c>
    </row>
    <row r="592" spans="1:12" ht="12">
      <c r="A592" s="283" t="s">
        <v>1</v>
      </c>
      <c r="B592" s="283" t="s">
        <v>1</v>
      </c>
      <c r="C592" s="283" t="s">
        <v>1</v>
      </c>
      <c r="D592" s="283" t="s">
        <v>1</v>
      </c>
      <c r="E592" s="283"/>
      <c r="F592" s="14" t="s">
        <v>1</v>
      </c>
      <c r="G592" s="14" t="s">
        <v>1</v>
      </c>
      <c r="H592" s="14" t="s">
        <v>1</v>
      </c>
      <c r="I592" s="14" t="s">
        <v>1</v>
      </c>
      <c r="J592" s="14"/>
      <c r="K592" s="14" t="s">
        <v>1</v>
      </c>
      <c r="L592" s="271" t="s">
        <v>1</v>
      </c>
    </row>
    <row r="593" spans="1:12" ht="12">
      <c r="A593" s="280">
        <v>1</v>
      </c>
      <c r="B593" s="297" t="s">
        <v>276</v>
      </c>
      <c r="D593" s="280">
        <v>1</v>
      </c>
      <c r="E593" s="280"/>
      <c r="F593" s="337">
        <f>97.3</f>
        <v>97.3</v>
      </c>
      <c r="G593" s="304">
        <f>6918154.08</f>
        <v>6918154.08</v>
      </c>
      <c r="H593" s="337">
        <f>105.3</f>
        <v>105.3</v>
      </c>
      <c r="I593" s="304">
        <f>7483235.26</f>
        <v>7483235.26</v>
      </c>
      <c r="J593" s="304"/>
      <c r="K593" s="337">
        <f>105.6</f>
        <v>105.6</v>
      </c>
      <c r="L593" s="304">
        <f>7509763</f>
        <v>7509763</v>
      </c>
    </row>
    <row r="594" spans="1:12" ht="12">
      <c r="A594" s="280">
        <v>2</v>
      </c>
      <c r="B594" s="297" t="s">
        <v>268</v>
      </c>
      <c r="D594" s="280">
        <v>2</v>
      </c>
      <c r="E594" s="280"/>
      <c r="F594" s="337"/>
      <c r="G594" s="304">
        <f>1888438.71</f>
        <v>1888438.71</v>
      </c>
      <c r="H594" s="337"/>
      <c r="I594" s="304">
        <f>2016314.61</f>
        <v>2016314.61</v>
      </c>
      <c r="J594" s="304"/>
      <c r="K594" s="337"/>
      <c r="L594" s="304">
        <f>2015444</f>
        <v>2015444</v>
      </c>
    </row>
    <row r="595" spans="1:12" ht="12">
      <c r="A595" s="280">
        <v>3</v>
      </c>
      <c r="D595" s="280">
        <v>3</v>
      </c>
      <c r="E595" s="280"/>
      <c r="F595" s="337"/>
      <c r="G595" s="304"/>
      <c r="H595" s="337"/>
      <c r="I595" s="304"/>
      <c r="J595" s="304"/>
      <c r="K595" s="337"/>
      <c r="L595" s="304"/>
    </row>
    <row r="596" spans="1:12" ht="12">
      <c r="A596" s="280">
        <v>4</v>
      </c>
      <c r="B596" s="297" t="s">
        <v>270</v>
      </c>
      <c r="D596" s="280">
        <v>4</v>
      </c>
      <c r="E596" s="280"/>
      <c r="F596" s="308">
        <f>F593</f>
        <v>97.3</v>
      </c>
      <c r="G596" s="274">
        <f>SUM(G593:G594)</f>
        <v>8806592.79</v>
      </c>
      <c r="H596" s="308">
        <f>H593</f>
        <v>105.3</v>
      </c>
      <c r="I596" s="274">
        <f>SUM(I593:I594)</f>
        <v>9499549.87</v>
      </c>
      <c r="J596" s="274"/>
      <c r="K596" s="308">
        <f>K593</f>
        <v>105.6</v>
      </c>
      <c r="L596" s="274">
        <f>SUM(L593:L594)</f>
        <v>9525207</v>
      </c>
    </row>
    <row r="597" spans="1:12" ht="12">
      <c r="A597" s="280">
        <v>5</v>
      </c>
      <c r="D597" s="280">
        <v>5</v>
      </c>
      <c r="E597" s="280"/>
      <c r="F597" s="308"/>
      <c r="G597" s="274"/>
      <c r="H597" s="308"/>
      <c r="I597" s="274"/>
      <c r="J597" s="274"/>
      <c r="K597" s="347"/>
      <c r="L597" s="274"/>
    </row>
    <row r="598" spans="1:12" ht="12">
      <c r="A598" s="280">
        <v>6</v>
      </c>
      <c r="D598" s="280">
        <v>6</v>
      </c>
      <c r="E598" s="280"/>
      <c r="F598" s="308"/>
      <c r="G598" s="274"/>
      <c r="H598" s="308"/>
      <c r="I598" s="274"/>
      <c r="J598" s="274"/>
      <c r="K598" s="347"/>
      <c r="L598" s="274"/>
    </row>
    <row r="599" spans="1:12" ht="12">
      <c r="A599" s="280">
        <v>7</v>
      </c>
      <c r="B599" s="297" t="s">
        <v>253</v>
      </c>
      <c r="D599" s="280">
        <v>7</v>
      </c>
      <c r="E599" s="280"/>
      <c r="F599" s="337">
        <f>120</f>
        <v>120</v>
      </c>
      <c r="G599" s="304">
        <f>6788767.41</f>
        <v>6788767.41</v>
      </c>
      <c r="H599" s="337">
        <f>112.9</f>
        <v>112.9</v>
      </c>
      <c r="I599" s="304">
        <f>6366853.46</f>
        <v>6366853.46</v>
      </c>
      <c r="J599" s="304"/>
      <c r="K599" s="337">
        <f>112.9</f>
        <v>112.9</v>
      </c>
      <c r="L599" s="304">
        <f>6385471</f>
        <v>6385471</v>
      </c>
    </row>
    <row r="600" spans="1:12" ht="12">
      <c r="A600" s="280">
        <v>8</v>
      </c>
      <c r="B600" s="297" t="s">
        <v>254</v>
      </c>
      <c r="D600" s="280">
        <v>8</v>
      </c>
      <c r="E600" s="280"/>
      <c r="F600" s="337"/>
      <c r="G600" s="304">
        <f>1870216.1</f>
        <v>1870216.1</v>
      </c>
      <c r="H600" s="337"/>
      <c r="I600" s="304">
        <f>1744098.68</f>
        <v>1744098.68</v>
      </c>
      <c r="J600" s="304"/>
      <c r="K600" s="337"/>
      <c r="L600" s="304">
        <f>1851787</f>
        <v>1851787</v>
      </c>
    </row>
    <row r="601" spans="1:12" ht="12">
      <c r="A601" s="280">
        <v>9</v>
      </c>
      <c r="B601" s="297" t="s">
        <v>255</v>
      </c>
      <c r="D601" s="280">
        <v>9</v>
      </c>
      <c r="E601" s="280"/>
      <c r="F601" s="39">
        <f>F599</f>
        <v>120</v>
      </c>
      <c r="G601" s="274">
        <f>SUM(G599:G600)</f>
        <v>8658983.51</v>
      </c>
      <c r="H601" s="39">
        <f>H599</f>
        <v>112.9</v>
      </c>
      <c r="I601" s="274">
        <f>SUM(I599:I600)</f>
        <v>8110952.14</v>
      </c>
      <c r="J601" s="274"/>
      <c r="K601" s="39">
        <f>K599</f>
        <v>112.9</v>
      </c>
      <c r="L601" s="274">
        <f>SUM(L599:L600)</f>
        <v>8237258</v>
      </c>
    </row>
    <row r="602" spans="1:12" ht="12">
      <c r="A602" s="280">
        <v>10</v>
      </c>
      <c r="D602" s="280">
        <v>10</v>
      </c>
      <c r="E602" s="280"/>
      <c r="F602" s="308"/>
      <c r="G602" s="274"/>
      <c r="H602" s="308"/>
      <c r="I602" s="274"/>
      <c r="J602" s="274"/>
      <c r="K602" s="308"/>
      <c r="L602" s="274"/>
    </row>
    <row r="603" spans="1:12" ht="12">
      <c r="A603" s="280">
        <v>11</v>
      </c>
      <c r="B603" s="297" t="s">
        <v>256</v>
      </c>
      <c r="D603" s="280">
        <v>11</v>
      </c>
      <c r="E603" s="280"/>
      <c r="F603" s="308">
        <f>SUM(F601,F596)</f>
        <v>217.3</v>
      </c>
      <c r="G603" s="274">
        <f>SUM(G601,G596)</f>
        <v>17465576.299999997</v>
      </c>
      <c r="H603" s="308">
        <f>SUM(H601,H596)</f>
        <v>218.2</v>
      </c>
      <c r="I603" s="274">
        <f>SUM(I601,I596)</f>
        <v>17610502.009999998</v>
      </c>
      <c r="J603" s="274"/>
      <c r="K603" s="308">
        <f>SUM(K601,K596)</f>
        <v>218.5</v>
      </c>
      <c r="L603" s="274">
        <f>SUM(L601,L596)</f>
        <v>17762465</v>
      </c>
    </row>
    <row r="604" spans="1:12" ht="12">
      <c r="A604" s="280">
        <v>12</v>
      </c>
      <c r="D604" s="280">
        <v>12</v>
      </c>
      <c r="E604" s="280"/>
      <c r="F604" s="5"/>
      <c r="G604" s="5"/>
      <c r="H604" s="5"/>
      <c r="I604" s="5"/>
      <c r="J604" s="5"/>
      <c r="K604" s="5"/>
      <c r="L604" s="5"/>
    </row>
    <row r="605" spans="1:12" ht="12">
      <c r="A605" s="280">
        <v>13</v>
      </c>
      <c r="B605" s="297" t="s">
        <v>277</v>
      </c>
      <c r="D605" s="280">
        <v>13</v>
      </c>
      <c r="E605" s="280"/>
      <c r="F605" s="337">
        <f>1.5+34</f>
        <v>35.5</v>
      </c>
      <c r="G605" s="304">
        <f>56650.79+671691.53+27641.5+6697.05</f>
        <v>762680.8700000001</v>
      </c>
      <c r="H605" s="337">
        <f>0.7+34.5</f>
        <v>35.2</v>
      </c>
      <c r="I605" s="304">
        <f>26256.67+681814.14+26446.61+8665.24</f>
        <v>743182.66</v>
      </c>
      <c r="J605" s="304"/>
      <c r="K605" s="337">
        <f>0.8+34.9</f>
        <v>35.699999999999996</v>
      </c>
      <c r="L605" s="304">
        <f>30000+690490+29931+9561</f>
        <v>759982</v>
      </c>
    </row>
    <row r="606" spans="1:12" ht="12">
      <c r="A606" s="280">
        <v>14</v>
      </c>
      <c r="D606" s="280">
        <v>14</v>
      </c>
      <c r="E606" s="280"/>
      <c r="F606" s="337"/>
      <c r="G606" s="20"/>
      <c r="H606" s="337"/>
      <c r="I606" s="20"/>
      <c r="J606" s="20"/>
      <c r="K606" s="337"/>
      <c r="L606" s="20"/>
    </row>
    <row r="607" spans="1:12" ht="12">
      <c r="A607" s="280">
        <v>15</v>
      </c>
      <c r="B607" s="297" t="s">
        <v>258</v>
      </c>
      <c r="D607" s="280">
        <v>15</v>
      </c>
      <c r="E607" s="280"/>
      <c r="F607" s="337"/>
      <c r="G607" s="304">
        <f>359016.85</f>
        <v>359016.85</v>
      </c>
      <c r="H607" s="337"/>
      <c r="I607" s="304">
        <f>325936.35</f>
        <v>325936.35</v>
      </c>
      <c r="J607" s="304"/>
      <c r="K607" s="337"/>
      <c r="L607" s="304">
        <f>392882</f>
        <v>392882</v>
      </c>
    </row>
    <row r="608" spans="1:12" ht="12">
      <c r="A608" s="24">
        <v>16</v>
      </c>
      <c r="B608" s="297" t="s">
        <v>259</v>
      </c>
      <c r="D608" s="24">
        <v>16</v>
      </c>
      <c r="E608" s="24"/>
      <c r="F608" s="337"/>
      <c r="G608" s="304">
        <f>3153391.76</f>
        <v>3153391.76</v>
      </c>
      <c r="H608" s="337"/>
      <c r="I608" s="304">
        <f>3141067.74</f>
        <v>3141067.74</v>
      </c>
      <c r="J608" s="304"/>
      <c r="K608" s="337"/>
      <c r="L608" s="304">
        <f>4107598</f>
        <v>4107598</v>
      </c>
    </row>
    <row r="609" spans="1:12" ht="12">
      <c r="A609" s="24"/>
      <c r="B609" s="297"/>
      <c r="D609" s="24"/>
      <c r="E609" s="24"/>
      <c r="F609" s="337"/>
      <c r="G609" s="304"/>
      <c r="H609" s="337"/>
      <c r="I609" s="304"/>
      <c r="J609" s="304"/>
      <c r="K609" s="337"/>
      <c r="L609" s="304"/>
    </row>
    <row r="610" spans="1:12" ht="12">
      <c r="A610" s="24">
        <v>17</v>
      </c>
      <c r="B610" s="297" t="s">
        <v>278</v>
      </c>
      <c r="D610" s="24">
        <v>17</v>
      </c>
      <c r="E610" s="24"/>
      <c r="F610" s="337"/>
      <c r="G610" s="304"/>
      <c r="H610" s="337"/>
      <c r="I610" s="304"/>
      <c r="J610" s="304"/>
      <c r="K610" s="337"/>
      <c r="L610" s="304"/>
    </row>
    <row r="611" spans="1:12" ht="12">
      <c r="A611" s="24">
        <v>18</v>
      </c>
      <c r="B611" s="269" t="s">
        <v>261</v>
      </c>
      <c r="D611" s="24">
        <v>18</v>
      </c>
      <c r="E611" s="24"/>
      <c r="F611" s="337"/>
      <c r="G611" s="304"/>
      <c r="H611" s="337"/>
      <c r="I611" s="304"/>
      <c r="J611" s="304"/>
      <c r="K611" s="337"/>
      <c r="L611" s="304"/>
    </row>
    <row r="612" spans="1:12" ht="12">
      <c r="A612" s="24">
        <v>19</v>
      </c>
      <c r="B612" s="297" t="s">
        <v>284</v>
      </c>
      <c r="D612" s="24">
        <v>19</v>
      </c>
      <c r="E612" s="24"/>
      <c r="F612" s="337"/>
      <c r="G612" s="304"/>
      <c r="H612" s="337"/>
      <c r="I612" s="304"/>
      <c r="J612" s="304"/>
      <c r="K612" s="337"/>
      <c r="L612" s="304"/>
    </row>
    <row r="613" spans="1:12" ht="12">
      <c r="A613" s="280">
        <v>20</v>
      </c>
      <c r="D613" s="24">
        <v>20</v>
      </c>
      <c r="E613" s="24"/>
      <c r="F613" s="252"/>
      <c r="G613" s="252"/>
      <c r="H613" s="252"/>
      <c r="I613" s="252"/>
      <c r="J613" s="252"/>
      <c r="K613" s="252"/>
      <c r="L613" s="252"/>
    </row>
    <row r="614" spans="1:12" s="5" customFormat="1" ht="12">
      <c r="A614" s="24">
        <v>21</v>
      </c>
      <c r="D614" s="24">
        <v>21</v>
      </c>
      <c r="E614" s="24"/>
      <c r="G614" s="252"/>
      <c r="H614" s="252"/>
      <c r="I614" s="274"/>
      <c r="J614" s="274"/>
      <c r="K614" s="252"/>
      <c r="L614" s="274"/>
    </row>
    <row r="615" spans="1:12" s="5" customFormat="1" ht="12">
      <c r="A615" s="24">
        <v>22</v>
      </c>
      <c r="D615" s="24">
        <v>22</v>
      </c>
      <c r="E615" s="24"/>
      <c r="G615" s="252"/>
      <c r="H615" s="308"/>
      <c r="I615" s="274"/>
      <c r="J615" s="274"/>
      <c r="K615" s="308"/>
      <c r="L615" s="274"/>
    </row>
    <row r="616" spans="1:12" s="5" customFormat="1" ht="12">
      <c r="A616" s="24">
        <v>23</v>
      </c>
      <c r="C616" s="313"/>
      <c r="D616" s="24">
        <v>23</v>
      </c>
      <c r="E616" s="24"/>
      <c r="G616" s="252"/>
      <c r="I616" s="274"/>
      <c r="J616" s="274"/>
      <c r="L616" s="274"/>
    </row>
    <row r="617" spans="1:12" s="5" customFormat="1" ht="12">
      <c r="A617" s="24">
        <v>24</v>
      </c>
      <c r="C617" s="313"/>
      <c r="D617" s="24">
        <v>24</v>
      </c>
      <c r="E617" s="24"/>
      <c r="G617" s="252"/>
      <c r="I617" s="274"/>
      <c r="J617" s="274"/>
      <c r="L617" s="274"/>
    </row>
    <row r="618" spans="6:12" ht="12">
      <c r="F618" s="252" t="s">
        <v>1</v>
      </c>
      <c r="G618" s="252" t="s">
        <v>1</v>
      </c>
      <c r="H618" s="252" t="s">
        <v>1</v>
      </c>
      <c r="I618" s="252" t="s">
        <v>1</v>
      </c>
      <c r="J618" s="252"/>
      <c r="K618" s="252" t="s">
        <v>1</v>
      </c>
      <c r="L618" s="252" t="s">
        <v>1</v>
      </c>
    </row>
    <row r="619" spans="1:12" ht="12">
      <c r="A619" s="280">
        <v>25</v>
      </c>
      <c r="B619" s="297" t="s">
        <v>289</v>
      </c>
      <c r="D619" s="280">
        <v>25</v>
      </c>
      <c r="E619" s="280"/>
      <c r="F619" s="39">
        <f>F603</f>
        <v>217.3</v>
      </c>
      <c r="G619" s="19">
        <f>SUM(G603:G617)</f>
        <v>21740665.78</v>
      </c>
      <c r="H619" s="39">
        <f>H603</f>
        <v>218.2</v>
      </c>
      <c r="I619" s="19">
        <f>SUM(I603:I617)</f>
        <v>21820688.759999998</v>
      </c>
      <c r="J619" s="19"/>
      <c r="K619" s="39">
        <f>K603</f>
        <v>218.5</v>
      </c>
      <c r="L619" s="274">
        <f>SUM(L603:L617)</f>
        <v>23022927</v>
      </c>
    </row>
    <row r="620" spans="4:12" ht="12">
      <c r="D620" s="299"/>
      <c r="E620" s="299"/>
      <c r="F620" s="252" t="s">
        <v>1</v>
      </c>
      <c r="G620" s="252" t="s">
        <v>1</v>
      </c>
      <c r="H620" s="252" t="s">
        <v>1</v>
      </c>
      <c r="I620" s="252" t="s">
        <v>1</v>
      </c>
      <c r="J620" s="252"/>
      <c r="K620" s="252" t="s">
        <v>1</v>
      </c>
      <c r="L620" s="252" t="s">
        <v>1</v>
      </c>
    </row>
    <row r="621" spans="1:12" ht="12">
      <c r="A621" s="292" t="s">
        <v>106</v>
      </c>
      <c r="D621" s="299"/>
      <c r="E621" s="299"/>
      <c r="F621" s="296"/>
      <c r="G621" s="295"/>
      <c r="H621" s="296"/>
      <c r="I621" s="295"/>
      <c r="J621" s="295"/>
      <c r="K621" s="296"/>
      <c r="L621" s="294" t="s">
        <v>290</v>
      </c>
    </row>
    <row r="622" spans="1:12" ht="12">
      <c r="A622" s="462" t="s">
        <v>291</v>
      </c>
      <c r="B622" s="462"/>
      <c r="C622" s="462"/>
      <c r="D622" s="462"/>
      <c r="E622" s="462"/>
      <c r="F622" s="462"/>
      <c r="G622" s="462"/>
      <c r="H622" s="462"/>
      <c r="I622" s="462"/>
      <c r="J622" s="462"/>
      <c r="K622" s="462"/>
      <c r="L622" s="462"/>
    </row>
    <row r="623" spans="1:12" ht="12">
      <c r="A623" s="292" t="s">
        <v>78</v>
      </c>
      <c r="F623" s="296"/>
      <c r="G623" s="343"/>
      <c r="H623" s="342"/>
      <c r="I623" s="295"/>
      <c r="J623" s="295"/>
      <c r="K623" s="296"/>
      <c r="L623" s="291" t="s">
        <v>79</v>
      </c>
    </row>
    <row r="624" spans="1:12" ht="12">
      <c r="A624" s="283" t="s">
        <v>1</v>
      </c>
      <c r="B624" s="283" t="s">
        <v>1</v>
      </c>
      <c r="C624" s="283" t="s">
        <v>1</v>
      </c>
      <c r="D624" s="283" t="s">
        <v>1</v>
      </c>
      <c r="E624" s="283"/>
      <c r="F624" s="283" t="s">
        <v>1</v>
      </c>
      <c r="G624" s="283" t="s">
        <v>1</v>
      </c>
      <c r="H624" s="283" t="s">
        <v>1</v>
      </c>
      <c r="I624" s="283" t="s">
        <v>1</v>
      </c>
      <c r="J624" s="283"/>
      <c r="K624" s="283" t="s">
        <v>1</v>
      </c>
      <c r="L624" s="283" t="s">
        <v>1</v>
      </c>
    </row>
    <row r="625" spans="1:12" ht="12">
      <c r="A625" s="289" t="s">
        <v>2</v>
      </c>
      <c r="D625" s="289" t="s">
        <v>2</v>
      </c>
      <c r="E625" s="289"/>
      <c r="F625" s="286"/>
      <c r="G625" s="285" t="s">
        <v>62</v>
      </c>
      <c r="H625" s="309"/>
      <c r="I625" s="285" t="s">
        <v>65</v>
      </c>
      <c r="J625" s="285"/>
      <c r="K625" s="308"/>
      <c r="L625" s="285" t="s">
        <v>70</v>
      </c>
    </row>
    <row r="626" spans="1:12" ht="12">
      <c r="A626" s="289" t="s">
        <v>4</v>
      </c>
      <c r="B626" s="307" t="s">
        <v>18</v>
      </c>
      <c r="D626" s="289" t="s">
        <v>4</v>
      </c>
      <c r="E626" s="289"/>
      <c r="F626" s="286" t="s">
        <v>6</v>
      </c>
      <c r="G626" s="285" t="s">
        <v>7</v>
      </c>
      <c r="H626" s="286" t="s">
        <v>6</v>
      </c>
      <c r="I626" s="285" t="s">
        <v>7</v>
      </c>
      <c r="J626" s="285"/>
      <c r="K626" s="286" t="s">
        <v>6</v>
      </c>
      <c r="L626" s="285" t="s">
        <v>8</v>
      </c>
    </row>
    <row r="627" spans="1:12" ht="12">
      <c r="A627" s="283" t="s">
        <v>1</v>
      </c>
      <c r="B627" s="283" t="s">
        <v>1</v>
      </c>
      <c r="C627" s="283" t="s">
        <v>1</v>
      </c>
      <c r="D627" s="283" t="s">
        <v>1</v>
      </c>
      <c r="E627" s="283"/>
      <c r="F627" s="14" t="s">
        <v>1</v>
      </c>
      <c r="G627" s="14" t="s">
        <v>1</v>
      </c>
      <c r="H627" s="14" t="s">
        <v>1</v>
      </c>
      <c r="I627" s="14" t="s">
        <v>1</v>
      </c>
      <c r="J627" s="14"/>
      <c r="K627" s="14" t="s">
        <v>1</v>
      </c>
      <c r="L627" s="271" t="s">
        <v>1</v>
      </c>
    </row>
    <row r="628" spans="1:12" ht="12">
      <c r="A628" s="280">
        <v>1</v>
      </c>
      <c r="B628" s="297" t="s">
        <v>276</v>
      </c>
      <c r="D628" s="280">
        <v>1</v>
      </c>
      <c r="E628" s="280"/>
      <c r="F628" s="337">
        <f>65+71.2</f>
        <v>136.2</v>
      </c>
      <c r="G628" s="304">
        <f>7221842.27+6165603</f>
        <v>13387445.27</v>
      </c>
      <c r="H628" s="337">
        <f>64.9+68.68</f>
        <v>133.58</v>
      </c>
      <c r="I628" s="304">
        <f>7216529.55+6215656</f>
        <v>13432185.55</v>
      </c>
      <c r="J628" s="304"/>
      <c r="K628" s="337">
        <f>66.4+67.41</f>
        <v>133.81</v>
      </c>
      <c r="L628" s="304">
        <f>7379497+6336130</f>
        <v>13715627</v>
      </c>
    </row>
    <row r="629" spans="1:12" ht="12">
      <c r="A629" s="280">
        <v>2</v>
      </c>
      <c r="B629" s="297" t="s">
        <v>268</v>
      </c>
      <c r="D629" s="280">
        <v>2</v>
      </c>
      <c r="E629" s="280"/>
      <c r="F629" s="337"/>
      <c r="G629" s="304">
        <f>1979223.13+1166205</f>
        <v>3145428.13</v>
      </c>
      <c r="H629" s="337"/>
      <c r="I629" s="304">
        <f>1977538+1324153</f>
        <v>3301691</v>
      </c>
      <c r="J629" s="304"/>
      <c r="K629" s="337"/>
      <c r="L629" s="304">
        <f>2103785+1616631</f>
        <v>3720416</v>
      </c>
    </row>
    <row r="630" spans="1:12" ht="12">
      <c r="A630" s="280">
        <v>3</v>
      </c>
      <c r="D630" s="280">
        <v>3</v>
      </c>
      <c r="E630" s="280"/>
      <c r="F630" s="337"/>
      <c r="G630" s="304"/>
      <c r="H630" s="337"/>
      <c r="I630" s="304"/>
      <c r="J630" s="304"/>
      <c r="K630" s="337"/>
      <c r="L630" s="304"/>
    </row>
    <row r="631" spans="1:12" ht="12">
      <c r="A631" s="280">
        <v>4</v>
      </c>
      <c r="B631" s="297" t="s">
        <v>270</v>
      </c>
      <c r="D631" s="280">
        <v>4</v>
      </c>
      <c r="E631" s="280"/>
      <c r="F631" s="308">
        <f>F628</f>
        <v>136.2</v>
      </c>
      <c r="G631" s="274">
        <f>SUM(G628:G629)</f>
        <v>16532873.399999999</v>
      </c>
      <c r="H631" s="308">
        <f>H628</f>
        <v>133.58</v>
      </c>
      <c r="I631" s="274">
        <f>SUM(I628:I629)</f>
        <v>16733876.55</v>
      </c>
      <c r="J631" s="274"/>
      <c r="K631" s="308">
        <f>K628</f>
        <v>133.81</v>
      </c>
      <c r="L631" s="274">
        <f>SUM(L628:L629)</f>
        <v>17436043</v>
      </c>
    </row>
    <row r="632" spans="1:12" ht="12">
      <c r="A632" s="280">
        <v>5</v>
      </c>
      <c r="D632" s="280">
        <v>5</v>
      </c>
      <c r="E632" s="280"/>
      <c r="F632" s="308"/>
      <c r="G632" s="274"/>
      <c r="H632" s="308"/>
      <c r="I632" s="274"/>
      <c r="J632" s="274"/>
      <c r="K632" s="347"/>
      <c r="L632" s="274"/>
    </row>
    <row r="633" spans="1:12" ht="12">
      <c r="A633" s="280">
        <v>6</v>
      </c>
      <c r="D633" s="280">
        <v>6</v>
      </c>
      <c r="E633" s="280"/>
      <c r="F633" s="308"/>
      <c r="G633" s="274"/>
      <c r="H633" s="308"/>
      <c r="I633" s="274"/>
      <c r="J633" s="274"/>
      <c r="K633" s="308"/>
      <c r="L633" s="274"/>
    </row>
    <row r="634" spans="1:12" ht="12">
      <c r="A634" s="280">
        <v>7</v>
      </c>
      <c r="B634" s="297" t="s">
        <v>253</v>
      </c>
      <c r="D634" s="280">
        <v>7</v>
      </c>
      <c r="E634" s="280"/>
      <c r="F634" s="337">
        <f>152.9+91.78</f>
        <v>244.68</v>
      </c>
      <c r="G634" s="304">
        <f>8688905.08+5684934</f>
        <v>14373839.08</v>
      </c>
      <c r="H634" s="337">
        <f>144.5+67.9</f>
        <v>212.4</v>
      </c>
      <c r="I634" s="304">
        <f>8210046.39+4397623</f>
        <v>12607669.39</v>
      </c>
      <c r="J634" s="304"/>
      <c r="K634" s="337">
        <f>144.7+59.61</f>
        <v>204.31</v>
      </c>
      <c r="L634" s="304">
        <f>8222129+3426498</f>
        <v>11648627</v>
      </c>
    </row>
    <row r="635" spans="1:12" ht="12">
      <c r="A635" s="280">
        <v>8</v>
      </c>
      <c r="B635" s="297" t="s">
        <v>254</v>
      </c>
      <c r="D635" s="280">
        <v>8</v>
      </c>
      <c r="E635" s="280"/>
      <c r="F635" s="337"/>
      <c r="G635" s="304">
        <f>2457035.64+1370986</f>
        <v>3828021.64</v>
      </c>
      <c r="H635" s="337"/>
      <c r="I635" s="304">
        <f>2287801.63+1180239</f>
        <v>3468040.63</v>
      </c>
      <c r="J635" s="304"/>
      <c r="K635" s="337"/>
      <c r="L635" s="304">
        <f>2402347+842536</f>
        <v>3244883</v>
      </c>
    </row>
    <row r="636" spans="1:12" ht="12">
      <c r="A636" s="280">
        <v>9</v>
      </c>
      <c r="B636" s="297" t="s">
        <v>255</v>
      </c>
      <c r="D636" s="280">
        <v>9</v>
      </c>
      <c r="E636" s="280"/>
      <c r="F636" s="308">
        <f>F634</f>
        <v>244.68</v>
      </c>
      <c r="G636" s="274">
        <f>SUM(G634:G635)</f>
        <v>18201860.72</v>
      </c>
      <c r="H636" s="308">
        <f>H634</f>
        <v>212.4</v>
      </c>
      <c r="I636" s="274">
        <f>SUM(I634:I635)</f>
        <v>16075710.02</v>
      </c>
      <c r="J636" s="274"/>
      <c r="K636" s="308">
        <f>K634</f>
        <v>204.31</v>
      </c>
      <c r="L636" s="274">
        <f>SUM(L634:L635)</f>
        <v>14893510</v>
      </c>
    </row>
    <row r="637" spans="1:12" ht="12">
      <c r="A637" s="280">
        <v>10</v>
      </c>
      <c r="D637" s="280">
        <v>10</v>
      </c>
      <c r="E637" s="280"/>
      <c r="F637" s="5"/>
      <c r="G637" s="5"/>
      <c r="H637" s="5"/>
      <c r="I637" s="5"/>
      <c r="J637" s="5"/>
      <c r="K637" s="5"/>
      <c r="L637" s="5"/>
    </row>
    <row r="638" spans="1:12" ht="12">
      <c r="A638" s="280">
        <v>11</v>
      </c>
      <c r="B638" s="297" t="s">
        <v>256</v>
      </c>
      <c r="D638" s="280">
        <v>11</v>
      </c>
      <c r="E638" s="280"/>
      <c r="F638" s="308">
        <f>SUM(F636,F631)</f>
        <v>380.88</v>
      </c>
      <c r="G638" s="274">
        <f>SUM(G636,G631)</f>
        <v>34734734.12</v>
      </c>
      <c r="H638" s="308">
        <f>SUM(H636,H631)</f>
        <v>345.98</v>
      </c>
      <c r="I638" s="274">
        <f>SUM(I636,I631)</f>
        <v>32809586.57</v>
      </c>
      <c r="J638" s="274"/>
      <c r="K638" s="308">
        <f>SUM(K636,K631)</f>
        <v>338.12</v>
      </c>
      <c r="L638" s="274">
        <f>SUM(L636,L631)</f>
        <v>32329553</v>
      </c>
    </row>
    <row r="639" spans="1:12" ht="12">
      <c r="A639" s="280">
        <v>12</v>
      </c>
      <c r="D639" s="280">
        <v>12</v>
      </c>
      <c r="E639" s="280"/>
      <c r="F639" s="5"/>
      <c r="G639" s="5"/>
      <c r="H639" s="5"/>
      <c r="I639" s="5"/>
      <c r="J639" s="5"/>
      <c r="K639" s="5"/>
      <c r="L639" s="5"/>
    </row>
    <row r="640" spans="1:12" ht="12">
      <c r="A640" s="280">
        <v>13</v>
      </c>
      <c r="B640" s="297" t="s">
        <v>277</v>
      </c>
      <c r="D640" s="280">
        <v>13</v>
      </c>
      <c r="E640" s="280"/>
      <c r="F640" s="337">
        <f>0.8+8.6+10.09</f>
        <v>19.490000000000002</v>
      </c>
      <c r="G640" s="304">
        <f>30768+170459.19+17905.6+1875.05+199405+632</f>
        <v>421044.83999999997</v>
      </c>
      <c r="H640" s="337">
        <f>0.1+6.7+4.14</f>
        <v>10.94</v>
      </c>
      <c r="I640" s="304">
        <f>2000+131887.43+106+1846.43+82253</f>
        <v>218092.86</v>
      </c>
      <c r="J640" s="304"/>
      <c r="K640" s="337">
        <f>7.1+7.5</f>
        <v>14.6</v>
      </c>
      <c r="L640" s="304">
        <f>140478+1990+2300+162548</f>
        <v>307316</v>
      </c>
    </row>
    <row r="641" spans="1:12" ht="12">
      <c r="A641" s="280">
        <v>14</v>
      </c>
      <c r="D641" s="280">
        <v>14</v>
      </c>
      <c r="E641" s="280"/>
      <c r="F641" s="337"/>
      <c r="G641" s="20"/>
      <c r="H641" s="337"/>
      <c r="I641" s="20"/>
      <c r="J641" s="20"/>
      <c r="K641" s="337"/>
      <c r="L641" s="20"/>
    </row>
    <row r="642" spans="1:12" ht="12">
      <c r="A642" s="280">
        <v>15</v>
      </c>
      <c r="B642" s="297" t="s">
        <v>258</v>
      </c>
      <c r="D642" s="280">
        <v>15</v>
      </c>
      <c r="E642" s="280"/>
      <c r="F642" s="337"/>
      <c r="G642" s="304">
        <f>188773.31</f>
        <v>188773.31</v>
      </c>
      <c r="H642" s="337"/>
      <c r="I642" s="304">
        <f>156127.76</f>
        <v>156127.76</v>
      </c>
      <c r="J642" s="304"/>
      <c r="K642" s="337"/>
      <c r="L642" s="304">
        <f>172441</f>
        <v>172441</v>
      </c>
    </row>
    <row r="643" spans="1:12" ht="12">
      <c r="A643" s="24">
        <v>16</v>
      </c>
      <c r="B643" s="297" t="s">
        <v>259</v>
      </c>
      <c r="D643" s="24">
        <v>16</v>
      </c>
      <c r="E643" s="24"/>
      <c r="F643" s="337"/>
      <c r="G643" s="304">
        <f>12535639-14587765</f>
        <v>-2052126</v>
      </c>
      <c r="H643" s="337"/>
      <c r="I643" s="304">
        <f>10008160-13199924</f>
        <v>-3191764</v>
      </c>
      <c r="J643" s="304"/>
      <c r="K643" s="337"/>
      <c r="L643" s="304">
        <f>12330858-12384343</f>
        <v>-53485</v>
      </c>
    </row>
    <row r="644" spans="1:12" ht="12">
      <c r="A644" s="24"/>
      <c r="B644" s="297"/>
      <c r="D644" s="24"/>
      <c r="E644" s="24"/>
      <c r="F644" s="337"/>
      <c r="G644" s="304"/>
      <c r="H644" s="337"/>
      <c r="I644" s="304"/>
      <c r="J644" s="304"/>
      <c r="K644" s="337"/>
      <c r="L644" s="304"/>
    </row>
    <row r="645" spans="1:12" ht="12">
      <c r="A645" s="24">
        <v>17</v>
      </c>
      <c r="B645" s="297" t="s">
        <v>260</v>
      </c>
      <c r="D645" s="24">
        <v>17</v>
      </c>
      <c r="E645" s="24"/>
      <c r="F645" s="337"/>
      <c r="G645" s="304"/>
      <c r="H645" s="337"/>
      <c r="I645" s="304"/>
      <c r="J645" s="304"/>
      <c r="K645" s="337"/>
      <c r="L645" s="304"/>
    </row>
    <row r="646" spans="1:12" ht="12">
      <c r="A646" s="24">
        <v>18</v>
      </c>
      <c r="B646" s="269" t="s">
        <v>292</v>
      </c>
      <c r="D646" s="24">
        <v>18</v>
      </c>
      <c r="E646" s="24"/>
      <c r="F646" s="337"/>
      <c r="G646" s="304"/>
      <c r="H646" s="337"/>
      <c r="I646" s="304"/>
      <c r="J646" s="304"/>
      <c r="K646" s="337"/>
      <c r="L646" s="304"/>
    </row>
    <row r="647" spans="1:12" ht="12">
      <c r="A647" s="24">
        <v>19</v>
      </c>
      <c r="B647" s="297" t="s">
        <v>284</v>
      </c>
      <c r="D647" s="24">
        <v>19</v>
      </c>
      <c r="E647" s="24"/>
      <c r="F647" s="337"/>
      <c r="G647" s="304"/>
      <c r="H647" s="337"/>
      <c r="I647" s="304"/>
      <c r="J647" s="304"/>
      <c r="K647" s="337"/>
      <c r="L647" s="304"/>
    </row>
    <row r="648" spans="1:12" ht="12">
      <c r="A648" s="280">
        <v>20</v>
      </c>
      <c r="D648" s="24">
        <v>20</v>
      </c>
      <c r="E648" s="24"/>
      <c r="F648" s="252"/>
      <c r="G648" s="252"/>
      <c r="H648" s="252"/>
      <c r="I648" s="252"/>
      <c r="J648" s="252"/>
      <c r="K648" s="252"/>
      <c r="L648" s="252"/>
    </row>
    <row r="649" spans="1:12" s="5" customFormat="1" ht="12">
      <c r="A649" s="24">
        <v>21</v>
      </c>
      <c r="D649" s="24">
        <v>21</v>
      </c>
      <c r="E649" s="24"/>
      <c r="G649" s="252"/>
      <c r="H649" s="252"/>
      <c r="I649" s="274"/>
      <c r="J649" s="274"/>
      <c r="K649" s="252"/>
      <c r="L649" s="274"/>
    </row>
    <row r="650" spans="1:12" s="5" customFormat="1" ht="12">
      <c r="A650" s="24">
        <v>22</v>
      </c>
      <c r="D650" s="24">
        <v>22</v>
      </c>
      <c r="E650" s="24"/>
      <c r="G650" s="252"/>
      <c r="H650" s="308"/>
      <c r="I650" s="274"/>
      <c r="J650" s="274"/>
      <c r="K650" s="308"/>
      <c r="L650" s="274"/>
    </row>
    <row r="651" spans="1:12" s="5" customFormat="1" ht="12">
      <c r="A651" s="24">
        <v>23</v>
      </c>
      <c r="C651" s="313"/>
      <c r="D651" s="24">
        <v>23</v>
      </c>
      <c r="E651" s="24"/>
      <c r="G651" s="252"/>
      <c r="I651" s="274"/>
      <c r="J651" s="274"/>
      <c r="L651" s="274"/>
    </row>
    <row r="652" spans="1:12" s="5" customFormat="1" ht="12">
      <c r="A652" s="24">
        <v>24</v>
      </c>
      <c r="C652" s="313"/>
      <c r="D652" s="24">
        <v>24</v>
      </c>
      <c r="E652" s="24"/>
      <c r="G652" s="252"/>
      <c r="I652" s="274"/>
      <c r="J652" s="274"/>
      <c r="L652" s="274"/>
    </row>
    <row r="653" spans="6:12" ht="12">
      <c r="F653" s="252" t="s">
        <v>1</v>
      </c>
      <c r="G653" s="252" t="s">
        <v>1</v>
      </c>
      <c r="H653" s="252" t="s">
        <v>1</v>
      </c>
      <c r="I653" s="252" t="s">
        <v>1</v>
      </c>
      <c r="J653" s="252"/>
      <c r="K653" s="252" t="s">
        <v>1</v>
      </c>
      <c r="L653" s="252" t="s">
        <v>1</v>
      </c>
    </row>
    <row r="654" spans="1:12" ht="12">
      <c r="A654" s="280">
        <v>25</v>
      </c>
      <c r="B654" s="297" t="s">
        <v>293</v>
      </c>
      <c r="D654" s="280">
        <v>25</v>
      </c>
      <c r="E654" s="280"/>
      <c r="F654" s="39">
        <f>F638</f>
        <v>380.88</v>
      </c>
      <c r="G654" s="19">
        <f>SUM(G638:G652)</f>
        <v>33292426.270000003</v>
      </c>
      <c r="H654" s="39">
        <f>H638</f>
        <v>345.98</v>
      </c>
      <c r="I654" s="19">
        <f>SUM(I638:I652)</f>
        <v>29992043.19</v>
      </c>
      <c r="J654" s="19"/>
      <c r="K654" s="39">
        <f>K638</f>
        <v>338.12</v>
      </c>
      <c r="L654" s="274">
        <f>SUM(L638:L652)</f>
        <v>32755825</v>
      </c>
    </row>
    <row r="655" spans="4:12" ht="12">
      <c r="D655" s="299"/>
      <c r="E655" s="299"/>
      <c r="F655" s="252" t="s">
        <v>1</v>
      </c>
      <c r="G655" s="252" t="s">
        <v>1</v>
      </c>
      <c r="H655" s="252" t="s">
        <v>1</v>
      </c>
      <c r="I655" s="252" t="s">
        <v>1</v>
      </c>
      <c r="J655" s="252"/>
      <c r="K655" s="252" t="s">
        <v>1</v>
      </c>
      <c r="L655" s="252" t="s">
        <v>1</v>
      </c>
    </row>
    <row r="656" spans="1:12" ht="12">
      <c r="A656" s="292" t="s">
        <v>106</v>
      </c>
      <c r="D656" s="299"/>
      <c r="E656" s="299"/>
      <c r="F656" s="296"/>
      <c r="G656" s="295"/>
      <c r="H656" s="296"/>
      <c r="I656" s="295"/>
      <c r="J656" s="295"/>
      <c r="K656" s="296"/>
      <c r="L656" s="294" t="s">
        <v>294</v>
      </c>
    </row>
    <row r="657" spans="1:12" ht="12">
      <c r="A657" s="462" t="s">
        <v>295</v>
      </c>
      <c r="B657" s="462"/>
      <c r="C657" s="462"/>
      <c r="D657" s="462"/>
      <c r="E657" s="462"/>
      <c r="F657" s="462"/>
      <c r="G657" s="462"/>
      <c r="H657" s="462"/>
      <c r="I657" s="462"/>
      <c r="J657" s="462"/>
      <c r="K657" s="462"/>
      <c r="L657" s="462"/>
    </row>
    <row r="658" spans="1:12" ht="12">
      <c r="A658" s="292" t="s">
        <v>78</v>
      </c>
      <c r="F658" s="343"/>
      <c r="G658" s="342"/>
      <c r="H658" s="342"/>
      <c r="I658" s="341"/>
      <c r="J658" s="341"/>
      <c r="K658" s="296"/>
      <c r="L658" s="291" t="s">
        <v>79</v>
      </c>
    </row>
    <row r="659" spans="1:12" ht="12">
      <c r="A659" s="283" t="s">
        <v>1</v>
      </c>
      <c r="B659" s="283" t="s">
        <v>1</v>
      </c>
      <c r="C659" s="283" t="s">
        <v>1</v>
      </c>
      <c r="D659" s="283" t="s">
        <v>1</v>
      </c>
      <c r="E659" s="283"/>
      <c r="F659" s="283" t="s">
        <v>1</v>
      </c>
      <c r="G659" s="283" t="s">
        <v>1</v>
      </c>
      <c r="H659" s="283" t="s">
        <v>1</v>
      </c>
      <c r="I659" s="283" t="s">
        <v>1</v>
      </c>
      <c r="J659" s="283"/>
      <c r="K659" s="283" t="s">
        <v>1</v>
      </c>
      <c r="L659" s="283" t="s">
        <v>1</v>
      </c>
    </row>
    <row r="660" spans="1:12" ht="12">
      <c r="A660" s="289" t="s">
        <v>2</v>
      </c>
      <c r="D660" s="289" t="s">
        <v>2</v>
      </c>
      <c r="E660" s="289"/>
      <c r="F660" s="286"/>
      <c r="G660" s="285" t="s">
        <v>62</v>
      </c>
      <c r="H660" s="309"/>
      <c r="I660" s="285" t="s">
        <v>65</v>
      </c>
      <c r="J660" s="285"/>
      <c r="K660" s="308"/>
      <c r="L660" s="285" t="s">
        <v>70</v>
      </c>
    </row>
    <row r="661" spans="1:12" ht="12">
      <c r="A661" s="289" t="s">
        <v>4</v>
      </c>
      <c r="B661" s="307" t="s">
        <v>18</v>
      </c>
      <c r="D661" s="289" t="s">
        <v>4</v>
      </c>
      <c r="E661" s="289"/>
      <c r="F661" s="286" t="s">
        <v>6</v>
      </c>
      <c r="G661" s="285" t="s">
        <v>7</v>
      </c>
      <c r="H661" s="293" t="s">
        <v>6</v>
      </c>
      <c r="I661" s="306" t="s">
        <v>7</v>
      </c>
      <c r="J661" s="306"/>
      <c r="K661" s="293" t="s">
        <v>6</v>
      </c>
      <c r="L661" s="306" t="s">
        <v>8</v>
      </c>
    </row>
    <row r="662" spans="1:12" ht="12">
      <c r="A662" s="283" t="s">
        <v>1</v>
      </c>
      <c r="B662" s="283" t="s">
        <v>1</v>
      </c>
      <c r="C662" s="283" t="s">
        <v>1</v>
      </c>
      <c r="D662" s="283" t="s">
        <v>1</v>
      </c>
      <c r="E662" s="283"/>
      <c r="F662" s="14" t="s">
        <v>1</v>
      </c>
      <c r="G662" s="14" t="s">
        <v>1</v>
      </c>
      <c r="H662" s="283" t="s">
        <v>1</v>
      </c>
      <c r="I662" s="283" t="s">
        <v>1</v>
      </c>
      <c r="J662" s="283"/>
      <c r="K662" s="283" t="s">
        <v>1</v>
      </c>
      <c r="L662" s="270" t="s">
        <v>1</v>
      </c>
    </row>
    <row r="663" spans="1:12" ht="12">
      <c r="A663" s="280">
        <v>1</v>
      </c>
      <c r="B663" s="297" t="s">
        <v>276</v>
      </c>
      <c r="D663" s="280">
        <v>1</v>
      </c>
      <c r="E663" s="280"/>
      <c r="F663" s="303">
        <f>10.1</f>
        <v>10.1</v>
      </c>
      <c r="G663" s="302">
        <f>1256547.7</f>
        <v>1256547.7</v>
      </c>
      <c r="H663" s="303">
        <f>11.7</f>
        <v>11.7</v>
      </c>
      <c r="I663" s="302">
        <f>1449789.84</f>
        <v>1449789.84</v>
      </c>
      <c r="J663" s="302"/>
      <c r="K663" s="303">
        <f>11.6</f>
        <v>11.6</v>
      </c>
      <c r="L663" s="302">
        <f>1442249</f>
        <v>1442249</v>
      </c>
    </row>
    <row r="664" spans="1:12" ht="12">
      <c r="A664" s="280">
        <v>2</v>
      </c>
      <c r="B664" s="297" t="s">
        <v>268</v>
      </c>
      <c r="D664" s="280">
        <v>2</v>
      </c>
      <c r="E664" s="280"/>
      <c r="F664" s="303"/>
      <c r="G664" s="302">
        <f>347409.53</f>
        <v>347409.53</v>
      </c>
      <c r="H664" s="303"/>
      <c r="I664" s="302">
        <f>400133.55</f>
        <v>400133.55</v>
      </c>
      <c r="J664" s="302"/>
      <c r="K664" s="303"/>
      <c r="L664" s="302">
        <f>412264</f>
        <v>412264</v>
      </c>
    </row>
    <row r="665" spans="1:12" ht="12">
      <c r="A665" s="280">
        <v>3</v>
      </c>
      <c r="D665" s="280">
        <v>3</v>
      </c>
      <c r="E665" s="280"/>
      <c r="F665" s="303"/>
      <c r="G665" s="302"/>
      <c r="H665" s="303"/>
      <c r="I665" s="302"/>
      <c r="J665" s="302"/>
      <c r="K665" s="346"/>
      <c r="L665" s="302"/>
    </row>
    <row r="666" spans="1:12" ht="12">
      <c r="A666" s="280">
        <v>4</v>
      </c>
      <c r="B666" s="297" t="s">
        <v>270</v>
      </c>
      <c r="D666" s="280">
        <v>4</v>
      </c>
      <c r="E666" s="280"/>
      <c r="F666" s="300">
        <f>F663</f>
        <v>10.1</v>
      </c>
      <c r="G666" s="295">
        <f>SUM(G663:G664)</f>
        <v>1603957.23</v>
      </c>
      <c r="H666" s="300">
        <f>H663</f>
        <v>11.7</v>
      </c>
      <c r="I666" s="295">
        <f>SUM(I663:I664)</f>
        <v>1849923.3900000001</v>
      </c>
      <c r="J666" s="295"/>
      <c r="K666" s="300">
        <f>K663</f>
        <v>11.6</v>
      </c>
      <c r="L666" s="295">
        <f>SUM(L663:L664)</f>
        <v>1854513</v>
      </c>
    </row>
    <row r="667" spans="1:12" ht="12">
      <c r="A667" s="280">
        <v>5</v>
      </c>
      <c r="D667" s="280">
        <v>5</v>
      </c>
      <c r="E667" s="280"/>
      <c r="F667" s="300"/>
      <c r="G667" s="295"/>
      <c r="H667" s="300"/>
      <c r="I667" s="295"/>
      <c r="J667" s="295"/>
      <c r="K667" s="345"/>
      <c r="L667" s="295"/>
    </row>
    <row r="668" spans="1:12" ht="12">
      <c r="A668" s="280">
        <v>6</v>
      </c>
      <c r="D668" s="280">
        <v>6</v>
      </c>
      <c r="E668" s="280"/>
      <c r="F668" s="300"/>
      <c r="G668" s="295"/>
      <c r="H668" s="300"/>
      <c r="I668" s="295"/>
      <c r="J668" s="295"/>
      <c r="K668" s="300"/>
      <c r="L668" s="295"/>
    </row>
    <row r="669" spans="1:12" ht="12">
      <c r="A669" s="280">
        <v>7</v>
      </c>
      <c r="B669" s="297" t="s">
        <v>253</v>
      </c>
      <c r="D669" s="280">
        <v>7</v>
      </c>
      <c r="E669" s="280"/>
      <c r="F669" s="303">
        <f>402.1</f>
        <v>402.1</v>
      </c>
      <c r="G669" s="302">
        <f>19868994.83</f>
        <v>19868994.83</v>
      </c>
      <c r="H669" s="303">
        <f>401.1</f>
        <v>401.1</v>
      </c>
      <c r="I669" s="302">
        <f>19822122.54</f>
        <v>19822122.54</v>
      </c>
      <c r="J669" s="302"/>
      <c r="K669" s="303">
        <f>401</f>
        <v>401</v>
      </c>
      <c r="L669" s="302">
        <f>19814144</f>
        <v>19814144</v>
      </c>
    </row>
    <row r="670" spans="1:12" ht="12">
      <c r="A670" s="280">
        <v>8</v>
      </c>
      <c r="B670" s="297" t="s">
        <v>254</v>
      </c>
      <c r="D670" s="280">
        <v>8</v>
      </c>
      <c r="E670" s="280"/>
      <c r="F670" s="303"/>
      <c r="G670" s="302">
        <f>5470644.29</f>
        <v>5470644.29</v>
      </c>
      <c r="H670" s="303"/>
      <c r="I670" s="302">
        <f>5451693.77</f>
        <v>5451693.77</v>
      </c>
      <c r="J670" s="302"/>
      <c r="K670" s="303"/>
      <c r="L670" s="302">
        <f>5716091</f>
        <v>5716091</v>
      </c>
    </row>
    <row r="671" spans="1:12" ht="12">
      <c r="A671" s="280">
        <v>9</v>
      </c>
      <c r="B671" s="297" t="s">
        <v>255</v>
      </c>
      <c r="D671" s="280">
        <v>9</v>
      </c>
      <c r="E671" s="280"/>
      <c r="F671" s="300">
        <f>F669</f>
        <v>402.1</v>
      </c>
      <c r="G671" s="295">
        <f>SUM(G669:G670)</f>
        <v>25339639.119999997</v>
      </c>
      <c r="H671" s="300">
        <f>H669</f>
        <v>401.1</v>
      </c>
      <c r="I671" s="295">
        <f>SUM(I669:I670)</f>
        <v>25273816.31</v>
      </c>
      <c r="J671" s="295"/>
      <c r="K671" s="300">
        <f>K669</f>
        <v>401</v>
      </c>
      <c r="L671" s="295">
        <f>SUM(L669:L670)</f>
        <v>25530235</v>
      </c>
    </row>
    <row r="672" spans="1:12" ht="12">
      <c r="A672" s="280">
        <v>10</v>
      </c>
      <c r="D672" s="280">
        <v>10</v>
      </c>
      <c r="E672" s="280"/>
      <c r="F672" s="300"/>
      <c r="G672" s="295"/>
      <c r="H672" s="300"/>
      <c r="I672" s="295"/>
      <c r="J672" s="295"/>
      <c r="K672" s="300"/>
      <c r="L672" s="295"/>
    </row>
    <row r="673" spans="1:12" ht="12">
      <c r="A673" s="280">
        <v>11</v>
      </c>
      <c r="B673" s="297" t="s">
        <v>256</v>
      </c>
      <c r="D673" s="280">
        <v>11</v>
      </c>
      <c r="E673" s="280"/>
      <c r="F673" s="300">
        <f>SUM(F671,F666)</f>
        <v>412.20000000000005</v>
      </c>
      <c r="G673" s="295">
        <f>SUM(G671,G666)</f>
        <v>26943596.349999998</v>
      </c>
      <c r="H673" s="300">
        <f>SUM(H671,H666)</f>
        <v>412.8</v>
      </c>
      <c r="I673" s="295">
        <f>SUM(I671,I666)</f>
        <v>27123739.7</v>
      </c>
      <c r="J673" s="295"/>
      <c r="K673" s="300">
        <f>SUM(K671,K666)</f>
        <v>412.6</v>
      </c>
      <c r="L673" s="295">
        <f>SUM(L671,L666)</f>
        <v>27384748</v>
      </c>
    </row>
    <row r="674" spans="1:5" ht="12">
      <c r="A674" s="280">
        <v>12</v>
      </c>
      <c r="D674" s="280">
        <v>12</v>
      </c>
      <c r="E674" s="280"/>
    </row>
    <row r="675" spans="1:12" ht="12">
      <c r="A675" s="280">
        <v>13</v>
      </c>
      <c r="B675" s="297" t="s">
        <v>277</v>
      </c>
      <c r="D675" s="280">
        <v>13</v>
      </c>
      <c r="E675" s="280"/>
      <c r="F675" s="303">
        <f>0+30.9</f>
        <v>30.9</v>
      </c>
      <c r="G675" s="302">
        <f>611551.9+6727.06</f>
        <v>618278.9600000001</v>
      </c>
      <c r="H675" s="303">
        <f>0.1+33.9</f>
        <v>34</v>
      </c>
      <c r="I675" s="302">
        <f>4138.38+666367.76+799.78+9329.13</f>
        <v>680635.05</v>
      </c>
      <c r="J675" s="302"/>
      <c r="K675" s="303">
        <f>34/6</f>
        <v>5.666666666666667</v>
      </c>
      <c r="L675" s="302">
        <f>683278+9024</f>
        <v>692302</v>
      </c>
    </row>
    <row r="676" spans="1:12" ht="12">
      <c r="A676" s="280"/>
      <c r="B676" s="297"/>
      <c r="D676" s="280"/>
      <c r="E676" s="280"/>
      <c r="F676" s="303"/>
      <c r="G676" s="302"/>
      <c r="H676" s="303"/>
      <c r="I676" s="302"/>
      <c r="J676" s="302"/>
      <c r="K676" s="303"/>
      <c r="L676" s="302"/>
    </row>
    <row r="677" spans="1:12" ht="12">
      <c r="A677" s="24">
        <v>14</v>
      </c>
      <c r="B677" s="297" t="s">
        <v>296</v>
      </c>
      <c r="D677" s="280">
        <v>14</v>
      </c>
      <c r="E677" s="280"/>
      <c r="F677" s="303"/>
      <c r="G677" s="302">
        <f>3854507.45</f>
        <v>3854507.45</v>
      </c>
      <c r="H677" s="303"/>
      <c r="I677" s="302">
        <f>4948902.17</f>
        <v>4948902.17</v>
      </c>
      <c r="J677" s="302"/>
      <c r="K677" s="303"/>
      <c r="L677" s="302">
        <f>4756554-158476-1</f>
        <v>4598077</v>
      </c>
    </row>
    <row r="678" spans="1:12" ht="12">
      <c r="A678" s="24">
        <v>15</v>
      </c>
      <c r="B678" s="297" t="s">
        <v>258</v>
      </c>
      <c r="D678" s="280">
        <v>15</v>
      </c>
      <c r="E678" s="280"/>
      <c r="F678" s="303"/>
      <c r="G678" s="302">
        <f>106701.21</f>
        <v>106701.21</v>
      </c>
      <c r="H678" s="303"/>
      <c r="I678" s="302">
        <f>102149.91</f>
        <v>102149.91</v>
      </c>
      <c r="J678" s="302"/>
      <c r="K678" s="303"/>
      <c r="L678" s="302">
        <f>113060</f>
        <v>113060</v>
      </c>
    </row>
    <row r="679" spans="1:12" ht="12">
      <c r="A679" s="24">
        <v>16</v>
      </c>
      <c r="B679" s="297" t="s">
        <v>297</v>
      </c>
      <c r="D679" s="280">
        <v>16</v>
      </c>
      <c r="E679" s="280"/>
      <c r="F679" s="303"/>
      <c r="G679" s="302">
        <f>16591943.84</f>
        <v>16591943.84</v>
      </c>
      <c r="H679" s="303"/>
      <c r="I679" s="302">
        <f>17014890.1</f>
        <v>17014890.1</v>
      </c>
      <c r="J679" s="302"/>
      <c r="K679" s="303"/>
      <c r="L679" s="302">
        <f>19208238</f>
        <v>19208238</v>
      </c>
    </row>
    <row r="680" spans="1:12" ht="12">
      <c r="A680" s="24">
        <v>17</v>
      </c>
      <c r="B680" s="297" t="s">
        <v>259</v>
      </c>
      <c r="D680" s="280">
        <v>17</v>
      </c>
      <c r="E680" s="280"/>
      <c r="F680" s="303"/>
      <c r="G680" s="302">
        <f>5863986-G677</f>
        <v>2009478.5499999998</v>
      </c>
      <c r="H680" s="303"/>
      <c r="I680" s="302">
        <f>3630159-I677</f>
        <v>-1318743.17</v>
      </c>
      <c r="J680" s="302"/>
      <c r="K680" s="303"/>
      <c r="L680" s="302">
        <f>6762120-158476-1-L677</f>
        <v>2005566</v>
      </c>
    </row>
    <row r="681" spans="1:12" ht="12">
      <c r="A681" s="24"/>
      <c r="B681" s="297"/>
      <c r="D681" s="280"/>
      <c r="E681" s="280"/>
      <c r="F681" s="303"/>
      <c r="G681" s="302"/>
      <c r="H681" s="303"/>
      <c r="I681" s="302"/>
      <c r="J681" s="302"/>
      <c r="K681" s="303"/>
      <c r="L681" s="302"/>
    </row>
    <row r="682" spans="1:12" ht="12">
      <c r="A682" s="24">
        <v>18</v>
      </c>
      <c r="B682" s="297" t="s">
        <v>278</v>
      </c>
      <c r="D682" s="24">
        <v>18</v>
      </c>
      <c r="E682" s="24"/>
      <c r="F682" s="303"/>
      <c r="G682" s="302"/>
      <c r="H682" s="303"/>
      <c r="I682" s="302"/>
      <c r="J682" s="302"/>
      <c r="K682" s="303"/>
      <c r="L682" s="302"/>
    </row>
    <row r="683" spans="1:12" ht="12">
      <c r="A683" s="24">
        <v>19</v>
      </c>
      <c r="B683" s="269" t="s">
        <v>284</v>
      </c>
      <c r="D683" s="24">
        <v>19</v>
      </c>
      <c r="E683" s="24"/>
      <c r="F683" s="303"/>
      <c r="G683" s="302"/>
      <c r="H683" s="303"/>
      <c r="I683" s="302"/>
      <c r="J683" s="302"/>
      <c r="K683" s="303"/>
      <c r="L683" s="302"/>
    </row>
    <row r="684" spans="1:12" ht="12">
      <c r="A684" s="280">
        <v>20</v>
      </c>
      <c r="D684" s="24">
        <v>20</v>
      </c>
      <c r="E684" s="24"/>
      <c r="F684" s="252"/>
      <c r="G684" s="252"/>
      <c r="H684" s="298"/>
      <c r="I684" s="298"/>
      <c r="J684" s="298"/>
      <c r="K684" s="298"/>
      <c r="L684" s="298"/>
    </row>
    <row r="685" spans="1:12" ht="12">
      <c r="A685" s="280">
        <v>21</v>
      </c>
      <c r="D685" s="280">
        <v>21</v>
      </c>
      <c r="E685" s="280"/>
      <c r="F685" s="252"/>
      <c r="G685" s="252"/>
      <c r="H685" s="298"/>
      <c r="I685" s="298"/>
      <c r="J685" s="298"/>
      <c r="K685" s="298"/>
      <c r="L685" s="298"/>
    </row>
    <row r="686" spans="1:12" ht="12">
      <c r="A686" s="280">
        <v>22</v>
      </c>
      <c r="D686" s="280">
        <v>22</v>
      </c>
      <c r="E686" s="280"/>
      <c r="F686" s="252"/>
      <c r="G686" s="252"/>
      <c r="H686" s="298"/>
      <c r="I686" s="298"/>
      <c r="J686" s="298"/>
      <c r="K686" s="298"/>
      <c r="L686" s="298"/>
    </row>
    <row r="687" spans="1:12" ht="12">
      <c r="A687" s="280">
        <v>23</v>
      </c>
      <c r="D687" s="280">
        <v>23</v>
      </c>
      <c r="E687" s="280"/>
      <c r="F687" s="252"/>
      <c r="G687" s="252"/>
      <c r="H687" s="298"/>
      <c r="I687" s="298"/>
      <c r="J687" s="298"/>
      <c r="K687" s="298"/>
      <c r="L687" s="298"/>
    </row>
    <row r="688" spans="1:12" ht="12">
      <c r="A688" s="280">
        <v>24</v>
      </c>
      <c r="D688" s="280">
        <v>24</v>
      </c>
      <c r="E688" s="280"/>
      <c r="F688" s="252"/>
      <c r="G688" s="252"/>
      <c r="H688" s="298"/>
      <c r="I688" s="298"/>
      <c r="J688" s="298"/>
      <c r="K688" s="298"/>
      <c r="L688" s="298"/>
    </row>
    <row r="689" spans="1:12" s="5" customFormat="1" ht="12">
      <c r="A689" s="24"/>
      <c r="C689" s="313"/>
      <c r="D689" s="24"/>
      <c r="E689" s="24"/>
      <c r="F689" s="252" t="s">
        <v>1</v>
      </c>
      <c r="G689" s="252" t="s">
        <v>1</v>
      </c>
      <c r="H689" s="298" t="s">
        <v>1</v>
      </c>
      <c r="I689" s="298" t="s">
        <v>1</v>
      </c>
      <c r="J689" s="298"/>
      <c r="K689" s="298" t="s">
        <v>1</v>
      </c>
      <c r="L689" s="298" t="s">
        <v>1</v>
      </c>
    </row>
    <row r="690" spans="1:12" ht="12">
      <c r="A690" s="280">
        <v>25</v>
      </c>
      <c r="B690" s="297" t="s">
        <v>298</v>
      </c>
      <c r="D690" s="280">
        <v>25</v>
      </c>
      <c r="E690" s="280"/>
      <c r="F690" s="312">
        <f>F673</f>
        <v>412.20000000000005</v>
      </c>
      <c r="G690" s="344">
        <f>SUM(G673:G689)</f>
        <v>50124506.36</v>
      </c>
      <c r="H690" s="312">
        <f>H673</f>
        <v>412.8</v>
      </c>
      <c r="I690" s="344">
        <f>SUM(I673:I689)</f>
        <v>48551573.760000005</v>
      </c>
      <c r="J690" s="344"/>
      <c r="K690" s="312">
        <f>K673</f>
        <v>412.6</v>
      </c>
      <c r="L690" s="295">
        <f>SUM(L673:L689)</f>
        <v>54001991</v>
      </c>
    </row>
    <row r="691" spans="1:12" ht="12">
      <c r="A691" s="280"/>
      <c r="B691" s="297" t="s">
        <v>299</v>
      </c>
      <c r="D691" s="280"/>
      <c r="E691" s="280"/>
      <c r="F691" s="252" t="s">
        <v>1</v>
      </c>
      <c r="G691" s="252" t="s">
        <v>1</v>
      </c>
      <c r="H691" s="298" t="s">
        <v>1</v>
      </c>
      <c r="I691" s="298" t="s">
        <v>1</v>
      </c>
      <c r="J691" s="298"/>
      <c r="K691" s="298" t="s">
        <v>1</v>
      </c>
      <c r="L691" s="298" t="s">
        <v>1</v>
      </c>
    </row>
    <row r="692" spans="1:12" ht="12">
      <c r="A692" s="280"/>
      <c r="B692" s="297"/>
      <c r="D692" s="280"/>
      <c r="E692" s="280"/>
      <c r="F692" s="312"/>
      <c r="G692" s="344"/>
      <c r="H692" s="312"/>
      <c r="I692" s="344"/>
      <c r="J692" s="344"/>
      <c r="K692" s="312"/>
      <c r="L692" s="295"/>
    </row>
    <row r="693" spans="1:12" ht="12">
      <c r="A693" s="280" t="s">
        <v>300</v>
      </c>
      <c r="B693" s="297"/>
      <c r="D693" s="280"/>
      <c r="E693" s="280"/>
      <c r="F693" s="312"/>
      <c r="G693" s="344"/>
      <c r="H693" s="312"/>
      <c r="I693" s="344"/>
      <c r="J693" s="344"/>
      <c r="K693" s="312"/>
      <c r="L693" s="295"/>
    </row>
    <row r="694" spans="1:12" ht="12">
      <c r="A694" s="280"/>
      <c r="B694" s="297"/>
      <c r="D694" s="280"/>
      <c r="E694" s="280"/>
      <c r="F694" s="312"/>
      <c r="G694" s="344"/>
      <c r="H694" s="312"/>
      <c r="I694" s="344"/>
      <c r="J694" s="344"/>
      <c r="K694" s="312"/>
      <c r="L694" s="295"/>
    </row>
    <row r="695" spans="1:12" ht="12">
      <c r="A695" s="292" t="s">
        <v>106</v>
      </c>
      <c r="D695" s="299"/>
      <c r="E695" s="299"/>
      <c r="F695" s="296"/>
      <c r="G695" s="295"/>
      <c r="H695" s="296"/>
      <c r="I695" s="295"/>
      <c r="J695" s="295"/>
      <c r="K695" s="296"/>
      <c r="L695" s="294" t="s">
        <v>294</v>
      </c>
    </row>
    <row r="696" spans="1:12" ht="12">
      <c r="A696" s="462" t="s">
        <v>301</v>
      </c>
      <c r="B696" s="462"/>
      <c r="C696" s="462"/>
      <c r="D696" s="462"/>
      <c r="E696" s="462"/>
      <c r="F696" s="462"/>
      <c r="G696" s="462"/>
      <c r="H696" s="462"/>
      <c r="I696" s="462"/>
      <c r="J696" s="462"/>
      <c r="K696" s="462"/>
      <c r="L696" s="462"/>
    </row>
    <row r="697" spans="1:12" ht="12">
      <c r="A697" s="292" t="s">
        <v>78</v>
      </c>
      <c r="F697" s="343"/>
      <c r="G697" s="342"/>
      <c r="H697" s="342"/>
      <c r="I697" s="341"/>
      <c r="J697" s="341"/>
      <c r="K697" s="296"/>
      <c r="L697" s="291" t="s">
        <v>79</v>
      </c>
    </row>
    <row r="698" spans="1:12" ht="12">
      <c r="A698" s="283" t="s">
        <v>1</v>
      </c>
      <c r="B698" s="283" t="s">
        <v>1</v>
      </c>
      <c r="C698" s="283" t="s">
        <v>1</v>
      </c>
      <c r="D698" s="283" t="s">
        <v>1</v>
      </c>
      <c r="E698" s="283"/>
      <c r="F698" s="283" t="s">
        <v>1</v>
      </c>
      <c r="G698" s="283" t="s">
        <v>1</v>
      </c>
      <c r="H698" s="283" t="s">
        <v>1</v>
      </c>
      <c r="I698" s="283" t="s">
        <v>1</v>
      </c>
      <c r="J698" s="283"/>
      <c r="K698" s="283" t="s">
        <v>1</v>
      </c>
      <c r="L698" s="283" t="s">
        <v>1</v>
      </c>
    </row>
    <row r="699" spans="1:12" ht="12">
      <c r="A699" s="289" t="s">
        <v>2</v>
      </c>
      <c r="D699" s="289" t="s">
        <v>2</v>
      </c>
      <c r="E699" s="289"/>
      <c r="F699" s="286"/>
      <c r="G699" s="285" t="s">
        <v>62</v>
      </c>
      <c r="H699" s="309"/>
      <c r="I699" s="285" t="s">
        <v>65</v>
      </c>
      <c r="J699" s="285"/>
      <c r="K699" s="308"/>
      <c r="L699" s="285" t="s">
        <v>70</v>
      </c>
    </row>
    <row r="700" spans="1:12" ht="12">
      <c r="A700" s="289" t="s">
        <v>4</v>
      </c>
      <c r="B700" s="307" t="s">
        <v>18</v>
      </c>
      <c r="D700" s="289" t="s">
        <v>4</v>
      </c>
      <c r="E700" s="289"/>
      <c r="F700" s="286" t="s">
        <v>6</v>
      </c>
      <c r="G700" s="285" t="s">
        <v>7</v>
      </c>
      <c r="H700" s="293" t="s">
        <v>6</v>
      </c>
      <c r="I700" s="306" t="s">
        <v>7</v>
      </c>
      <c r="J700" s="306"/>
      <c r="K700" s="293" t="s">
        <v>6</v>
      </c>
      <c r="L700" s="306" t="s">
        <v>8</v>
      </c>
    </row>
    <row r="701" spans="1:12" ht="12">
      <c r="A701" s="283" t="s">
        <v>1</v>
      </c>
      <c r="B701" s="283" t="s">
        <v>1</v>
      </c>
      <c r="C701" s="283" t="s">
        <v>1</v>
      </c>
      <c r="D701" s="283" t="s">
        <v>1</v>
      </c>
      <c r="E701" s="283"/>
      <c r="F701" s="14" t="s">
        <v>1</v>
      </c>
      <c r="G701" s="14" t="s">
        <v>1</v>
      </c>
      <c r="H701" s="283" t="s">
        <v>1</v>
      </c>
      <c r="I701" s="283" t="s">
        <v>1</v>
      </c>
      <c r="J701" s="283"/>
      <c r="K701" s="283" t="s">
        <v>1</v>
      </c>
      <c r="L701" s="270" t="s">
        <v>1</v>
      </c>
    </row>
    <row r="702" spans="1:12" ht="12">
      <c r="A702" s="280"/>
      <c r="B702" s="297"/>
      <c r="D702" s="280"/>
      <c r="E702" s="280"/>
      <c r="F702" s="312"/>
      <c r="G702" s="344"/>
      <c r="H702" s="312"/>
      <c r="I702" s="344"/>
      <c r="J702" s="344"/>
      <c r="K702" s="312"/>
      <c r="L702" s="295"/>
    </row>
    <row r="703" spans="1:5" ht="12">
      <c r="A703" s="280">
        <v>26</v>
      </c>
      <c r="B703" s="297" t="s">
        <v>302</v>
      </c>
      <c r="D703" s="280">
        <v>26</v>
      </c>
      <c r="E703" s="280"/>
    </row>
    <row r="704" spans="1:5" ht="12">
      <c r="A704" s="280"/>
      <c r="B704" s="297"/>
      <c r="D704" s="280"/>
      <c r="E704" s="280"/>
    </row>
    <row r="705" spans="1:12" ht="12">
      <c r="A705" s="280">
        <v>27</v>
      </c>
      <c r="B705" s="297" t="s">
        <v>303</v>
      </c>
      <c r="D705" s="280">
        <v>27</v>
      </c>
      <c r="E705" s="280"/>
      <c r="F705" s="33"/>
      <c r="G705" s="302">
        <f>5009847</f>
        <v>5009847</v>
      </c>
      <c r="H705" s="302"/>
      <c r="I705" s="302">
        <f>G724</f>
        <v>5009847</v>
      </c>
      <c r="J705" s="302"/>
      <c r="K705" s="302"/>
      <c r="L705" s="302">
        <f>I724</f>
        <v>5202368</v>
      </c>
    </row>
    <row r="706" spans="1:12" ht="12">
      <c r="A706" s="280"/>
      <c r="B706" s="297"/>
      <c r="D706" s="280"/>
      <c r="E706" s="280"/>
      <c r="F706" s="33"/>
      <c r="G706" s="302"/>
      <c r="H706" s="302"/>
      <c r="I706" s="302"/>
      <c r="J706" s="302"/>
      <c r="K706" s="302"/>
      <c r="L706" s="302"/>
    </row>
    <row r="707" spans="1:12" ht="12">
      <c r="A707" s="269">
        <v>28</v>
      </c>
      <c r="B707" s="297" t="s">
        <v>304</v>
      </c>
      <c r="D707" s="269">
        <v>28</v>
      </c>
      <c r="F707" s="33"/>
      <c r="G707" s="302"/>
      <c r="H707" s="302"/>
      <c r="I707" s="302"/>
      <c r="J707" s="302"/>
      <c r="K707" s="302"/>
      <c r="L707" s="302"/>
    </row>
    <row r="708" spans="1:12" ht="12">
      <c r="A708" s="280">
        <v>29</v>
      </c>
      <c r="B708" s="269" t="s">
        <v>305</v>
      </c>
      <c r="D708" s="280">
        <v>29</v>
      </c>
      <c r="E708" s="280"/>
      <c r="F708" s="33"/>
      <c r="G708" s="302"/>
      <c r="H708" s="302"/>
      <c r="I708" s="302">
        <f>184512</f>
        <v>184512</v>
      </c>
      <c r="J708" s="302"/>
      <c r="K708" s="302"/>
      <c r="L708" s="302"/>
    </row>
    <row r="709" spans="1:11" ht="12">
      <c r="A709" s="280">
        <v>30</v>
      </c>
      <c r="B709" s="269" t="s">
        <v>306</v>
      </c>
      <c r="D709" s="280">
        <v>30</v>
      </c>
      <c r="E709" s="280"/>
      <c r="F709" s="33"/>
      <c r="G709" s="279"/>
      <c r="H709" s="302"/>
      <c r="I709" s="302">
        <v>8009</v>
      </c>
      <c r="J709" s="302"/>
      <c r="K709" s="302"/>
    </row>
    <row r="710" spans="1:12" ht="12">
      <c r="A710" s="280">
        <v>31</v>
      </c>
      <c r="B710" s="269" t="s">
        <v>307</v>
      </c>
      <c r="D710" s="280">
        <v>31</v>
      </c>
      <c r="E710" s="280"/>
      <c r="F710" s="33"/>
      <c r="G710" s="302"/>
      <c r="H710" s="302"/>
      <c r="I710" s="302"/>
      <c r="J710" s="302"/>
      <c r="K710" s="302"/>
      <c r="L710" s="302">
        <f>50542</f>
        <v>50542</v>
      </c>
    </row>
    <row r="711" spans="1:12" ht="12">
      <c r="A711" s="280">
        <v>32</v>
      </c>
      <c r="B711" s="269" t="s">
        <v>308</v>
      </c>
      <c r="D711" s="280">
        <v>32</v>
      </c>
      <c r="E711" s="280"/>
      <c r="F711" s="33"/>
      <c r="H711" s="302"/>
      <c r="I711" s="302"/>
      <c r="J711" s="302"/>
      <c r="K711" s="302"/>
      <c r="L711" s="302">
        <f>329535</f>
        <v>329535</v>
      </c>
    </row>
    <row r="712" spans="1:12" ht="12">
      <c r="A712" s="280">
        <v>33</v>
      </c>
      <c r="B712" s="269" t="s">
        <v>309</v>
      </c>
      <c r="D712" s="280">
        <v>33</v>
      </c>
      <c r="E712" s="280"/>
      <c r="F712" s="33"/>
      <c r="G712" s="302"/>
      <c r="H712" s="302"/>
      <c r="I712" s="302"/>
      <c r="J712" s="302"/>
      <c r="K712" s="302"/>
      <c r="L712" s="302">
        <v>1900</v>
      </c>
    </row>
    <row r="713" spans="1:12" ht="12">
      <c r="A713" s="280">
        <v>34</v>
      </c>
      <c r="D713" s="280">
        <v>34</v>
      </c>
      <c r="E713" s="280"/>
      <c r="F713" s="33"/>
      <c r="G713" s="302"/>
      <c r="H713" s="302"/>
      <c r="I713" s="302"/>
      <c r="J713" s="302"/>
      <c r="K713" s="302"/>
      <c r="L713" s="302"/>
    </row>
    <row r="714" spans="1:12" ht="12">
      <c r="A714" s="280">
        <v>35</v>
      </c>
      <c r="D714" s="280">
        <v>35</v>
      </c>
      <c r="E714" s="280"/>
      <c r="F714" s="33"/>
      <c r="H714" s="302"/>
      <c r="K714" s="302"/>
      <c r="L714" s="302"/>
    </row>
    <row r="715" spans="1:12" ht="12">
      <c r="A715" s="280"/>
      <c r="D715" s="280"/>
      <c r="E715" s="280"/>
      <c r="F715" s="33"/>
      <c r="H715" s="302"/>
      <c r="K715" s="302"/>
      <c r="L715" s="302"/>
    </row>
    <row r="716" spans="1:12" ht="12">
      <c r="A716" s="280"/>
      <c r="D716" s="280"/>
      <c r="E716" s="280"/>
      <c r="F716" s="33"/>
      <c r="H716" s="302"/>
      <c r="K716" s="302"/>
      <c r="L716" s="302"/>
    </row>
    <row r="717" spans="1:12" ht="12">
      <c r="A717" s="280"/>
      <c r="D717" s="280"/>
      <c r="E717" s="280"/>
      <c r="F717" s="33"/>
      <c r="H717" s="302"/>
      <c r="K717" s="302"/>
      <c r="L717" s="302"/>
    </row>
    <row r="718" spans="1:6" ht="12">
      <c r="A718" s="269">
        <v>36</v>
      </c>
      <c r="B718" s="297" t="s">
        <v>310</v>
      </c>
      <c r="D718" s="269">
        <v>36</v>
      </c>
      <c r="F718" s="33"/>
    </row>
    <row r="719" spans="1:12" ht="12">
      <c r="A719" s="280">
        <v>37</v>
      </c>
      <c r="D719" s="280">
        <v>37</v>
      </c>
      <c r="E719" s="280"/>
      <c r="F719" s="33"/>
      <c r="G719" s="302"/>
      <c r="H719" s="302"/>
      <c r="I719" s="302"/>
      <c r="J719" s="302"/>
      <c r="K719" s="302"/>
      <c r="L719" s="302"/>
    </row>
    <row r="720" spans="1:12" ht="12">
      <c r="A720" s="280">
        <v>38</v>
      </c>
      <c r="D720" s="280">
        <v>38</v>
      </c>
      <c r="E720" s="280"/>
      <c r="F720" s="33"/>
      <c r="H720" s="302"/>
      <c r="I720" s="302"/>
      <c r="J720" s="302"/>
      <c r="K720" s="302"/>
      <c r="L720" s="302"/>
    </row>
    <row r="721" spans="1:12" ht="12">
      <c r="A721" s="280"/>
      <c r="D721" s="280"/>
      <c r="E721" s="280"/>
      <c r="F721" s="33"/>
      <c r="G721" s="302"/>
      <c r="H721" s="302"/>
      <c r="I721" s="302"/>
      <c r="J721" s="302"/>
      <c r="K721" s="302"/>
      <c r="L721" s="302"/>
    </row>
    <row r="722" spans="1:12" ht="12">
      <c r="A722" s="280"/>
      <c r="D722" s="280"/>
      <c r="E722" s="280"/>
      <c r="F722" s="33"/>
      <c r="G722" s="302"/>
      <c r="H722" s="302"/>
      <c r="I722" s="302"/>
      <c r="J722" s="302"/>
      <c r="K722" s="302"/>
      <c r="L722" s="302"/>
    </row>
    <row r="723" spans="1:12" ht="12">
      <c r="A723" s="280"/>
      <c r="D723" s="280"/>
      <c r="E723" s="280"/>
      <c r="F723" s="33"/>
      <c r="G723" s="302"/>
      <c r="H723" s="302"/>
      <c r="I723" s="302"/>
      <c r="J723" s="302"/>
      <c r="K723" s="302"/>
      <c r="L723" s="302"/>
    </row>
    <row r="724" spans="1:12" ht="12">
      <c r="A724" s="280">
        <v>39</v>
      </c>
      <c r="B724" s="297" t="s">
        <v>311</v>
      </c>
      <c r="D724" s="280">
        <v>39</v>
      </c>
      <c r="E724" s="280"/>
      <c r="F724" s="33"/>
      <c r="G724" s="295">
        <f>SUM(G705:G723)</f>
        <v>5009847</v>
      </c>
      <c r="H724" s="295"/>
      <c r="I724" s="295">
        <f>SUM(I705:I723)</f>
        <v>5202368</v>
      </c>
      <c r="J724" s="295"/>
      <c r="K724" s="295"/>
      <c r="L724" s="295">
        <f>SUM(L705:L723)</f>
        <v>5584345</v>
      </c>
    </row>
    <row r="725" spans="1:12" ht="12">
      <c r="A725" s="280"/>
      <c r="B725" s="297"/>
      <c r="D725" s="280"/>
      <c r="E725" s="280"/>
      <c r="F725" s="33"/>
      <c r="G725" s="295"/>
      <c r="H725" s="295"/>
      <c r="I725" s="295"/>
      <c r="J725" s="295"/>
      <c r="K725" s="295"/>
      <c r="L725" s="295"/>
    </row>
    <row r="726" spans="1:12" ht="12">
      <c r="A726" s="280">
        <v>40</v>
      </c>
      <c r="B726" s="297" t="s">
        <v>312</v>
      </c>
      <c r="D726" s="280">
        <v>40</v>
      </c>
      <c r="E726" s="280"/>
      <c r="F726" s="33"/>
      <c r="G726" s="302">
        <v>258</v>
      </c>
      <c r="H726" s="295"/>
      <c r="I726" s="302">
        <v>258</v>
      </c>
      <c r="J726" s="302"/>
      <c r="K726" s="295"/>
      <c r="L726" s="302">
        <v>258</v>
      </c>
    </row>
    <row r="727" spans="1:12" ht="12">
      <c r="A727" s="280"/>
      <c r="B727" s="297"/>
      <c r="D727" s="280"/>
      <c r="E727" s="280"/>
      <c r="F727" s="33"/>
      <c r="G727" s="302"/>
      <c r="H727" s="295"/>
      <c r="I727" s="302"/>
      <c r="J727" s="302"/>
      <c r="K727" s="295"/>
      <c r="L727" s="302"/>
    </row>
    <row r="728" spans="1:12" ht="12">
      <c r="A728" s="280"/>
      <c r="B728" s="297"/>
      <c r="D728" s="280"/>
      <c r="E728" s="280"/>
      <c r="F728" s="33"/>
      <c r="G728" s="302"/>
      <c r="H728" s="295"/>
      <c r="I728" s="302"/>
      <c r="J728" s="302"/>
      <c r="K728" s="295"/>
      <c r="L728" s="302"/>
    </row>
    <row r="729" spans="1:12" ht="12">
      <c r="A729" s="292" t="s">
        <v>106</v>
      </c>
      <c r="D729" s="299"/>
      <c r="E729" s="299"/>
      <c r="F729" s="296"/>
      <c r="G729" s="295"/>
      <c r="H729" s="296"/>
      <c r="I729" s="295"/>
      <c r="J729" s="295"/>
      <c r="K729" s="296"/>
      <c r="L729" s="294" t="s">
        <v>313</v>
      </c>
    </row>
    <row r="730" spans="1:12" ht="12">
      <c r="A730" s="462" t="s">
        <v>314</v>
      </c>
      <c r="B730" s="462"/>
      <c r="C730" s="462"/>
      <c r="D730" s="462"/>
      <c r="E730" s="462"/>
      <c r="F730" s="462"/>
      <c r="G730" s="462"/>
      <c r="H730" s="462"/>
      <c r="I730" s="462"/>
      <c r="J730" s="462"/>
      <c r="K730" s="462"/>
      <c r="L730" s="462"/>
    </row>
    <row r="731" spans="1:12" ht="12">
      <c r="A731" s="292" t="s">
        <v>78</v>
      </c>
      <c r="F731" s="296"/>
      <c r="G731" s="343"/>
      <c r="H731" s="342"/>
      <c r="I731" s="341"/>
      <c r="J731" s="341"/>
      <c r="K731" s="296"/>
      <c r="L731" s="291" t="s">
        <v>79</v>
      </c>
    </row>
    <row r="732" spans="1:12" ht="12">
      <c r="A732" s="283" t="s">
        <v>1</v>
      </c>
      <c r="B732" s="283" t="s">
        <v>1</v>
      </c>
      <c r="C732" s="283" t="s">
        <v>1</v>
      </c>
      <c r="D732" s="283" t="s">
        <v>1</v>
      </c>
      <c r="E732" s="283"/>
      <c r="F732" s="283" t="s">
        <v>1</v>
      </c>
      <c r="G732" s="283" t="s">
        <v>1</v>
      </c>
      <c r="H732" s="283" t="s">
        <v>1</v>
      </c>
      <c r="I732" s="283" t="s">
        <v>1</v>
      </c>
      <c r="J732" s="283"/>
      <c r="K732" s="283" t="s">
        <v>1</v>
      </c>
      <c r="L732" s="283" t="s">
        <v>1</v>
      </c>
    </row>
    <row r="733" spans="1:12" ht="12">
      <c r="A733" s="289" t="s">
        <v>2</v>
      </c>
      <c r="D733" s="289" t="s">
        <v>2</v>
      </c>
      <c r="E733" s="289"/>
      <c r="F733" s="33"/>
      <c r="G733" s="285" t="s">
        <v>62</v>
      </c>
      <c r="H733" s="308"/>
      <c r="I733" s="285" t="s">
        <v>65</v>
      </c>
      <c r="J733" s="285"/>
      <c r="K733" s="308"/>
      <c r="L733" s="285" t="s">
        <v>70</v>
      </c>
    </row>
    <row r="734" spans="1:12" ht="12">
      <c r="A734" s="289" t="s">
        <v>4</v>
      </c>
      <c r="B734" s="307" t="s">
        <v>18</v>
      </c>
      <c r="D734" s="289" t="s">
        <v>4</v>
      </c>
      <c r="E734" s="289"/>
      <c r="F734" s="296"/>
      <c r="G734" s="285" t="s">
        <v>7</v>
      </c>
      <c r="H734" s="33"/>
      <c r="I734" s="285" t="s">
        <v>7</v>
      </c>
      <c r="J734" s="285"/>
      <c r="K734" s="33"/>
      <c r="L734" s="285" t="s">
        <v>8</v>
      </c>
    </row>
    <row r="735" spans="1:12" ht="12">
      <c r="A735" s="283" t="s">
        <v>1</v>
      </c>
      <c r="B735" s="283" t="s">
        <v>1</v>
      </c>
      <c r="C735" s="283" t="s">
        <v>1</v>
      </c>
      <c r="D735" s="283" t="s">
        <v>1</v>
      </c>
      <c r="E735" s="283"/>
      <c r="F735" s="283" t="s">
        <v>1</v>
      </c>
      <c r="G735" s="14" t="s">
        <v>1</v>
      </c>
      <c r="H735" s="14" t="s">
        <v>1</v>
      </c>
      <c r="I735" s="14" t="s">
        <v>1</v>
      </c>
      <c r="J735" s="14"/>
      <c r="K735" s="14" t="s">
        <v>1</v>
      </c>
      <c r="L735" s="271" t="s">
        <v>1</v>
      </c>
    </row>
    <row r="736" spans="1:12" ht="12">
      <c r="A736" s="280">
        <v>1</v>
      </c>
      <c r="B736" s="297" t="s">
        <v>315</v>
      </c>
      <c r="D736" s="280">
        <v>1</v>
      </c>
      <c r="E736" s="280"/>
      <c r="F736" s="300"/>
      <c r="G736" s="340">
        <f>35746154.85</f>
        <v>35746154.85</v>
      </c>
      <c r="H736" s="339"/>
      <c r="I736" s="304">
        <f>38413248.63</f>
        <v>38413248.63</v>
      </c>
      <c r="J736" s="304"/>
      <c r="K736" s="337"/>
      <c r="L736" s="304">
        <f>41726789</f>
        <v>41726789</v>
      </c>
    </row>
    <row r="737" spans="1:12" ht="12">
      <c r="A737" s="280">
        <f aca="true" t="shared" si="13" ref="A737:A754">(A736+1)</f>
        <v>2</v>
      </c>
      <c r="B737" s="338"/>
      <c r="D737" s="280">
        <f aca="true" t="shared" si="14" ref="D737:D754">(D736+1)</f>
        <v>2</v>
      </c>
      <c r="E737" s="280"/>
      <c r="F737" s="300"/>
      <c r="G737" s="304"/>
      <c r="H737" s="337"/>
      <c r="I737" s="304"/>
      <c r="J737" s="304"/>
      <c r="K737" s="337"/>
      <c r="L737" s="304"/>
    </row>
    <row r="738" spans="1:12" ht="12">
      <c r="A738" s="280">
        <f t="shared" si="13"/>
        <v>3</v>
      </c>
      <c r="D738" s="280">
        <f t="shared" si="14"/>
        <v>3</v>
      </c>
      <c r="E738" s="280"/>
      <c r="F738" s="300"/>
      <c r="G738" s="304"/>
      <c r="H738" s="337"/>
      <c r="I738" s="340"/>
      <c r="J738" s="340"/>
      <c r="K738" s="337"/>
      <c r="L738" s="304"/>
    </row>
    <row r="739" spans="1:12" ht="12">
      <c r="A739" s="280">
        <f t="shared" si="13"/>
        <v>4</v>
      </c>
      <c r="B739" s="338"/>
      <c r="D739" s="280">
        <f t="shared" si="14"/>
        <v>4</v>
      </c>
      <c r="E739" s="280"/>
      <c r="F739" s="300"/>
      <c r="G739" s="304"/>
      <c r="H739" s="337"/>
      <c r="I739" s="337"/>
      <c r="J739" s="337"/>
      <c r="K739" s="337"/>
      <c r="L739" s="304"/>
    </row>
    <row r="740" spans="1:12" ht="12">
      <c r="A740" s="280">
        <f t="shared" si="13"/>
        <v>5</v>
      </c>
      <c r="B740" s="338"/>
      <c r="D740" s="280">
        <f t="shared" si="14"/>
        <v>5</v>
      </c>
      <c r="E740" s="280"/>
      <c r="F740" s="300"/>
      <c r="G740" s="304"/>
      <c r="H740" s="337"/>
      <c r="I740" s="339"/>
      <c r="J740" s="339"/>
      <c r="K740" s="337"/>
      <c r="L740" s="304"/>
    </row>
    <row r="741" spans="1:12" ht="12">
      <c r="A741" s="280">
        <f t="shared" si="13"/>
        <v>6</v>
      </c>
      <c r="D741" s="280">
        <f t="shared" si="14"/>
        <v>6</v>
      </c>
      <c r="E741" s="280"/>
      <c r="F741" s="300"/>
      <c r="G741" s="304"/>
      <c r="H741" s="337"/>
      <c r="K741" s="337"/>
      <c r="L741" s="304"/>
    </row>
    <row r="742" spans="1:12" ht="12">
      <c r="A742" s="280">
        <f t="shared" si="13"/>
        <v>7</v>
      </c>
      <c r="B742" s="338"/>
      <c r="D742" s="280">
        <f t="shared" si="14"/>
        <v>7</v>
      </c>
      <c r="E742" s="280"/>
      <c r="F742" s="300"/>
      <c r="G742" s="304"/>
      <c r="H742" s="337"/>
      <c r="I742" s="304"/>
      <c r="J742" s="304"/>
      <c r="K742" s="337"/>
      <c r="L742" s="304"/>
    </row>
    <row r="743" spans="1:12" ht="12">
      <c r="A743" s="280">
        <f t="shared" si="13"/>
        <v>8</v>
      </c>
      <c r="B743" s="338"/>
      <c r="D743" s="280">
        <f t="shared" si="14"/>
        <v>8</v>
      </c>
      <c r="E743" s="280"/>
      <c r="F743" s="300"/>
      <c r="G743" s="304"/>
      <c r="H743" s="337"/>
      <c r="I743" s="304"/>
      <c r="J743" s="304"/>
      <c r="K743" s="337"/>
      <c r="L743" s="304"/>
    </row>
    <row r="744" spans="1:12" ht="12">
      <c r="A744" s="280">
        <f t="shared" si="13"/>
        <v>9</v>
      </c>
      <c r="B744" s="338"/>
      <c r="D744" s="280">
        <f t="shared" si="14"/>
        <v>9</v>
      </c>
      <c r="E744" s="280"/>
      <c r="F744" s="300"/>
      <c r="G744" s="304"/>
      <c r="H744" s="337"/>
      <c r="I744" s="304"/>
      <c r="J744" s="304"/>
      <c r="K744" s="337"/>
      <c r="L744" s="304"/>
    </row>
    <row r="745" spans="1:12" ht="12">
      <c r="A745" s="280">
        <f t="shared" si="13"/>
        <v>10</v>
      </c>
      <c r="B745" s="338"/>
      <c r="D745" s="280">
        <f t="shared" si="14"/>
        <v>10</v>
      </c>
      <c r="E745" s="280"/>
      <c r="F745" s="300"/>
      <c r="G745" s="304"/>
      <c r="H745" s="337"/>
      <c r="I745" s="304"/>
      <c r="J745" s="304"/>
      <c r="K745" s="337"/>
      <c r="L745" s="304"/>
    </row>
    <row r="746" spans="1:12" ht="12">
      <c r="A746" s="280">
        <f t="shared" si="13"/>
        <v>11</v>
      </c>
      <c r="B746" s="338"/>
      <c r="D746" s="280">
        <f t="shared" si="14"/>
        <v>11</v>
      </c>
      <c r="E746" s="280"/>
      <c r="F746" s="300"/>
      <c r="G746" s="304"/>
      <c r="H746" s="337"/>
      <c r="I746" s="304"/>
      <c r="J746" s="304"/>
      <c r="K746" s="337"/>
      <c r="L746" s="304"/>
    </row>
    <row r="747" spans="1:12" ht="12">
      <c r="A747" s="280">
        <f t="shared" si="13"/>
        <v>12</v>
      </c>
      <c r="B747" s="338"/>
      <c r="D747" s="280">
        <f t="shared" si="14"/>
        <v>12</v>
      </c>
      <c r="E747" s="280"/>
      <c r="F747" s="300"/>
      <c r="G747" s="304"/>
      <c r="H747" s="337"/>
      <c r="I747" s="304"/>
      <c r="J747" s="304"/>
      <c r="K747" s="337"/>
      <c r="L747" s="304"/>
    </row>
    <row r="748" spans="1:12" ht="12">
      <c r="A748" s="280">
        <f t="shared" si="13"/>
        <v>13</v>
      </c>
      <c r="B748" s="338"/>
      <c r="D748" s="280">
        <f t="shared" si="14"/>
        <v>13</v>
      </c>
      <c r="E748" s="280"/>
      <c r="F748" s="300"/>
      <c r="G748" s="304"/>
      <c r="H748" s="337"/>
      <c r="I748" s="304"/>
      <c r="J748" s="304"/>
      <c r="K748" s="337"/>
      <c r="L748" s="304"/>
    </row>
    <row r="749" spans="1:12" ht="12">
      <c r="A749" s="280">
        <f t="shared" si="13"/>
        <v>14</v>
      </c>
      <c r="B749" s="338"/>
      <c r="D749" s="280">
        <f t="shared" si="14"/>
        <v>14</v>
      </c>
      <c r="E749" s="280"/>
      <c r="F749" s="300"/>
      <c r="G749" s="304"/>
      <c r="H749" s="337"/>
      <c r="I749" s="304"/>
      <c r="J749" s="304"/>
      <c r="K749" s="337"/>
      <c r="L749" s="304"/>
    </row>
    <row r="750" spans="1:12" ht="12">
      <c r="A750" s="280">
        <f t="shared" si="13"/>
        <v>15</v>
      </c>
      <c r="B750" s="338"/>
      <c r="D750" s="280">
        <f t="shared" si="14"/>
        <v>15</v>
      </c>
      <c r="E750" s="280"/>
      <c r="F750" s="300"/>
      <c r="G750" s="304"/>
      <c r="H750" s="337"/>
      <c r="I750" s="304"/>
      <c r="J750" s="304"/>
      <c r="K750" s="337"/>
      <c r="L750" s="304"/>
    </row>
    <row r="751" spans="1:12" ht="12">
      <c r="A751" s="280">
        <f t="shared" si="13"/>
        <v>16</v>
      </c>
      <c r="B751" s="338"/>
      <c r="D751" s="280">
        <f t="shared" si="14"/>
        <v>16</v>
      </c>
      <c r="E751" s="280"/>
      <c r="F751" s="300"/>
      <c r="G751" s="304"/>
      <c r="H751" s="337"/>
      <c r="I751" s="304"/>
      <c r="J751" s="304"/>
      <c r="K751" s="337"/>
      <c r="L751" s="304"/>
    </row>
    <row r="752" spans="1:12" ht="12">
      <c r="A752" s="280">
        <f t="shared" si="13"/>
        <v>17</v>
      </c>
      <c r="B752" s="338"/>
      <c r="D752" s="280">
        <f t="shared" si="14"/>
        <v>17</v>
      </c>
      <c r="E752" s="280"/>
      <c r="F752" s="300"/>
      <c r="G752" s="304"/>
      <c r="H752" s="337"/>
      <c r="I752" s="304"/>
      <c r="J752" s="304"/>
      <c r="K752" s="337"/>
      <c r="L752" s="304"/>
    </row>
    <row r="753" spans="1:12" ht="12">
      <c r="A753" s="280">
        <f t="shared" si="13"/>
        <v>18</v>
      </c>
      <c r="B753" s="338"/>
      <c r="D753" s="280">
        <f t="shared" si="14"/>
        <v>18</v>
      </c>
      <c r="E753" s="280"/>
      <c r="F753" s="300"/>
      <c r="G753" s="304"/>
      <c r="H753" s="337"/>
      <c r="I753" s="304"/>
      <c r="J753" s="304"/>
      <c r="K753" s="337"/>
      <c r="L753" s="304"/>
    </row>
    <row r="754" spans="1:12" ht="12">
      <c r="A754" s="280">
        <f t="shared" si="13"/>
        <v>19</v>
      </c>
      <c r="B754" s="338"/>
      <c r="D754" s="280">
        <f t="shared" si="14"/>
        <v>19</v>
      </c>
      <c r="E754" s="280"/>
      <c r="F754" s="300"/>
      <c r="G754" s="304"/>
      <c r="H754" s="337"/>
      <c r="I754" s="304"/>
      <c r="J754" s="304"/>
      <c r="K754" s="337"/>
      <c r="L754" s="304"/>
    </row>
    <row r="755" spans="1:12" ht="12">
      <c r="A755" s="280">
        <v>20</v>
      </c>
      <c r="D755" s="280">
        <v>20</v>
      </c>
      <c r="E755" s="280"/>
      <c r="F755" s="252"/>
      <c r="G755" s="252"/>
      <c r="H755" s="252"/>
      <c r="I755" s="252"/>
      <c r="J755" s="252"/>
      <c r="K755" s="252"/>
      <c r="L755" s="252"/>
    </row>
    <row r="756" spans="1:12" s="5" customFormat="1" ht="12">
      <c r="A756" s="24">
        <v>21</v>
      </c>
      <c r="D756" s="24">
        <v>21</v>
      </c>
      <c r="E756" s="24"/>
      <c r="G756" s="252"/>
      <c r="H756" s="252"/>
      <c r="I756" s="274"/>
      <c r="J756" s="274"/>
      <c r="K756" s="252"/>
      <c r="L756" s="274"/>
    </row>
    <row r="757" spans="1:12" s="5" customFormat="1" ht="12">
      <c r="A757" s="24">
        <v>22</v>
      </c>
      <c r="D757" s="24">
        <v>22</v>
      </c>
      <c r="E757" s="24"/>
      <c r="G757" s="252"/>
      <c r="H757" s="308"/>
      <c r="I757" s="274"/>
      <c r="J757" s="274"/>
      <c r="K757" s="308"/>
      <c r="L757" s="274"/>
    </row>
    <row r="758" spans="1:12" s="5" customFormat="1" ht="12">
      <c r="A758" s="24">
        <v>23</v>
      </c>
      <c r="C758" s="313"/>
      <c r="D758" s="24">
        <v>23</v>
      </c>
      <c r="E758" s="24"/>
      <c r="G758" s="252"/>
      <c r="I758" s="274"/>
      <c r="J758" s="274"/>
      <c r="L758" s="274"/>
    </row>
    <row r="759" spans="1:12" s="5" customFormat="1" ht="12">
      <c r="A759" s="24">
        <v>24</v>
      </c>
      <c r="C759" s="313"/>
      <c r="D759" s="24">
        <v>24</v>
      </c>
      <c r="E759" s="24"/>
      <c r="G759" s="252"/>
      <c r="I759" s="274"/>
      <c r="J759" s="274"/>
      <c r="L759" s="274"/>
    </row>
    <row r="760" spans="6:12" ht="12">
      <c r="F760" s="252" t="s">
        <v>1</v>
      </c>
      <c r="G760" s="252" t="s">
        <v>1</v>
      </c>
      <c r="H760" s="252" t="s">
        <v>1</v>
      </c>
      <c r="I760" s="252" t="s">
        <v>1</v>
      </c>
      <c r="J760" s="252"/>
      <c r="K760" s="252" t="s">
        <v>1</v>
      </c>
      <c r="L760" s="252" t="s">
        <v>1</v>
      </c>
    </row>
    <row r="761" spans="1:12" ht="12">
      <c r="A761" s="280">
        <v>25</v>
      </c>
      <c r="B761" s="297" t="s">
        <v>316</v>
      </c>
      <c r="D761" s="280">
        <v>25</v>
      </c>
      <c r="E761" s="280"/>
      <c r="F761" s="33"/>
      <c r="G761" s="274">
        <f>SUM(G736:G759)</f>
        <v>35746154.85</v>
      </c>
      <c r="H761" s="33"/>
      <c r="I761" s="274">
        <f>SUM(I736:I759)</f>
        <v>38413248.63</v>
      </c>
      <c r="J761" s="274"/>
      <c r="K761" s="33"/>
      <c r="L761" s="274">
        <f>SUM(L736:L759)</f>
        <v>41726789</v>
      </c>
    </row>
    <row r="762" spans="3:12" ht="12">
      <c r="C762" s="336"/>
      <c r="D762" s="299"/>
      <c r="E762" s="299"/>
      <c r="F762" s="252" t="s">
        <v>1</v>
      </c>
      <c r="G762" s="252" t="s">
        <v>1</v>
      </c>
      <c r="H762" s="252" t="s">
        <v>1</v>
      </c>
      <c r="I762" s="252" t="s">
        <v>1</v>
      </c>
      <c r="J762" s="252"/>
      <c r="K762" s="252" t="s">
        <v>1</v>
      </c>
      <c r="L762" s="252" t="s">
        <v>1</v>
      </c>
    </row>
    <row r="763" spans="3:12" ht="12">
      <c r="C763" s="336"/>
      <c r="D763" s="299"/>
      <c r="E763" s="299"/>
      <c r="F763" s="252"/>
      <c r="G763" s="252"/>
      <c r="H763" s="252"/>
      <c r="I763" s="252"/>
      <c r="J763" s="252"/>
      <c r="K763" s="252"/>
      <c r="L763" s="252"/>
    </row>
    <row r="764" spans="4:12" ht="12">
      <c r="D764" s="299"/>
      <c r="E764" s="299"/>
      <c r="F764" s="298"/>
      <c r="G764" s="295"/>
      <c r="H764" s="252"/>
      <c r="I764" s="252"/>
      <c r="J764" s="252"/>
      <c r="K764" s="252"/>
      <c r="L764" s="252"/>
    </row>
    <row r="765" spans="1:12" ht="12">
      <c r="A765" s="335"/>
      <c r="B765" s="335" t="s">
        <v>317</v>
      </c>
      <c r="C765" s="335"/>
      <c r="D765" s="334"/>
      <c r="E765" s="334"/>
      <c r="F765" s="333"/>
      <c r="G765" s="332">
        <f>G262</f>
        <v>55559038.89</v>
      </c>
      <c r="H765" s="333"/>
      <c r="I765" s="332">
        <f>I262</f>
        <v>62521301.04</v>
      </c>
      <c r="J765" s="332"/>
      <c r="K765" s="333"/>
      <c r="L765" s="332">
        <f>L262</f>
        <v>70015262</v>
      </c>
    </row>
    <row r="766" spans="1:12" ht="12">
      <c r="A766" s="311"/>
      <c r="B766" s="311"/>
      <c r="C766" s="311"/>
      <c r="D766" s="311"/>
      <c r="E766" s="311"/>
      <c r="F766" s="311"/>
      <c r="G766" s="311"/>
      <c r="H766" s="311"/>
      <c r="I766" s="311"/>
      <c r="J766" s="311"/>
      <c r="K766" s="311"/>
      <c r="L766" s="311"/>
    </row>
    <row r="767" spans="1:12" ht="12">
      <c r="A767" s="329" t="s">
        <v>106</v>
      </c>
      <c r="B767" s="311"/>
      <c r="C767" s="311"/>
      <c r="D767" s="331"/>
      <c r="E767" s="331"/>
      <c r="F767" s="328"/>
      <c r="G767" s="319"/>
      <c r="H767" s="328"/>
      <c r="I767" s="319"/>
      <c r="J767" s="319"/>
      <c r="K767" s="328"/>
      <c r="L767" s="330" t="s">
        <v>318</v>
      </c>
    </row>
    <row r="768" spans="1:12" ht="12">
      <c r="A768" s="462" t="s">
        <v>319</v>
      </c>
      <c r="B768" s="462"/>
      <c r="C768" s="462"/>
      <c r="D768" s="462"/>
      <c r="E768" s="462"/>
      <c r="F768" s="462"/>
      <c r="G768" s="462"/>
      <c r="H768" s="462"/>
      <c r="I768" s="462"/>
      <c r="J768" s="462"/>
      <c r="K768" s="462"/>
      <c r="L768" s="462"/>
    </row>
    <row r="769" spans="1:12" ht="12">
      <c r="A769" s="329" t="s">
        <v>78</v>
      </c>
      <c r="B769" s="311"/>
      <c r="C769" s="311"/>
      <c r="D769" s="311"/>
      <c r="E769" s="311"/>
      <c r="F769" s="328"/>
      <c r="G769" s="311"/>
      <c r="H769" s="318"/>
      <c r="I769" s="319"/>
      <c r="J769" s="319"/>
      <c r="K769" s="328"/>
      <c r="L769" s="291" t="s">
        <v>79</v>
      </c>
    </row>
    <row r="770" spans="1:12" ht="12">
      <c r="A770" s="322" t="s">
        <v>1</v>
      </c>
      <c r="B770" s="322" t="s">
        <v>1</v>
      </c>
      <c r="C770" s="322" t="s">
        <v>1</v>
      </c>
      <c r="D770" s="322" t="s">
        <v>1</v>
      </c>
      <c r="E770" s="322"/>
      <c r="F770" s="322" t="s">
        <v>1</v>
      </c>
      <c r="G770" s="322" t="s">
        <v>1</v>
      </c>
      <c r="H770" s="322" t="s">
        <v>1</v>
      </c>
      <c r="I770" s="322" t="s">
        <v>1</v>
      </c>
      <c r="J770" s="322"/>
      <c r="K770" s="322" t="s">
        <v>1</v>
      </c>
      <c r="L770" s="322" t="s">
        <v>1</v>
      </c>
    </row>
    <row r="771" spans="1:12" ht="12">
      <c r="A771" s="325" t="s">
        <v>2</v>
      </c>
      <c r="B771" s="311"/>
      <c r="C771" s="311"/>
      <c r="D771" s="325" t="s">
        <v>2</v>
      </c>
      <c r="E771" s="325"/>
      <c r="F771" s="285"/>
      <c r="G771" s="285" t="s">
        <v>62</v>
      </c>
      <c r="H771" s="327"/>
      <c r="I771" s="285" t="s">
        <v>65</v>
      </c>
      <c r="J771" s="285"/>
      <c r="K771" s="308"/>
      <c r="L771" s="285" t="s">
        <v>70</v>
      </c>
    </row>
    <row r="772" spans="1:12" ht="12">
      <c r="A772" s="325" t="s">
        <v>4</v>
      </c>
      <c r="B772" s="326" t="s">
        <v>18</v>
      </c>
      <c r="C772" s="311"/>
      <c r="D772" s="325" t="s">
        <v>4</v>
      </c>
      <c r="E772" s="325"/>
      <c r="F772" s="286" t="s">
        <v>19</v>
      </c>
      <c r="G772" s="285" t="s">
        <v>7</v>
      </c>
      <c r="H772" s="324" t="s">
        <v>19</v>
      </c>
      <c r="I772" s="323" t="s">
        <v>7</v>
      </c>
      <c r="J772" s="323"/>
      <c r="K772" s="324" t="s">
        <v>19</v>
      </c>
      <c r="L772" s="323" t="s">
        <v>8</v>
      </c>
    </row>
    <row r="773" spans="1:12" ht="12">
      <c r="A773" s="322" t="s">
        <v>1</v>
      </c>
      <c r="B773" s="322" t="s">
        <v>1</v>
      </c>
      <c r="C773" s="322" t="s">
        <v>1</v>
      </c>
      <c r="D773" s="322" t="s">
        <v>1</v>
      </c>
      <c r="E773" s="322"/>
      <c r="F773" s="14" t="s">
        <v>1</v>
      </c>
      <c r="G773" s="14" t="s">
        <v>1</v>
      </c>
      <c r="H773" s="322" t="s">
        <v>1</v>
      </c>
      <c r="I773" s="322" t="s">
        <v>1</v>
      </c>
      <c r="J773" s="322"/>
      <c r="K773" s="322" t="s">
        <v>1</v>
      </c>
      <c r="L773" s="321" t="s">
        <v>1</v>
      </c>
    </row>
    <row r="774" spans="1:12" ht="12">
      <c r="A774" s="317">
        <v>1</v>
      </c>
      <c r="B774" s="318" t="s">
        <v>276</v>
      </c>
      <c r="C774" s="311"/>
      <c r="D774" s="317">
        <v>1</v>
      </c>
      <c r="E774" s="317"/>
      <c r="F774" s="314"/>
      <c r="G774" s="315"/>
      <c r="H774" s="314"/>
      <c r="I774" s="315"/>
      <c r="J774" s="315"/>
      <c r="K774" s="314"/>
      <c r="L774" s="315"/>
    </row>
    <row r="775" spans="1:12" ht="12">
      <c r="A775" s="317">
        <v>2</v>
      </c>
      <c r="B775" s="318" t="s">
        <v>268</v>
      </c>
      <c r="C775" s="311"/>
      <c r="D775" s="317">
        <v>2</v>
      </c>
      <c r="E775" s="317"/>
      <c r="F775" s="314"/>
      <c r="G775" s="315"/>
      <c r="H775" s="314"/>
      <c r="I775" s="315"/>
      <c r="J775" s="315"/>
      <c r="K775" s="314"/>
      <c r="L775" s="315"/>
    </row>
    <row r="776" spans="1:12" ht="12">
      <c r="A776" s="317">
        <v>3</v>
      </c>
      <c r="B776" s="311"/>
      <c r="C776" s="311"/>
      <c r="D776" s="317">
        <v>3</v>
      </c>
      <c r="E776" s="317"/>
      <c r="F776" s="314"/>
      <c r="G776" s="315"/>
      <c r="H776" s="314"/>
      <c r="I776" s="315"/>
      <c r="J776" s="315"/>
      <c r="K776" s="314"/>
      <c r="L776" s="315"/>
    </row>
    <row r="777" spans="1:12" ht="12">
      <c r="A777" s="317">
        <v>4</v>
      </c>
      <c r="B777" s="318" t="s">
        <v>270</v>
      </c>
      <c r="C777" s="311"/>
      <c r="D777" s="317">
        <v>4</v>
      </c>
      <c r="E777" s="317"/>
      <c r="F777" s="320">
        <f>F774</f>
        <v>0</v>
      </c>
      <c r="G777" s="319">
        <f>SUM(G774:G775)</f>
        <v>0</v>
      </c>
      <c r="H777" s="320">
        <f>H774</f>
        <v>0</v>
      </c>
      <c r="I777" s="319">
        <f>SUM(I774:I775)</f>
        <v>0</v>
      </c>
      <c r="J777" s="319"/>
      <c r="K777" s="320">
        <f>K774</f>
        <v>0</v>
      </c>
      <c r="L777" s="319">
        <f>SUM(L774:L775)</f>
        <v>0</v>
      </c>
    </row>
    <row r="778" spans="1:12" ht="12">
      <c r="A778" s="317">
        <v>5</v>
      </c>
      <c r="B778" s="311"/>
      <c r="C778" s="311"/>
      <c r="D778" s="317">
        <v>5</v>
      </c>
      <c r="E778" s="317"/>
      <c r="F778" s="320"/>
      <c r="G778" s="319"/>
      <c r="H778" s="320"/>
      <c r="I778" s="319"/>
      <c r="J778" s="319"/>
      <c r="K778" s="320"/>
      <c r="L778" s="319"/>
    </row>
    <row r="779" spans="1:12" ht="12">
      <c r="A779" s="317">
        <v>6</v>
      </c>
      <c r="B779" s="311"/>
      <c r="C779" s="311"/>
      <c r="D779" s="317">
        <v>6</v>
      </c>
      <c r="E779" s="317"/>
      <c r="F779" s="320"/>
      <c r="G779" s="319"/>
      <c r="H779" s="320"/>
      <c r="I779" s="319"/>
      <c r="J779" s="319"/>
      <c r="K779" s="320"/>
      <c r="L779" s="319"/>
    </row>
    <row r="780" spans="1:12" ht="12">
      <c r="A780" s="317">
        <v>7</v>
      </c>
      <c r="B780" s="318" t="s">
        <v>253</v>
      </c>
      <c r="C780" s="311"/>
      <c r="D780" s="317">
        <v>7</v>
      </c>
      <c r="E780" s="317"/>
      <c r="F780" s="314"/>
      <c r="G780" s="315"/>
      <c r="H780" s="314"/>
      <c r="I780" s="315"/>
      <c r="J780" s="315"/>
      <c r="K780" s="314"/>
      <c r="L780" s="315"/>
    </row>
    <row r="781" spans="1:12" ht="12">
      <c r="A781" s="317">
        <v>8</v>
      </c>
      <c r="B781" s="318" t="s">
        <v>254</v>
      </c>
      <c r="C781" s="311"/>
      <c r="D781" s="317">
        <v>8</v>
      </c>
      <c r="E781" s="317"/>
      <c r="F781" s="314"/>
      <c r="G781" s="315"/>
      <c r="H781" s="314"/>
      <c r="I781" s="315"/>
      <c r="J781" s="315"/>
      <c r="K781" s="314"/>
      <c r="L781" s="315"/>
    </row>
    <row r="782" spans="1:12" ht="12">
      <c r="A782" s="317">
        <v>9</v>
      </c>
      <c r="B782" s="318" t="s">
        <v>255</v>
      </c>
      <c r="C782" s="311"/>
      <c r="D782" s="317">
        <v>9</v>
      </c>
      <c r="E782" s="317"/>
      <c r="F782" s="320">
        <f>F780</f>
        <v>0</v>
      </c>
      <c r="G782" s="319">
        <f>SUM(G780:G781)</f>
        <v>0</v>
      </c>
      <c r="H782" s="320">
        <f>H780</f>
        <v>0</v>
      </c>
      <c r="I782" s="319">
        <f>SUM(I780:I781)</f>
        <v>0</v>
      </c>
      <c r="J782" s="319"/>
      <c r="K782" s="320">
        <f>K780</f>
        <v>0</v>
      </c>
      <c r="L782" s="319">
        <f>SUM(L780:L781)</f>
        <v>0</v>
      </c>
    </row>
    <row r="783" spans="1:12" ht="12">
      <c r="A783" s="317">
        <v>10</v>
      </c>
      <c r="B783" s="311"/>
      <c r="C783" s="311"/>
      <c r="D783" s="317">
        <v>10</v>
      </c>
      <c r="E783" s="317"/>
      <c r="F783" s="320"/>
      <c r="G783" s="319"/>
      <c r="H783" s="320"/>
      <c r="I783" s="319"/>
      <c r="J783" s="319"/>
      <c r="K783" s="320"/>
      <c r="L783" s="319"/>
    </row>
    <row r="784" spans="1:12" ht="12">
      <c r="A784" s="317">
        <v>11</v>
      </c>
      <c r="B784" s="318" t="s">
        <v>256</v>
      </c>
      <c r="C784" s="311"/>
      <c r="D784" s="317">
        <v>11</v>
      </c>
      <c r="E784" s="317"/>
      <c r="F784" s="320">
        <f>SUM(F782,F777)</f>
        <v>0</v>
      </c>
      <c r="G784" s="319">
        <f>SUM(G782,G777)</f>
        <v>0</v>
      </c>
      <c r="H784" s="320">
        <f>SUM(H782,H777)</f>
        <v>0</v>
      </c>
      <c r="I784" s="319">
        <f>SUM(I782,I777)</f>
        <v>0</v>
      </c>
      <c r="J784" s="319"/>
      <c r="K784" s="320">
        <f>SUM(K782,K777)</f>
        <v>0</v>
      </c>
      <c r="L784" s="319">
        <f>SUM(L782,L777)</f>
        <v>0</v>
      </c>
    </row>
    <row r="785" spans="1:12" ht="12">
      <c r="A785" s="317">
        <v>12</v>
      </c>
      <c r="B785" s="311"/>
      <c r="C785" s="311"/>
      <c r="D785" s="317">
        <v>12</v>
      </c>
      <c r="E785" s="317"/>
      <c r="F785" s="311"/>
      <c r="G785" s="311"/>
      <c r="H785" s="311"/>
      <c r="I785" s="311"/>
      <c r="J785" s="311"/>
      <c r="K785" s="311"/>
      <c r="L785" s="311"/>
    </row>
    <row r="786" spans="1:12" ht="12">
      <c r="A786" s="317">
        <v>13</v>
      </c>
      <c r="B786" s="318" t="s">
        <v>277</v>
      </c>
      <c r="C786" s="311"/>
      <c r="D786" s="317">
        <v>13</v>
      </c>
      <c r="E786" s="317"/>
      <c r="F786" s="314"/>
      <c r="G786" s="315"/>
      <c r="H786" s="314"/>
      <c r="I786" s="315"/>
      <c r="J786" s="315"/>
      <c r="K786" s="314"/>
      <c r="L786" s="315"/>
    </row>
    <row r="787" spans="1:12" ht="12">
      <c r="A787" s="317">
        <v>14</v>
      </c>
      <c r="B787" s="311"/>
      <c r="C787" s="311"/>
      <c r="D787" s="317">
        <v>14</v>
      </c>
      <c r="E787" s="317"/>
      <c r="F787" s="314"/>
      <c r="G787" s="316"/>
      <c r="H787" s="314"/>
      <c r="I787" s="316"/>
      <c r="J787" s="316"/>
      <c r="K787" s="314"/>
      <c r="L787" s="316"/>
    </row>
    <row r="788" spans="1:12" ht="12">
      <c r="A788" s="280">
        <v>15</v>
      </c>
      <c r="B788" s="297" t="s">
        <v>258</v>
      </c>
      <c r="D788" s="280">
        <v>15</v>
      </c>
      <c r="E788" s="280"/>
      <c r="F788" s="314"/>
      <c r="G788" s="315"/>
      <c r="H788" s="314"/>
      <c r="I788" s="315"/>
      <c r="J788" s="315"/>
      <c r="K788" s="314"/>
      <c r="L788" s="315"/>
    </row>
    <row r="789" spans="1:12" ht="12">
      <c r="A789" s="24">
        <v>16</v>
      </c>
      <c r="B789" s="297" t="s">
        <v>259</v>
      </c>
      <c r="D789" s="280">
        <v>17</v>
      </c>
      <c r="E789" s="280"/>
      <c r="F789" s="314"/>
      <c r="G789" s="315"/>
      <c r="H789" s="314"/>
      <c r="I789" s="315"/>
      <c r="J789" s="315"/>
      <c r="K789" s="314"/>
      <c r="L789" s="315"/>
    </row>
    <row r="790" spans="1:12" ht="12">
      <c r="A790" s="24"/>
      <c r="B790" s="297"/>
      <c r="D790" s="280"/>
      <c r="E790" s="280"/>
      <c r="F790" s="314"/>
      <c r="G790" s="315"/>
      <c r="H790" s="314"/>
      <c r="I790" s="315"/>
      <c r="J790" s="315"/>
      <c r="K790" s="314"/>
      <c r="L790" s="315"/>
    </row>
    <row r="791" spans="1:12" ht="12">
      <c r="A791" s="24">
        <v>17</v>
      </c>
      <c r="B791" s="297" t="s">
        <v>278</v>
      </c>
      <c r="D791" s="24">
        <v>17</v>
      </c>
      <c r="E791" s="24"/>
      <c r="F791" s="314"/>
      <c r="G791" s="315"/>
      <c r="H791" s="314"/>
      <c r="I791" s="315"/>
      <c r="J791" s="315"/>
      <c r="K791" s="314"/>
      <c r="L791" s="315"/>
    </row>
    <row r="792" spans="1:12" ht="12">
      <c r="A792" s="24">
        <v>18</v>
      </c>
      <c r="B792" s="269" t="s">
        <v>279</v>
      </c>
      <c r="D792" s="24">
        <v>18</v>
      </c>
      <c r="E792" s="24"/>
      <c r="F792" s="5"/>
      <c r="G792" s="304"/>
      <c r="H792" s="314"/>
      <c r="I792" s="315"/>
      <c r="J792" s="315"/>
      <c r="K792" s="314"/>
      <c r="L792" s="315"/>
    </row>
    <row r="793" spans="1:8" ht="12">
      <c r="A793" s="24">
        <v>19</v>
      </c>
      <c r="D793" s="24">
        <v>19</v>
      </c>
      <c r="E793" s="24"/>
      <c r="F793" s="5"/>
      <c r="G793" s="304"/>
      <c r="H793" s="314"/>
    </row>
    <row r="794" spans="1:12" ht="12">
      <c r="A794" s="280">
        <v>20</v>
      </c>
      <c r="D794" s="24">
        <v>20</v>
      </c>
      <c r="E794" s="24"/>
      <c r="F794" s="252"/>
      <c r="G794" s="252"/>
      <c r="H794" s="298"/>
      <c r="I794" s="298"/>
      <c r="J794" s="298"/>
      <c r="K794" s="298"/>
      <c r="L794" s="298"/>
    </row>
    <row r="795" spans="1:12" s="5" customFormat="1" ht="12">
      <c r="A795" s="24">
        <v>21</v>
      </c>
      <c r="D795" s="24">
        <v>21</v>
      </c>
      <c r="E795" s="24"/>
      <c r="G795" s="252"/>
      <c r="H795" s="252"/>
      <c r="I795" s="274"/>
      <c r="J795" s="274"/>
      <c r="K795" s="252"/>
      <c r="L795" s="274"/>
    </row>
    <row r="796" spans="1:12" s="5" customFormat="1" ht="12">
      <c r="A796" s="24">
        <v>22</v>
      </c>
      <c r="D796" s="24">
        <v>22</v>
      </c>
      <c r="E796" s="24"/>
      <c r="G796" s="252"/>
      <c r="H796" s="308"/>
      <c r="I796" s="274"/>
      <c r="J796" s="274"/>
      <c r="K796" s="308"/>
      <c r="L796" s="274"/>
    </row>
    <row r="797" spans="1:12" s="5" customFormat="1" ht="12">
      <c r="A797" s="24">
        <v>23</v>
      </c>
      <c r="C797" s="313"/>
      <c r="D797" s="24">
        <v>23</v>
      </c>
      <c r="E797" s="24"/>
      <c r="G797" s="252"/>
      <c r="I797" s="274"/>
      <c r="J797" s="274"/>
      <c r="L797" s="274"/>
    </row>
    <row r="798" spans="1:12" s="5" customFormat="1" ht="12">
      <c r="A798" s="24">
        <v>24</v>
      </c>
      <c r="C798" s="313"/>
      <c r="D798" s="24">
        <v>24</v>
      </c>
      <c r="E798" s="24"/>
      <c r="G798" s="252"/>
      <c r="I798" s="274"/>
      <c r="J798" s="274"/>
      <c r="L798" s="274"/>
    </row>
    <row r="799" spans="6:12" ht="12">
      <c r="F799" s="252" t="s">
        <v>1</v>
      </c>
      <c r="G799" s="252" t="s">
        <v>1</v>
      </c>
      <c r="H799" s="298" t="s">
        <v>1</v>
      </c>
      <c r="I799" s="298" t="s">
        <v>1</v>
      </c>
      <c r="J799" s="298"/>
      <c r="K799" s="298" t="s">
        <v>1</v>
      </c>
      <c r="L799" s="298" t="s">
        <v>1</v>
      </c>
    </row>
    <row r="800" spans="1:12" ht="12">
      <c r="A800" s="280">
        <v>25</v>
      </c>
      <c r="B800" s="297" t="s">
        <v>320</v>
      </c>
      <c r="D800" s="280">
        <v>25</v>
      </c>
      <c r="E800" s="280"/>
      <c r="F800" s="312">
        <f>F784</f>
        <v>0</v>
      </c>
      <c r="G800" s="299">
        <f>SUM(G784:G798)</f>
        <v>0</v>
      </c>
      <c r="H800" s="312">
        <f>H784</f>
        <v>0</v>
      </c>
      <c r="I800" s="299">
        <f>SUM(I784:I798)</f>
        <v>0</v>
      </c>
      <c r="J800" s="299"/>
      <c r="K800" s="312">
        <f>K784</f>
        <v>0</v>
      </c>
      <c r="L800" s="295">
        <f>SUM(L784:L798)</f>
        <v>0</v>
      </c>
    </row>
    <row r="801" spans="4:12" ht="12">
      <c r="D801" s="299"/>
      <c r="E801" s="299"/>
      <c r="F801" s="252" t="s">
        <v>1</v>
      </c>
      <c r="G801" s="252" t="s">
        <v>1</v>
      </c>
      <c r="H801" s="298" t="s">
        <v>1</v>
      </c>
      <c r="I801" s="298" t="s">
        <v>1</v>
      </c>
      <c r="J801" s="298"/>
      <c r="K801" s="298" t="s">
        <v>1</v>
      </c>
      <c r="L801" s="298" t="s">
        <v>1</v>
      </c>
    </row>
    <row r="802" spans="1:12" ht="12">
      <c r="A802" s="311"/>
      <c r="B802" s="311"/>
      <c r="C802" s="311"/>
      <c r="D802" s="311"/>
      <c r="E802" s="311"/>
      <c r="F802" s="311"/>
      <c r="G802" s="311"/>
      <c r="H802" s="311"/>
      <c r="I802" s="311"/>
      <c r="J802" s="311"/>
      <c r="K802" s="311"/>
      <c r="L802" s="311"/>
    </row>
    <row r="803" spans="1:12" ht="12">
      <c r="A803" s="292" t="s">
        <v>106</v>
      </c>
      <c r="D803" s="299"/>
      <c r="E803" s="299"/>
      <c r="F803" s="296"/>
      <c r="G803" s="295"/>
      <c r="H803" s="296"/>
      <c r="I803" s="295"/>
      <c r="J803" s="295"/>
      <c r="K803" s="296"/>
      <c r="L803" s="294" t="s">
        <v>321</v>
      </c>
    </row>
    <row r="804" spans="1:12" ht="12">
      <c r="A804" s="467" t="s">
        <v>322</v>
      </c>
      <c r="B804" s="467"/>
      <c r="C804" s="467"/>
      <c r="D804" s="467"/>
      <c r="E804" s="467"/>
      <c r="F804" s="467"/>
      <c r="G804" s="467"/>
      <c r="H804" s="467"/>
      <c r="I804" s="467"/>
      <c r="J804" s="467"/>
      <c r="K804" s="467"/>
      <c r="L804" s="467"/>
    </row>
    <row r="805" spans="1:12" ht="12">
      <c r="A805" s="292" t="s">
        <v>78</v>
      </c>
      <c r="F805" s="296"/>
      <c r="G805" s="295"/>
      <c r="I805" s="310"/>
      <c r="J805" s="310"/>
      <c r="K805" s="296"/>
      <c r="L805" s="291" t="s">
        <v>79</v>
      </c>
    </row>
    <row r="806" spans="1:12" ht="12">
      <c r="A806" s="283" t="s">
        <v>1</v>
      </c>
      <c r="B806" s="283" t="s">
        <v>1</v>
      </c>
      <c r="C806" s="283" t="s">
        <v>1</v>
      </c>
      <c r="D806" s="283" t="s">
        <v>1</v>
      </c>
      <c r="E806" s="283"/>
      <c r="F806" s="283" t="s">
        <v>1</v>
      </c>
      <c r="G806" s="283" t="s">
        <v>1</v>
      </c>
      <c r="H806" s="283" t="s">
        <v>1</v>
      </c>
      <c r="I806" s="283" t="s">
        <v>1</v>
      </c>
      <c r="J806" s="283"/>
      <c r="K806" s="283" t="s">
        <v>1</v>
      </c>
      <c r="L806" s="283" t="s">
        <v>1</v>
      </c>
    </row>
    <row r="807" spans="1:12" ht="12">
      <c r="A807" s="289" t="s">
        <v>2</v>
      </c>
      <c r="D807" s="289" t="s">
        <v>2</v>
      </c>
      <c r="E807" s="289"/>
      <c r="F807" s="285"/>
      <c r="G807" s="285" t="s">
        <v>62</v>
      </c>
      <c r="H807" s="309"/>
      <c r="I807" s="285" t="s">
        <v>65</v>
      </c>
      <c r="J807" s="285"/>
      <c r="K807" s="308"/>
      <c r="L807" s="285" t="s">
        <v>70</v>
      </c>
    </row>
    <row r="808" spans="1:12" ht="12">
      <c r="A808" s="289" t="s">
        <v>4</v>
      </c>
      <c r="B808" s="307" t="s">
        <v>18</v>
      </c>
      <c r="D808" s="289" t="s">
        <v>4</v>
      </c>
      <c r="E808" s="289"/>
      <c r="F808" s="293"/>
      <c r="G808" s="285" t="s">
        <v>7</v>
      </c>
      <c r="H808" s="293"/>
      <c r="I808" s="306" t="s">
        <v>7</v>
      </c>
      <c r="J808" s="306"/>
      <c r="K808" s="293"/>
      <c r="L808" s="306" t="s">
        <v>8</v>
      </c>
    </row>
    <row r="809" spans="1:12" ht="12">
      <c r="A809" s="283" t="s">
        <v>1</v>
      </c>
      <c r="B809" s="283" t="s">
        <v>1</v>
      </c>
      <c r="C809" s="283" t="s">
        <v>1</v>
      </c>
      <c r="D809" s="283" t="s">
        <v>1</v>
      </c>
      <c r="E809" s="283"/>
      <c r="F809" s="283" t="s">
        <v>1</v>
      </c>
      <c r="G809" s="14" t="s">
        <v>1</v>
      </c>
      <c r="H809" s="283" t="s">
        <v>1</v>
      </c>
      <c r="I809" s="283" t="s">
        <v>1</v>
      </c>
      <c r="J809" s="283"/>
      <c r="K809" s="283" t="s">
        <v>1</v>
      </c>
      <c r="L809" s="270" t="s">
        <v>1</v>
      </c>
    </row>
    <row r="810" spans="1:12" ht="12">
      <c r="A810" s="301">
        <v>1</v>
      </c>
      <c r="B810" s="269" t="s">
        <v>323</v>
      </c>
      <c r="D810" s="301">
        <v>1</v>
      </c>
      <c r="E810" s="301"/>
      <c r="F810" s="300"/>
      <c r="G810" s="302">
        <v>0</v>
      </c>
      <c r="H810" s="303"/>
      <c r="I810" s="302">
        <v>0</v>
      </c>
      <c r="J810" s="302"/>
      <c r="K810" s="303"/>
      <c r="L810" s="302">
        <v>0</v>
      </c>
    </row>
    <row r="811" spans="1:12" ht="12">
      <c r="A811" s="301">
        <v>2</v>
      </c>
      <c r="D811" s="301">
        <v>2</v>
      </c>
      <c r="E811" s="301"/>
      <c r="F811" s="300"/>
      <c r="G811" s="279"/>
      <c r="H811" s="303"/>
      <c r="I811" s="279"/>
      <c r="J811" s="279"/>
      <c r="K811" s="303"/>
      <c r="L811" s="302"/>
    </row>
    <row r="812" spans="1:12" ht="12">
      <c r="A812" s="301">
        <v>3</v>
      </c>
      <c r="B812" s="20"/>
      <c r="C812" s="5"/>
      <c r="D812" s="301">
        <v>3</v>
      </c>
      <c r="E812" s="301"/>
      <c r="F812" s="300"/>
      <c r="G812" s="302"/>
      <c r="H812" s="303"/>
      <c r="I812" s="302"/>
      <c r="J812" s="302"/>
      <c r="K812" s="303"/>
      <c r="L812" s="302"/>
    </row>
    <row r="813" spans="1:12" ht="12">
      <c r="A813" s="301">
        <v>4</v>
      </c>
      <c r="B813" s="20"/>
      <c r="C813" s="5"/>
      <c r="D813" s="301">
        <v>4</v>
      </c>
      <c r="E813" s="301"/>
      <c r="F813" s="300"/>
      <c r="G813" s="302"/>
      <c r="H813" s="303"/>
      <c r="I813" s="302"/>
      <c r="J813" s="302"/>
      <c r="K813" s="303"/>
      <c r="L813" s="302"/>
    </row>
    <row r="814" spans="1:12" ht="12">
      <c r="A814" s="301">
        <v>5</v>
      </c>
      <c r="B814" s="4"/>
      <c r="C814" s="5"/>
      <c r="D814" s="301">
        <v>5</v>
      </c>
      <c r="E814" s="301"/>
      <c r="F814" s="300"/>
      <c r="G814" s="304"/>
      <c r="H814" s="303"/>
      <c r="I814" s="302"/>
      <c r="J814" s="302"/>
      <c r="K814" s="303"/>
      <c r="L814" s="302"/>
    </row>
    <row r="815" spans="1:12" ht="12">
      <c r="A815" s="301">
        <v>6</v>
      </c>
      <c r="B815" s="20"/>
      <c r="C815" s="5"/>
      <c r="D815" s="301">
        <v>6</v>
      </c>
      <c r="E815" s="301"/>
      <c r="F815" s="300"/>
      <c r="G815" s="304"/>
      <c r="H815" s="303"/>
      <c r="I815" s="302"/>
      <c r="J815" s="302"/>
      <c r="K815" s="303"/>
      <c r="L815" s="302"/>
    </row>
    <row r="816" spans="1:12" ht="12">
      <c r="A816" s="301">
        <v>7</v>
      </c>
      <c r="B816" s="20"/>
      <c r="C816" s="5"/>
      <c r="D816" s="301">
        <v>7</v>
      </c>
      <c r="E816" s="301"/>
      <c r="F816" s="300"/>
      <c r="G816" s="304"/>
      <c r="H816" s="303"/>
      <c r="I816" s="302"/>
      <c r="J816" s="302"/>
      <c r="K816" s="303"/>
      <c r="L816" s="302"/>
    </row>
    <row r="817" spans="1:12" ht="12">
      <c r="A817" s="301">
        <v>8</v>
      </c>
      <c r="B817" s="5"/>
      <c r="C817" s="5"/>
      <c r="D817" s="301">
        <v>8</v>
      </c>
      <c r="E817" s="301"/>
      <c r="F817" s="300"/>
      <c r="G817" s="304"/>
      <c r="H817" s="303"/>
      <c r="I817" s="302"/>
      <c r="J817" s="302"/>
      <c r="K817" s="303"/>
      <c r="L817" s="302"/>
    </row>
    <row r="818" spans="1:12" ht="12">
      <c r="A818" s="301">
        <v>9</v>
      </c>
      <c r="B818" s="5"/>
      <c r="C818" s="5"/>
      <c r="D818" s="301">
        <v>9</v>
      </c>
      <c r="E818" s="301"/>
      <c r="F818" s="300"/>
      <c r="G818" s="304"/>
      <c r="H818" s="303"/>
      <c r="I818" s="302"/>
      <c r="J818" s="302"/>
      <c r="K818" s="303"/>
      <c r="L818" s="302"/>
    </row>
    <row r="819" spans="1:12" ht="12">
      <c r="A819" s="305"/>
      <c r="B819" s="5"/>
      <c r="C819" s="5"/>
      <c r="D819" s="305"/>
      <c r="E819" s="305"/>
      <c r="F819" s="298" t="s">
        <v>1</v>
      </c>
      <c r="G819" s="252" t="s">
        <v>1</v>
      </c>
      <c r="H819" s="298" t="s">
        <v>1</v>
      </c>
      <c r="I819" s="298" t="s">
        <v>1</v>
      </c>
      <c r="J819" s="298"/>
      <c r="K819" s="298" t="s">
        <v>1</v>
      </c>
      <c r="L819" s="298" t="s">
        <v>1</v>
      </c>
    </row>
    <row r="820" spans="1:12" ht="12">
      <c r="A820" s="301">
        <v>10</v>
      </c>
      <c r="B820" s="269" t="s">
        <v>324</v>
      </c>
      <c r="C820" s="5"/>
      <c r="D820" s="301">
        <v>10</v>
      </c>
      <c r="E820" s="301"/>
      <c r="F820" s="300"/>
      <c r="G820" s="302">
        <f>SUM(G810:G816)</f>
        <v>0</v>
      </c>
      <c r="H820" s="300"/>
      <c r="I820" s="302">
        <f>SUM(I810:I816)</f>
        <v>0</v>
      </c>
      <c r="J820" s="302"/>
      <c r="K820" s="300"/>
      <c r="L820" s="302">
        <f>SUM(L810:L816)</f>
        <v>0</v>
      </c>
    </row>
    <row r="821" spans="1:12" ht="12">
      <c r="A821" s="301"/>
      <c r="C821" s="5"/>
      <c r="D821" s="301"/>
      <c r="E821" s="301"/>
      <c r="F821" s="298" t="s">
        <v>1</v>
      </c>
      <c r="G821" s="252" t="s">
        <v>1</v>
      </c>
      <c r="H821" s="298" t="s">
        <v>1</v>
      </c>
      <c r="I821" s="298" t="s">
        <v>1</v>
      </c>
      <c r="J821" s="298"/>
      <c r="K821" s="298" t="s">
        <v>1</v>
      </c>
      <c r="L821" s="298" t="s">
        <v>1</v>
      </c>
    </row>
    <row r="822" spans="1:12" ht="12">
      <c r="A822" s="301">
        <v>11</v>
      </c>
      <c r="B822" s="20"/>
      <c r="C822" s="5"/>
      <c r="D822" s="301">
        <v>11</v>
      </c>
      <c r="E822" s="301"/>
      <c r="F822" s="300"/>
      <c r="G822" s="304"/>
      <c r="H822" s="303"/>
      <c r="I822" s="302"/>
      <c r="J822" s="302"/>
      <c r="K822" s="303"/>
      <c r="L822" s="302"/>
    </row>
    <row r="823" spans="1:12" ht="12">
      <c r="A823" s="301">
        <v>12</v>
      </c>
      <c r="B823" s="297" t="s">
        <v>325</v>
      </c>
      <c r="C823" s="5"/>
      <c r="D823" s="301">
        <v>12</v>
      </c>
      <c r="E823" s="301"/>
      <c r="F823" s="300"/>
      <c r="G823" s="302">
        <f>56291413.1</f>
        <v>56291413.1</v>
      </c>
      <c r="H823" s="303"/>
      <c r="I823" s="302">
        <f>87261891.14</f>
        <v>87261891.14</v>
      </c>
      <c r="J823" s="302"/>
      <c r="K823" s="303"/>
      <c r="L823" s="302">
        <f>69962819</f>
        <v>69962819</v>
      </c>
    </row>
    <row r="824" spans="1:12" ht="12">
      <c r="A824" s="301">
        <v>13</v>
      </c>
      <c r="B824" s="20" t="s">
        <v>326</v>
      </c>
      <c r="C824" s="5"/>
      <c r="D824" s="301">
        <v>13</v>
      </c>
      <c r="E824" s="301"/>
      <c r="F824" s="300"/>
      <c r="G824" s="302">
        <f>13810529</f>
        <v>13810529</v>
      </c>
      <c r="H824" s="303"/>
      <c r="I824" s="302">
        <f>12888523</f>
        <v>12888523</v>
      </c>
      <c r="J824" s="302"/>
      <c r="K824" s="303"/>
      <c r="L824" s="304">
        <f>12284267</f>
        <v>12284267</v>
      </c>
    </row>
    <row r="825" spans="1:12" ht="12">
      <c r="A825" s="301">
        <v>14</v>
      </c>
      <c r="B825" s="5" t="s">
        <v>327</v>
      </c>
      <c r="C825" s="5"/>
      <c r="D825" s="301">
        <v>14</v>
      </c>
      <c r="E825" s="301"/>
      <c r="F825" s="300"/>
      <c r="G825" s="302">
        <f>G576</f>
        <v>12413825.45</v>
      </c>
      <c r="H825" s="303"/>
      <c r="I825" s="302">
        <f>I576</f>
        <v>12082948.87</v>
      </c>
      <c r="J825" s="302"/>
      <c r="K825" s="303"/>
      <c r="L825" s="302">
        <f>L576</f>
        <v>12284267</v>
      </c>
    </row>
    <row r="826" spans="1:12" ht="12">
      <c r="A826" s="301">
        <v>15</v>
      </c>
      <c r="D826" s="301">
        <v>15</v>
      </c>
      <c r="E826" s="301"/>
      <c r="F826" s="300"/>
      <c r="G826" s="304"/>
      <c r="H826" s="303"/>
      <c r="I826" s="302"/>
      <c r="J826" s="302"/>
      <c r="K826" s="303"/>
      <c r="L826" s="302"/>
    </row>
    <row r="827" spans="1:12" ht="12">
      <c r="A827" s="301">
        <v>16</v>
      </c>
      <c r="D827" s="301">
        <v>16</v>
      </c>
      <c r="E827" s="301"/>
      <c r="F827" s="300"/>
      <c r="G827" s="304"/>
      <c r="H827" s="303"/>
      <c r="I827" s="302"/>
      <c r="J827" s="302"/>
      <c r="K827" s="303"/>
      <c r="L827" s="302"/>
    </row>
    <row r="828" spans="1:12" ht="12">
      <c r="A828" s="301">
        <v>17</v>
      </c>
      <c r="B828" s="259"/>
      <c r="C828" s="255"/>
      <c r="D828" s="301">
        <v>17</v>
      </c>
      <c r="E828" s="301"/>
      <c r="F828" s="300"/>
      <c r="G828" s="304"/>
      <c r="H828" s="303"/>
      <c r="I828" s="302"/>
      <c r="J828" s="302"/>
      <c r="K828" s="303"/>
      <c r="L828" s="302"/>
    </row>
    <row r="829" spans="1:12" ht="12">
      <c r="A829" s="301">
        <v>18</v>
      </c>
      <c r="B829" s="255"/>
      <c r="C829" s="255"/>
      <c r="D829" s="301">
        <v>18</v>
      </c>
      <c r="E829" s="301"/>
      <c r="F829" s="300"/>
      <c r="G829" s="304"/>
      <c r="H829" s="303"/>
      <c r="I829" s="302"/>
      <c r="J829" s="302"/>
      <c r="K829" s="303"/>
      <c r="L829" s="302"/>
    </row>
    <row r="830" spans="1:12" ht="12">
      <c r="A830" s="301"/>
      <c r="B830" s="260"/>
      <c r="C830" s="255"/>
      <c r="D830" s="301"/>
      <c r="E830" s="301"/>
      <c r="F830" s="298" t="s">
        <v>1</v>
      </c>
      <c r="G830" s="252" t="s">
        <v>1</v>
      </c>
      <c r="H830" s="298" t="s">
        <v>1</v>
      </c>
      <c r="I830" s="298" t="s">
        <v>1</v>
      </c>
      <c r="J830" s="298"/>
      <c r="K830" s="298" t="s">
        <v>1</v>
      </c>
      <c r="L830" s="298" t="s">
        <v>1</v>
      </c>
    </row>
    <row r="831" spans="1:12" ht="12">
      <c r="A831" s="301">
        <v>19</v>
      </c>
      <c r="B831" s="269" t="s">
        <v>328</v>
      </c>
      <c r="C831" s="255"/>
      <c r="D831" s="301">
        <v>19</v>
      </c>
      <c r="E831" s="301"/>
      <c r="G831" s="279">
        <f>SUM(G823:G829)-G825</f>
        <v>70101942.1</v>
      </c>
      <c r="I831" s="279">
        <f>SUM(I823:I829)-I825</f>
        <v>100150414.14</v>
      </c>
      <c r="J831" s="279"/>
      <c r="K831" s="303"/>
      <c r="L831" s="279">
        <f>SUM(L823:L829)-L825</f>
        <v>82247086</v>
      </c>
    </row>
    <row r="832" spans="1:12" ht="12">
      <c r="A832" s="301"/>
      <c r="B832" s="260"/>
      <c r="C832" s="255"/>
      <c r="D832" s="301"/>
      <c r="E832" s="301"/>
      <c r="F832" s="298" t="s">
        <v>1</v>
      </c>
      <c r="G832" s="252" t="s">
        <v>1</v>
      </c>
      <c r="H832" s="298" t="s">
        <v>1</v>
      </c>
      <c r="I832" s="298" t="s">
        <v>1</v>
      </c>
      <c r="J832" s="298"/>
      <c r="K832" s="298" t="s">
        <v>1</v>
      </c>
      <c r="L832" s="298" t="s">
        <v>1</v>
      </c>
    </row>
    <row r="833" spans="1:10" ht="12">
      <c r="A833" s="301"/>
      <c r="B833" s="255"/>
      <c r="C833" s="255"/>
      <c r="D833" s="301"/>
      <c r="E833" s="301"/>
      <c r="G833" s="5"/>
      <c r="I833" s="302"/>
      <c r="J833" s="302"/>
    </row>
    <row r="834" spans="1:12" ht="12">
      <c r="A834" s="301">
        <v>20</v>
      </c>
      <c r="B834" s="297" t="s">
        <v>329</v>
      </c>
      <c r="D834" s="301">
        <v>20</v>
      </c>
      <c r="E834" s="301"/>
      <c r="F834" s="300"/>
      <c r="G834" s="295">
        <f>SUM(G820,G831)</f>
        <v>70101942.1</v>
      </c>
      <c r="H834" s="300"/>
      <c r="I834" s="295">
        <f>SUM(I820,I831)</f>
        <v>100150414.14</v>
      </c>
      <c r="J834" s="295"/>
      <c r="K834" s="300"/>
      <c r="L834" s="295">
        <f>SUM(L820,L831)</f>
        <v>82247086</v>
      </c>
    </row>
    <row r="835" spans="2:12" ht="12">
      <c r="B835" s="297" t="s">
        <v>330</v>
      </c>
      <c r="D835" s="299"/>
      <c r="E835" s="299"/>
      <c r="F835" s="298" t="s">
        <v>1</v>
      </c>
      <c r="G835" s="252" t="s">
        <v>1</v>
      </c>
      <c r="H835" s="298" t="s">
        <v>1</v>
      </c>
      <c r="I835" s="298" t="s">
        <v>1</v>
      </c>
      <c r="J835" s="298"/>
      <c r="K835" s="298" t="s">
        <v>1</v>
      </c>
      <c r="L835" s="298" t="s">
        <v>1</v>
      </c>
    </row>
    <row r="836" ht="12">
      <c r="B836" s="297" t="s">
        <v>0</v>
      </c>
    </row>
    <row r="837" spans="1:12" ht="12">
      <c r="A837" s="292" t="s">
        <v>106</v>
      </c>
      <c r="B837" s="288"/>
      <c r="C837" s="287"/>
      <c r="H837" s="296"/>
      <c r="I837" s="295"/>
      <c r="J837" s="295"/>
      <c r="L837" s="294" t="s">
        <v>331</v>
      </c>
    </row>
    <row r="838" spans="1:12" ht="12">
      <c r="A838" s="459" t="s">
        <v>332</v>
      </c>
      <c r="B838" s="459"/>
      <c r="C838" s="459"/>
      <c r="D838" s="459"/>
      <c r="E838" s="459"/>
      <c r="F838" s="459"/>
      <c r="G838" s="459"/>
      <c r="H838" s="459"/>
      <c r="I838" s="459"/>
      <c r="J838" s="459"/>
      <c r="K838" s="459"/>
      <c r="L838" s="459"/>
    </row>
    <row r="839" spans="1:12" ht="12">
      <c r="A839" s="460" t="s">
        <v>166</v>
      </c>
      <c r="B839" s="460"/>
      <c r="C839" s="460"/>
      <c r="D839" s="460"/>
      <c r="E839" s="460"/>
      <c r="F839" s="460"/>
      <c r="G839" s="460"/>
      <c r="L839" s="291" t="s">
        <v>79</v>
      </c>
    </row>
    <row r="840" spans="1:12" ht="12">
      <c r="A840" s="283" t="s">
        <v>1</v>
      </c>
      <c r="B840" s="284" t="s">
        <v>1</v>
      </c>
      <c r="C840" s="283" t="s">
        <v>1</v>
      </c>
      <c r="D840" s="283" t="s">
        <v>1</v>
      </c>
      <c r="E840" s="283"/>
      <c r="F840" s="283" t="s">
        <v>1</v>
      </c>
      <c r="G840" s="283" t="s">
        <v>1</v>
      </c>
      <c r="H840" s="283" t="s">
        <v>1</v>
      </c>
      <c r="I840" s="283" t="s">
        <v>1</v>
      </c>
      <c r="J840" s="283"/>
      <c r="K840" s="283" t="s">
        <v>1</v>
      </c>
      <c r="L840" s="283" t="s">
        <v>1</v>
      </c>
    </row>
    <row r="841" spans="1:12" ht="12">
      <c r="A841" s="289" t="s">
        <v>2</v>
      </c>
      <c r="B841" s="288"/>
      <c r="C841" s="287"/>
      <c r="D841" s="289" t="s">
        <v>2</v>
      </c>
      <c r="E841" s="289"/>
      <c r="F841" s="461" t="s">
        <v>333</v>
      </c>
      <c r="G841" s="461"/>
      <c r="H841" s="461" t="s">
        <v>334</v>
      </c>
      <c r="I841" s="461"/>
      <c r="J841" s="290"/>
      <c r="K841" s="461" t="s">
        <v>335</v>
      </c>
      <c r="L841" s="461"/>
    </row>
    <row r="842" spans="1:12" ht="24">
      <c r="A842" s="289" t="s">
        <v>4</v>
      </c>
      <c r="B842" s="277" t="s">
        <v>336</v>
      </c>
      <c r="C842" s="272" t="s">
        <v>337</v>
      </c>
      <c r="D842" s="289" t="s">
        <v>4</v>
      </c>
      <c r="E842" s="289"/>
      <c r="F842" s="285" t="s">
        <v>338</v>
      </c>
      <c r="G842" s="285" t="s">
        <v>339</v>
      </c>
      <c r="H842" s="285" t="s">
        <v>338</v>
      </c>
      <c r="I842" s="285" t="s">
        <v>339</v>
      </c>
      <c r="J842" s="285"/>
      <c r="K842" s="285" t="s">
        <v>338</v>
      </c>
      <c r="L842" s="285" t="s">
        <v>339</v>
      </c>
    </row>
    <row r="843" spans="2:12" ht="12">
      <c r="B843" s="288"/>
      <c r="C843" s="272" t="s">
        <v>340</v>
      </c>
      <c r="D843" s="287"/>
      <c r="E843" s="287"/>
      <c r="F843" s="286" t="s">
        <v>341</v>
      </c>
      <c r="G843" s="285" t="s">
        <v>342</v>
      </c>
      <c r="H843" s="286" t="s">
        <v>341</v>
      </c>
      <c r="I843" s="285" t="s">
        <v>342</v>
      </c>
      <c r="J843" s="285"/>
      <c r="K843" s="286" t="s">
        <v>341</v>
      </c>
      <c r="L843" s="285" t="s">
        <v>342</v>
      </c>
    </row>
    <row r="844" spans="1:12" ht="12">
      <c r="A844" s="283" t="s">
        <v>1</v>
      </c>
      <c r="B844" s="284" t="s">
        <v>1</v>
      </c>
      <c r="C844" s="283" t="s">
        <v>1</v>
      </c>
      <c r="D844" s="283" t="s">
        <v>1</v>
      </c>
      <c r="E844" s="283"/>
      <c r="F844" s="14" t="s">
        <v>1</v>
      </c>
      <c r="G844" s="14" t="s">
        <v>1</v>
      </c>
      <c r="H844" s="14" t="s">
        <v>1</v>
      </c>
      <c r="I844" s="14" t="s">
        <v>1</v>
      </c>
      <c r="J844" s="14"/>
      <c r="K844" s="14" t="s">
        <v>1</v>
      </c>
      <c r="L844" s="271" t="s">
        <v>1</v>
      </c>
    </row>
    <row r="845" spans="1:12" ht="12">
      <c r="A845" s="280">
        <v>1</v>
      </c>
      <c r="B845" s="269" t="s">
        <v>343</v>
      </c>
      <c r="D845" s="280">
        <v>1</v>
      </c>
      <c r="E845" s="280"/>
      <c r="F845" s="279"/>
      <c r="G845" s="279"/>
      <c r="H845" s="279"/>
      <c r="I845" s="279"/>
      <c r="J845" s="279"/>
      <c r="K845" s="279"/>
      <c r="L845" s="279"/>
    </row>
    <row r="846" spans="1:10" ht="12">
      <c r="A846" s="280">
        <v>2</v>
      </c>
      <c r="B846" s="269" t="s">
        <v>344</v>
      </c>
      <c r="C846" s="269" t="s">
        <v>345</v>
      </c>
      <c r="D846" s="280">
        <v>2</v>
      </c>
      <c r="E846" s="280"/>
      <c r="F846" s="279">
        <f>7070000</f>
        <v>7070000</v>
      </c>
      <c r="G846" s="279">
        <f>19895263</f>
        <v>19895263</v>
      </c>
      <c r="H846" s="279"/>
      <c r="I846" s="279"/>
      <c r="J846" s="279"/>
    </row>
    <row r="847" spans="1:10" ht="12">
      <c r="A847" s="280">
        <v>3</v>
      </c>
      <c r="B847" s="269" t="s">
        <v>346</v>
      </c>
      <c r="C847" s="269" t="s">
        <v>345</v>
      </c>
      <c r="D847" s="280">
        <v>3</v>
      </c>
      <c r="E847" s="280"/>
      <c r="F847" s="279">
        <f>11559536</f>
        <v>11559536</v>
      </c>
      <c r="G847" s="279">
        <f>1284396</f>
        <v>1284396</v>
      </c>
      <c r="H847" s="279"/>
      <c r="I847" s="279"/>
      <c r="J847" s="279"/>
    </row>
    <row r="848" spans="1:10" ht="12">
      <c r="A848" s="280">
        <v>4</v>
      </c>
      <c r="B848" s="269" t="s">
        <v>347</v>
      </c>
      <c r="C848" s="269" t="s">
        <v>345</v>
      </c>
      <c r="D848" s="280">
        <v>4</v>
      </c>
      <c r="E848" s="280"/>
      <c r="F848" s="279">
        <f>8435946</f>
        <v>8435946</v>
      </c>
      <c r="G848" s="279"/>
      <c r="H848" s="279"/>
      <c r="I848" s="279"/>
      <c r="J848" s="279"/>
    </row>
    <row r="849" spans="1:10" ht="12">
      <c r="A849" s="280">
        <v>5</v>
      </c>
      <c r="B849" s="269" t="s">
        <v>348</v>
      </c>
      <c r="C849" s="269" t="s">
        <v>349</v>
      </c>
      <c r="D849" s="280">
        <v>5</v>
      </c>
      <c r="E849" s="280"/>
      <c r="F849" s="279"/>
      <c r="G849" s="279">
        <f>41295359</f>
        <v>41295359</v>
      </c>
      <c r="H849" s="279"/>
      <c r="I849" s="279"/>
      <c r="J849" s="279"/>
    </row>
    <row r="850" spans="1:10" ht="12">
      <c r="A850" s="280">
        <v>6</v>
      </c>
      <c r="B850" s="269" t="s">
        <v>350</v>
      </c>
      <c r="C850" s="269" t="s">
        <v>349</v>
      </c>
      <c r="D850" s="280">
        <v>6</v>
      </c>
      <c r="E850" s="280"/>
      <c r="F850" s="279"/>
      <c r="G850" s="279">
        <f>13894624</f>
        <v>13894624</v>
      </c>
      <c r="H850" s="279"/>
      <c r="I850" s="279"/>
      <c r="J850" s="279"/>
    </row>
    <row r="851" spans="1:10" ht="12">
      <c r="A851" s="280">
        <v>7</v>
      </c>
      <c r="B851" s="269" t="s">
        <v>351</v>
      </c>
      <c r="C851" s="269" t="s">
        <v>345</v>
      </c>
      <c r="D851" s="280">
        <v>7</v>
      </c>
      <c r="E851" s="280"/>
      <c r="F851" s="279"/>
      <c r="G851" s="279">
        <f>12888973</f>
        <v>12888973</v>
      </c>
      <c r="H851" s="279"/>
      <c r="I851" s="279"/>
      <c r="J851" s="279"/>
    </row>
    <row r="852" spans="1:10" ht="12">
      <c r="A852" s="280">
        <v>8</v>
      </c>
      <c r="B852" s="269" t="s">
        <v>352</v>
      </c>
      <c r="C852" s="269" t="s">
        <v>349</v>
      </c>
      <c r="D852" s="280">
        <v>8</v>
      </c>
      <c r="E852" s="280"/>
      <c r="F852" s="279"/>
      <c r="G852" s="279">
        <f>65595535</f>
        <v>65595535</v>
      </c>
      <c r="H852" s="279"/>
      <c r="I852" s="279"/>
      <c r="J852" s="279"/>
    </row>
    <row r="853" spans="1:10" ht="12">
      <c r="A853" s="280">
        <v>9</v>
      </c>
      <c r="B853" s="269" t="s">
        <v>353</v>
      </c>
      <c r="C853" s="269" t="s">
        <v>349</v>
      </c>
      <c r="D853" s="280">
        <v>9</v>
      </c>
      <c r="E853" s="280"/>
      <c r="G853" s="279">
        <f>75190106</f>
        <v>75190106</v>
      </c>
      <c r="H853" s="279"/>
      <c r="I853" s="279"/>
      <c r="J853" s="279"/>
    </row>
    <row r="854" spans="1:10" ht="12">
      <c r="A854" s="280">
        <v>10</v>
      </c>
      <c r="B854" s="269" t="s">
        <v>354</v>
      </c>
      <c r="C854" s="269" t="s">
        <v>349</v>
      </c>
      <c r="D854" s="280">
        <v>10</v>
      </c>
      <c r="E854" s="280"/>
      <c r="F854" s="279"/>
      <c r="G854" s="279">
        <f>5500000</f>
        <v>5500000</v>
      </c>
      <c r="H854" s="279"/>
      <c r="I854" s="279"/>
      <c r="J854" s="279"/>
    </row>
    <row r="855" spans="1:10" ht="12">
      <c r="A855" s="280">
        <v>11</v>
      </c>
      <c r="B855" s="269" t="s">
        <v>355</v>
      </c>
      <c r="C855" s="269" t="s">
        <v>349</v>
      </c>
      <c r="D855" s="280">
        <v>11</v>
      </c>
      <c r="E855" s="280"/>
      <c r="G855" s="279">
        <f>2021000</f>
        <v>2021000</v>
      </c>
      <c r="H855" s="279"/>
      <c r="I855" s="279"/>
      <c r="J855" s="279"/>
    </row>
    <row r="856" spans="1:10" ht="12">
      <c r="A856" s="280">
        <v>12</v>
      </c>
      <c r="B856" s="269" t="s">
        <v>356</v>
      </c>
      <c r="C856" s="269" t="s">
        <v>357</v>
      </c>
      <c r="D856" s="280">
        <v>12</v>
      </c>
      <c r="E856" s="280"/>
      <c r="F856" s="279"/>
      <c r="H856" s="279"/>
      <c r="I856" s="279">
        <f>9985000</f>
        <v>9985000</v>
      </c>
      <c r="J856" s="279"/>
    </row>
    <row r="857" spans="1:10" ht="12">
      <c r="A857" s="280">
        <v>13</v>
      </c>
      <c r="B857" s="269" t="s">
        <v>350</v>
      </c>
      <c r="C857" s="269" t="s">
        <v>357</v>
      </c>
      <c r="D857" s="280">
        <v>13</v>
      </c>
      <c r="E857" s="280"/>
      <c r="F857" s="279"/>
      <c r="H857" s="279"/>
      <c r="I857" s="279">
        <f>1805376</f>
        <v>1805376</v>
      </c>
      <c r="J857" s="279"/>
    </row>
    <row r="858" spans="1:10" ht="12">
      <c r="A858" s="280">
        <v>14</v>
      </c>
      <c r="B858" s="269" t="s">
        <v>358</v>
      </c>
      <c r="C858" s="269" t="s">
        <v>357</v>
      </c>
      <c r="D858" s="280">
        <v>14</v>
      </c>
      <c r="E858" s="280"/>
      <c r="F858" s="279"/>
      <c r="H858" s="279"/>
      <c r="I858" s="279">
        <f>51535000</f>
        <v>51535000</v>
      </c>
      <c r="J858" s="279"/>
    </row>
    <row r="859" spans="1:10" ht="12">
      <c r="A859" s="280">
        <v>15</v>
      </c>
      <c r="B859" s="269" t="s">
        <v>359</v>
      </c>
      <c r="C859" s="269" t="s">
        <v>357</v>
      </c>
      <c r="D859" s="280">
        <v>15</v>
      </c>
      <c r="E859" s="280"/>
      <c r="F859" s="279"/>
      <c r="H859" s="279"/>
      <c r="I859" s="279">
        <f>10925000</f>
        <v>10925000</v>
      </c>
      <c r="J859" s="279"/>
    </row>
    <row r="860" spans="1:12" ht="12">
      <c r="A860" s="280">
        <v>16</v>
      </c>
      <c r="D860" s="280">
        <v>16</v>
      </c>
      <c r="E860" s="280"/>
      <c r="F860" s="279"/>
      <c r="G860" s="279"/>
      <c r="H860" s="279"/>
      <c r="K860" s="279"/>
      <c r="L860" s="279"/>
    </row>
    <row r="861" spans="1:12" ht="12">
      <c r="A861" s="280">
        <v>17</v>
      </c>
      <c r="D861" s="280">
        <v>17</v>
      </c>
      <c r="E861" s="280"/>
      <c r="F861" s="279"/>
      <c r="G861" s="279"/>
      <c r="H861" s="279"/>
      <c r="K861" s="279"/>
      <c r="L861" s="279"/>
    </row>
    <row r="862" spans="1:12" ht="12">
      <c r="A862" s="280">
        <v>18</v>
      </c>
      <c r="D862" s="280">
        <v>18</v>
      </c>
      <c r="E862" s="280"/>
      <c r="F862" s="279"/>
      <c r="G862" s="279"/>
      <c r="H862" s="279"/>
      <c r="K862" s="279"/>
      <c r="L862" s="279"/>
    </row>
    <row r="863" spans="1:11" ht="12">
      <c r="A863" s="280">
        <v>19</v>
      </c>
      <c r="D863" s="280">
        <v>19</v>
      </c>
      <c r="E863" s="280"/>
      <c r="K863" s="279"/>
    </row>
    <row r="864" spans="1:11" ht="12">
      <c r="A864" s="280">
        <v>20</v>
      </c>
      <c r="D864" s="280">
        <v>20</v>
      </c>
      <c r="E864" s="280"/>
      <c r="K864" s="279"/>
    </row>
    <row r="865" spans="1:11" ht="12">
      <c r="A865" s="280">
        <v>21</v>
      </c>
      <c r="D865" s="280">
        <v>21</v>
      </c>
      <c r="E865" s="280"/>
      <c r="K865" s="279"/>
    </row>
    <row r="866" spans="1:11" ht="12">
      <c r="A866" s="280">
        <v>22</v>
      </c>
      <c r="D866" s="280">
        <v>22</v>
      </c>
      <c r="E866" s="280"/>
      <c r="H866" s="279"/>
      <c r="I866" s="279"/>
      <c r="J866" s="279"/>
      <c r="K866" s="279"/>
    </row>
    <row r="867" spans="1:12" ht="12">
      <c r="A867" s="280">
        <v>23</v>
      </c>
      <c r="D867" s="280">
        <v>23</v>
      </c>
      <c r="E867" s="280"/>
      <c r="H867" s="279"/>
      <c r="I867" s="279"/>
      <c r="J867" s="279"/>
      <c r="K867" s="279"/>
      <c r="L867" s="279"/>
    </row>
    <row r="868" spans="1:12" ht="12">
      <c r="A868" s="269">
        <v>24</v>
      </c>
      <c r="D868" s="269">
        <v>24</v>
      </c>
      <c r="H868" s="279"/>
      <c r="I868" s="279"/>
      <c r="J868" s="279"/>
      <c r="K868" s="279"/>
      <c r="L868" s="279"/>
    </row>
    <row r="869" spans="1:12" ht="12">
      <c r="A869" s="269">
        <v>25</v>
      </c>
      <c r="D869" s="269">
        <v>25</v>
      </c>
      <c r="H869" s="279"/>
      <c r="I869" s="279"/>
      <c r="J869" s="279"/>
      <c r="K869" s="279"/>
      <c r="L869" s="279"/>
    </row>
    <row r="870" spans="1:12" ht="12">
      <c r="A870" s="269" t="s">
        <v>360</v>
      </c>
      <c r="H870" s="279"/>
      <c r="I870" s="279"/>
      <c r="J870" s="279"/>
      <c r="K870" s="279"/>
      <c r="L870" s="279"/>
    </row>
    <row r="871" spans="8:12" ht="12">
      <c r="H871" s="279"/>
      <c r="I871" s="279"/>
      <c r="J871" s="279"/>
      <c r="K871" s="279"/>
      <c r="L871" s="279"/>
    </row>
    <row r="872" spans="1:12" ht="12">
      <c r="A872" s="273" t="s">
        <v>361</v>
      </c>
      <c r="H872" s="279"/>
      <c r="I872" s="279"/>
      <c r="J872" s="279"/>
      <c r="K872" s="279"/>
      <c r="L872" s="279"/>
    </row>
    <row r="873" spans="1:12" ht="12">
      <c r="A873" s="269" t="s">
        <v>362</v>
      </c>
      <c r="C873" s="252"/>
      <c r="D873" s="252"/>
      <c r="E873" s="252"/>
      <c r="F873" s="271"/>
      <c r="G873" s="271"/>
      <c r="H873" s="270"/>
      <c r="I873" s="270"/>
      <c r="J873" s="270"/>
      <c r="K873" s="270"/>
      <c r="L873" s="270"/>
    </row>
    <row r="874" spans="3:12" ht="12">
      <c r="C874" s="252"/>
      <c r="D874" s="252"/>
      <c r="E874" s="252"/>
      <c r="F874" s="271"/>
      <c r="G874" s="271"/>
      <c r="H874" s="270"/>
      <c r="I874" s="270"/>
      <c r="J874" s="270"/>
      <c r="K874" s="270"/>
      <c r="L874" s="270"/>
    </row>
    <row r="875" spans="2:10" ht="12">
      <c r="B875" s="288"/>
      <c r="C875" s="287"/>
      <c r="H875" s="296"/>
      <c r="I875" s="295"/>
      <c r="J875" s="295"/>
    </row>
    <row r="876" spans="1:12" ht="12">
      <c r="A876" s="292" t="s">
        <v>106</v>
      </c>
      <c r="B876" s="288"/>
      <c r="C876" s="287"/>
      <c r="H876" s="296"/>
      <c r="I876" s="295"/>
      <c r="J876" s="295"/>
      <c r="L876" s="294" t="s">
        <v>331</v>
      </c>
    </row>
    <row r="877" spans="1:12" ht="12">
      <c r="A877" s="459" t="s">
        <v>363</v>
      </c>
      <c r="B877" s="459"/>
      <c r="C877" s="459"/>
      <c r="D877" s="459"/>
      <c r="E877" s="459"/>
      <c r="F877" s="459"/>
      <c r="G877" s="459"/>
      <c r="H877" s="459"/>
      <c r="I877" s="459"/>
      <c r="J877" s="459"/>
      <c r="K877" s="459"/>
      <c r="L877" s="459"/>
    </row>
    <row r="878" spans="1:12" ht="12">
      <c r="A878" s="460" t="s">
        <v>166</v>
      </c>
      <c r="B878" s="460"/>
      <c r="C878" s="460"/>
      <c r="D878" s="460"/>
      <c r="E878" s="460"/>
      <c r="F878" s="460"/>
      <c r="G878" s="460"/>
      <c r="L878" s="291" t="s">
        <v>79</v>
      </c>
    </row>
    <row r="879" spans="1:12" ht="12">
      <c r="A879" s="283" t="s">
        <v>1</v>
      </c>
      <c r="B879" s="284" t="s">
        <v>1</v>
      </c>
      <c r="C879" s="283" t="s">
        <v>1</v>
      </c>
      <c r="D879" s="283" t="s">
        <v>1</v>
      </c>
      <c r="E879" s="283"/>
      <c r="F879" s="283" t="s">
        <v>1</v>
      </c>
      <c r="G879" s="283" t="s">
        <v>1</v>
      </c>
      <c r="H879" s="283" t="s">
        <v>1</v>
      </c>
      <c r="I879" s="283" t="s">
        <v>1</v>
      </c>
      <c r="J879" s="283"/>
      <c r="K879" s="283" t="s">
        <v>1</v>
      </c>
      <c r="L879" s="283" t="s">
        <v>1</v>
      </c>
    </row>
    <row r="880" spans="1:12" ht="12">
      <c r="A880" s="289" t="s">
        <v>2</v>
      </c>
      <c r="B880" s="288"/>
      <c r="C880" s="287"/>
      <c r="D880" s="289" t="s">
        <v>2</v>
      </c>
      <c r="E880" s="289"/>
      <c r="F880" s="461" t="s">
        <v>333</v>
      </c>
      <c r="G880" s="461"/>
      <c r="H880" s="461" t="s">
        <v>334</v>
      </c>
      <c r="I880" s="461"/>
      <c r="J880" s="290"/>
      <c r="K880" s="461" t="s">
        <v>335</v>
      </c>
      <c r="L880" s="461"/>
    </row>
    <row r="881" spans="1:12" ht="24">
      <c r="A881" s="289" t="s">
        <v>4</v>
      </c>
      <c r="B881" s="277" t="s">
        <v>336</v>
      </c>
      <c r="C881" s="272" t="s">
        <v>337</v>
      </c>
      <c r="D881" s="289" t="s">
        <v>4</v>
      </c>
      <c r="E881" s="289"/>
      <c r="F881" s="285" t="s">
        <v>338</v>
      </c>
      <c r="G881" s="285" t="s">
        <v>339</v>
      </c>
      <c r="H881" s="285" t="s">
        <v>338</v>
      </c>
      <c r="I881" s="285" t="s">
        <v>339</v>
      </c>
      <c r="J881" s="285"/>
      <c r="K881" s="285" t="s">
        <v>338</v>
      </c>
      <c r="L881" s="285" t="s">
        <v>339</v>
      </c>
    </row>
    <row r="882" spans="2:12" ht="12">
      <c r="B882" s="288"/>
      <c r="C882" s="272" t="s">
        <v>340</v>
      </c>
      <c r="D882" s="287"/>
      <c r="E882" s="287"/>
      <c r="F882" s="286" t="s">
        <v>341</v>
      </c>
      <c r="G882" s="285" t="s">
        <v>342</v>
      </c>
      <c r="H882" s="286" t="s">
        <v>341</v>
      </c>
      <c r="I882" s="285" t="s">
        <v>342</v>
      </c>
      <c r="J882" s="285"/>
      <c r="K882" s="286" t="s">
        <v>341</v>
      </c>
      <c r="L882" s="285" t="s">
        <v>342</v>
      </c>
    </row>
    <row r="883" spans="1:12" ht="12">
      <c r="A883" s="283" t="s">
        <v>1</v>
      </c>
      <c r="B883" s="284" t="s">
        <v>1</v>
      </c>
      <c r="C883" s="283" t="s">
        <v>1</v>
      </c>
      <c r="D883" s="283" t="s">
        <v>1</v>
      </c>
      <c r="E883" s="283"/>
      <c r="F883" s="14" t="s">
        <v>1</v>
      </c>
      <c r="G883" s="14" t="s">
        <v>1</v>
      </c>
      <c r="H883" s="14" t="s">
        <v>1</v>
      </c>
      <c r="I883" s="14" t="s">
        <v>1</v>
      </c>
      <c r="J883" s="14"/>
      <c r="K883" s="14" t="s">
        <v>1</v>
      </c>
      <c r="L883" s="271" t="s">
        <v>1</v>
      </c>
    </row>
    <row r="884" spans="1:12" ht="12">
      <c r="A884" s="280">
        <v>26</v>
      </c>
      <c r="B884" s="282" t="s">
        <v>364</v>
      </c>
      <c r="C884" s="281"/>
      <c r="D884" s="280">
        <v>26</v>
      </c>
      <c r="E884" s="280"/>
      <c r="L884" s="279"/>
    </row>
    <row r="885" spans="1:12" ht="12">
      <c r="A885" s="280">
        <v>27</v>
      </c>
      <c r="B885" s="269" t="s">
        <v>365</v>
      </c>
      <c r="C885" s="269" t="s">
        <v>345</v>
      </c>
      <c r="D885" s="280">
        <v>27</v>
      </c>
      <c r="E885" s="280"/>
      <c r="F885" s="279">
        <f>529720</f>
        <v>529720</v>
      </c>
      <c r="G885" s="279"/>
      <c r="H885" s="279"/>
      <c r="L885" s="279"/>
    </row>
    <row r="886" spans="1:12" ht="12">
      <c r="A886" s="280">
        <v>28</v>
      </c>
      <c r="B886" s="269" t="s">
        <v>366</v>
      </c>
      <c r="C886" s="269" t="s">
        <v>345</v>
      </c>
      <c r="D886" s="280">
        <v>28</v>
      </c>
      <c r="E886" s="280"/>
      <c r="F886" s="279">
        <f>976767</f>
        <v>976767</v>
      </c>
      <c r="G886" s="279"/>
      <c r="H886" s="279"/>
      <c r="L886" s="279"/>
    </row>
    <row r="887" spans="1:12" ht="12">
      <c r="A887" s="280">
        <v>29</v>
      </c>
      <c r="B887" s="269" t="s">
        <v>367</v>
      </c>
      <c r="C887" s="269" t="s">
        <v>345</v>
      </c>
      <c r="D887" s="280">
        <v>29</v>
      </c>
      <c r="E887" s="280"/>
      <c r="F887" s="279">
        <f>418063</f>
        <v>418063</v>
      </c>
      <c r="G887" s="279"/>
      <c r="H887" s="279"/>
      <c r="L887" s="279"/>
    </row>
    <row r="888" spans="1:12" ht="12">
      <c r="A888" s="280">
        <v>30</v>
      </c>
      <c r="B888" s="269" t="s">
        <v>368</v>
      </c>
      <c r="C888" s="269" t="s">
        <v>369</v>
      </c>
      <c r="D888" s="280">
        <v>30</v>
      </c>
      <c r="E888" s="280"/>
      <c r="G888" s="279"/>
      <c r="H888" s="279">
        <f>1596097</f>
        <v>1596097</v>
      </c>
      <c r="L888" s="279"/>
    </row>
    <row r="889" spans="1:12" ht="12">
      <c r="A889" s="280">
        <v>31</v>
      </c>
      <c r="B889" s="269" t="s">
        <v>370</v>
      </c>
      <c r="C889" s="269" t="s">
        <v>369</v>
      </c>
      <c r="D889" s="280">
        <v>31</v>
      </c>
      <c r="E889" s="280"/>
      <c r="G889" s="279"/>
      <c r="H889" s="279">
        <f>871530</f>
        <v>871530</v>
      </c>
      <c r="L889" s="279"/>
    </row>
    <row r="890" spans="1:12" ht="12">
      <c r="A890" s="280">
        <v>32</v>
      </c>
      <c r="B890" s="269" t="s">
        <v>371</v>
      </c>
      <c r="C890" s="269" t="s">
        <v>372</v>
      </c>
      <c r="D890" s="280">
        <v>32</v>
      </c>
      <c r="E890" s="280"/>
      <c r="F890" s="279"/>
      <c r="G890" s="279"/>
      <c r="H890" s="279"/>
      <c r="I890" s="279"/>
      <c r="J890" s="279"/>
      <c r="K890" s="279"/>
      <c r="L890" s="279">
        <f>518063</f>
        <v>518063</v>
      </c>
    </row>
    <row r="891" spans="1:12" ht="12">
      <c r="A891" s="280">
        <v>33</v>
      </c>
      <c r="D891" s="280">
        <v>33</v>
      </c>
      <c r="E891" s="280"/>
      <c r="F891" s="279"/>
      <c r="G891" s="279"/>
      <c r="H891" s="279"/>
      <c r="I891" s="279"/>
      <c r="J891" s="279"/>
      <c r="K891" s="279"/>
      <c r="L891" s="279"/>
    </row>
    <row r="892" spans="1:12" ht="12">
      <c r="A892" s="280">
        <v>34</v>
      </c>
      <c r="D892" s="280">
        <v>34</v>
      </c>
      <c r="E892" s="280"/>
      <c r="F892" s="279"/>
      <c r="H892" s="279"/>
      <c r="I892" s="279"/>
      <c r="J892" s="279"/>
      <c r="K892" s="279"/>
      <c r="L892" s="279"/>
    </row>
    <row r="893" spans="1:12" ht="12">
      <c r="A893" s="280">
        <v>35</v>
      </c>
      <c r="D893" s="280">
        <v>35</v>
      </c>
      <c r="E893" s="280"/>
      <c r="F893" s="279"/>
      <c r="L893" s="279"/>
    </row>
    <row r="894" spans="1:12" ht="12">
      <c r="A894" s="280">
        <v>36</v>
      </c>
      <c r="D894" s="280">
        <v>36</v>
      </c>
      <c r="E894" s="280"/>
      <c r="F894" s="279"/>
      <c r="L894" s="279"/>
    </row>
    <row r="895" spans="1:12" ht="12">
      <c r="A895" s="280">
        <v>37</v>
      </c>
      <c r="D895" s="280">
        <v>37</v>
      </c>
      <c r="E895" s="280"/>
      <c r="F895" s="279"/>
      <c r="L895" s="279"/>
    </row>
    <row r="896" spans="1:12" ht="12">
      <c r="A896" s="280">
        <v>38</v>
      </c>
      <c r="D896" s="280">
        <v>38</v>
      </c>
      <c r="E896" s="280"/>
      <c r="L896" s="279"/>
    </row>
    <row r="897" spans="1:12" ht="12">
      <c r="A897" s="280">
        <v>39</v>
      </c>
      <c r="D897" s="280">
        <v>39</v>
      </c>
      <c r="E897" s="280"/>
      <c r="L897" s="279"/>
    </row>
    <row r="898" spans="1:12" ht="12">
      <c r="A898" s="280">
        <v>40</v>
      </c>
      <c r="D898" s="280">
        <v>40</v>
      </c>
      <c r="E898" s="280"/>
      <c r="I898" s="279"/>
      <c r="J898" s="279"/>
      <c r="K898" s="279"/>
      <c r="L898" s="279"/>
    </row>
    <row r="899" spans="1:12" ht="12">
      <c r="A899" s="280">
        <v>41</v>
      </c>
      <c r="D899" s="280">
        <v>41</v>
      </c>
      <c r="E899" s="280"/>
      <c r="H899" s="279"/>
      <c r="I899" s="279"/>
      <c r="J899" s="279"/>
      <c r="K899" s="279"/>
      <c r="L899" s="279"/>
    </row>
    <row r="900" spans="1:12" ht="12">
      <c r="A900" s="280">
        <v>42</v>
      </c>
      <c r="D900" s="280">
        <v>42</v>
      </c>
      <c r="E900" s="280"/>
      <c r="H900" s="279"/>
      <c r="I900" s="279"/>
      <c r="J900" s="279"/>
      <c r="K900" s="279"/>
      <c r="L900" s="279"/>
    </row>
    <row r="901" spans="1:12" ht="12">
      <c r="A901" s="275">
        <v>43</v>
      </c>
      <c r="D901" s="275">
        <v>43</v>
      </c>
      <c r="E901" s="275"/>
      <c r="H901" s="279"/>
      <c r="I901" s="279"/>
      <c r="J901" s="279"/>
      <c r="K901" s="279"/>
      <c r="L901" s="279"/>
    </row>
    <row r="902" spans="1:12" ht="12">
      <c r="A902" s="275">
        <v>44</v>
      </c>
      <c r="D902" s="275">
        <v>44</v>
      </c>
      <c r="E902" s="275"/>
      <c r="H902" s="279"/>
      <c r="I902" s="279"/>
      <c r="J902" s="279"/>
      <c r="K902" s="279"/>
      <c r="L902" s="279"/>
    </row>
    <row r="903" spans="1:12" ht="12">
      <c r="A903" s="275">
        <v>45</v>
      </c>
      <c r="D903" s="275">
        <v>45</v>
      </c>
      <c r="E903" s="275"/>
      <c r="H903" s="279"/>
      <c r="I903" s="279"/>
      <c r="J903" s="279"/>
      <c r="K903" s="279"/>
      <c r="L903" s="279"/>
    </row>
    <row r="904" spans="1:12" ht="12">
      <c r="A904" s="275">
        <v>46</v>
      </c>
      <c r="D904" s="275">
        <v>46</v>
      </c>
      <c r="E904" s="275"/>
      <c r="H904" s="279"/>
      <c r="I904" s="279"/>
      <c r="J904" s="279"/>
      <c r="K904" s="279"/>
      <c r="L904" s="279"/>
    </row>
    <row r="905" spans="1:12" ht="12">
      <c r="A905" s="275">
        <v>47</v>
      </c>
      <c r="D905" s="275">
        <v>47</v>
      </c>
      <c r="E905" s="275"/>
      <c r="H905" s="279"/>
      <c r="I905" s="279"/>
      <c r="J905" s="279"/>
      <c r="K905" s="279"/>
      <c r="L905" s="279"/>
    </row>
    <row r="906" spans="1:12" ht="12">
      <c r="A906" s="275">
        <v>48</v>
      </c>
      <c r="D906" s="275">
        <v>48</v>
      </c>
      <c r="E906" s="275"/>
      <c r="H906" s="279"/>
      <c r="I906" s="279"/>
      <c r="J906" s="279"/>
      <c r="K906" s="279"/>
      <c r="L906" s="279"/>
    </row>
    <row r="907" spans="1:12" ht="12">
      <c r="A907" s="275">
        <v>49</v>
      </c>
      <c r="D907" s="275">
        <v>49</v>
      </c>
      <c r="E907" s="275"/>
      <c r="H907" s="279"/>
      <c r="I907" s="279"/>
      <c r="J907" s="279"/>
      <c r="K907" s="279"/>
      <c r="L907" s="279"/>
    </row>
    <row r="908" spans="1:12" ht="12">
      <c r="A908" s="278" t="s">
        <v>1</v>
      </c>
      <c r="B908" s="18" t="s">
        <v>1</v>
      </c>
      <c r="C908" s="18" t="s">
        <v>1</v>
      </c>
      <c r="D908" s="278"/>
      <c r="E908" s="278"/>
      <c r="F908" s="271" t="s">
        <v>1</v>
      </c>
      <c r="G908" s="271" t="s">
        <v>1</v>
      </c>
      <c r="H908" s="270" t="s">
        <v>1</v>
      </c>
      <c r="I908" s="270" t="s">
        <v>1</v>
      </c>
      <c r="J908" s="270"/>
      <c r="K908" s="270" t="s">
        <v>1</v>
      </c>
      <c r="L908" s="270" t="s">
        <v>1</v>
      </c>
    </row>
    <row r="909" spans="1:12" ht="12">
      <c r="A909" s="275">
        <v>50</v>
      </c>
      <c r="B909" s="277" t="s">
        <v>373</v>
      </c>
      <c r="C909" s="276"/>
      <c r="D909" s="275">
        <v>50</v>
      </c>
      <c r="E909" s="275"/>
      <c r="F909" s="274">
        <f>SUM(F845:F908)</f>
        <v>28990032</v>
      </c>
      <c r="G909" s="274">
        <f>SUM(G845:G908)</f>
        <v>237565256</v>
      </c>
      <c r="H909" s="274">
        <f>SUM(H845:H908)</f>
        <v>2467627</v>
      </c>
      <c r="I909" s="274">
        <f>SUM(I845:I908)</f>
        <v>74250376</v>
      </c>
      <c r="J909" s="274"/>
      <c r="K909" s="274">
        <f>SUM(K845:K908)</f>
        <v>0</v>
      </c>
      <c r="L909" s="274">
        <f>SUM(L845:L908)</f>
        <v>518063</v>
      </c>
    </row>
    <row r="910" spans="1:12" ht="12">
      <c r="A910" s="252" t="s">
        <v>1</v>
      </c>
      <c r="B910" s="252" t="s">
        <v>1</v>
      </c>
      <c r="C910" s="252" t="s">
        <v>1</v>
      </c>
      <c r="D910" s="252"/>
      <c r="E910" s="252"/>
      <c r="F910" s="271" t="s">
        <v>1</v>
      </c>
      <c r="G910" s="271" t="s">
        <v>1</v>
      </c>
      <c r="H910" s="270" t="s">
        <v>1</v>
      </c>
      <c r="I910" s="270" t="s">
        <v>1</v>
      </c>
      <c r="J910" s="270"/>
      <c r="K910" s="270" t="s">
        <v>1</v>
      </c>
      <c r="L910" s="270" t="s">
        <v>1</v>
      </c>
    </row>
    <row r="911" spans="1:12" ht="12">
      <c r="A911" s="273" t="s">
        <v>361</v>
      </c>
      <c r="B911" s="252"/>
      <c r="C911" s="252"/>
      <c r="D911" s="252"/>
      <c r="E911" s="252"/>
      <c r="F911" s="271"/>
      <c r="G911" s="271"/>
      <c r="H911" s="270"/>
      <c r="I911" s="270"/>
      <c r="J911" s="270"/>
      <c r="K911" s="270"/>
      <c r="L911" s="270"/>
    </row>
    <row r="912" spans="1:12" ht="12">
      <c r="A912" s="269" t="s">
        <v>362</v>
      </c>
      <c r="C912" s="252"/>
      <c r="D912" s="252"/>
      <c r="E912" s="252"/>
      <c r="F912" s="271"/>
      <c r="G912" s="271"/>
      <c r="H912" s="270"/>
      <c r="I912" s="270"/>
      <c r="J912" s="270"/>
      <c r="K912" s="270"/>
      <c r="L912" s="270"/>
    </row>
    <row r="913" spans="1:12" ht="12">
      <c r="A913" s="269" t="s">
        <v>374</v>
      </c>
      <c r="B913" s="272"/>
      <c r="C913" s="252"/>
      <c r="D913" s="252"/>
      <c r="E913" s="252"/>
      <c r="F913" s="271"/>
      <c r="G913" s="271"/>
      <c r="H913" s="270"/>
      <c r="I913" s="270"/>
      <c r="J913" s="270"/>
      <c r="K913" s="270"/>
      <c r="L913" s="270"/>
    </row>
  </sheetData>
  <sheetProtection/>
  <mergeCells count="36">
    <mergeCell ref="A3:L3"/>
    <mergeCell ref="A6:L6"/>
    <mergeCell ref="A7:L7"/>
    <mergeCell ref="A18:L18"/>
    <mergeCell ref="A839:G839"/>
    <mergeCell ref="A408:L408"/>
    <mergeCell ref="A587:L587"/>
    <mergeCell ref="A622:L622"/>
    <mergeCell ref="A552:L552"/>
    <mergeCell ref="A481:L481"/>
    <mergeCell ref="A516:L516"/>
    <mergeCell ref="A299:L299"/>
    <mergeCell ref="A335:L335"/>
    <mergeCell ref="A804:L804"/>
    <mergeCell ref="A657:L657"/>
    <mergeCell ref="A730:L730"/>
    <mergeCell ref="A768:L768"/>
    <mergeCell ref="A32:L32"/>
    <mergeCell ref="A443:L443"/>
    <mergeCell ref="A72:L72"/>
    <mergeCell ref="A112:L112"/>
    <mergeCell ref="A150:L150"/>
    <mergeCell ref="A184:L184"/>
    <mergeCell ref="A220:L220"/>
    <mergeCell ref="A264:L264"/>
    <mergeCell ref="A373:L373"/>
    <mergeCell ref="A877:L877"/>
    <mergeCell ref="A878:G878"/>
    <mergeCell ref="F880:G880"/>
    <mergeCell ref="H880:I880"/>
    <mergeCell ref="K880:L880"/>
    <mergeCell ref="A696:L696"/>
    <mergeCell ref="H841:I841"/>
    <mergeCell ref="K841:L841"/>
    <mergeCell ref="A838:L838"/>
    <mergeCell ref="F841:G841"/>
  </mergeCells>
  <printOptions horizontalCentered="1"/>
  <pageMargins left="0.3" right="0.3" top="1" bottom="1" header="0.5" footer="0.74"/>
  <pageSetup fitToHeight="25" horizontalDpi="600" verticalDpi="600" orientation="landscape" scale="85" r:id="rId1"/>
  <rowBreaks count="24" manualBreakCount="24">
    <brk id="30" max="255" man="1"/>
    <brk id="70" max="255" man="1"/>
    <brk id="110" max="255" man="1"/>
    <brk id="148" max="255" man="1"/>
    <brk id="182" max="11" man="1"/>
    <brk id="218" max="11" man="1"/>
    <brk id="262" max="11" man="1"/>
    <brk id="297" max="11" man="1"/>
    <brk id="333" max="11" man="1"/>
    <brk id="371" max="11" man="1"/>
    <brk id="406" max="11" man="1"/>
    <brk id="441" max="11" man="1"/>
    <brk id="479" max="11" man="1"/>
    <brk id="514" max="11" man="1"/>
    <brk id="550" max="11" man="1"/>
    <brk id="585" max="11" man="1"/>
    <brk id="620" max="11" man="1"/>
    <brk id="655" max="11" man="1"/>
    <brk id="694" max="11" man="1"/>
    <brk id="728" max="11" man="1"/>
    <brk id="766" max="11" man="1"/>
    <brk id="802" max="11" man="1"/>
    <brk id="836" max="11" man="1"/>
    <brk id="875" max="11" man="1"/>
  </rowBreaks>
  <ignoredErrors>
    <ignoredError sqref="G56:G5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T970"/>
  <sheetViews>
    <sheetView showGridLines="0" view="pageBreakPreview" zoomScale="75" zoomScaleNormal="75" zoomScaleSheetLayoutView="75" workbookViewId="0" topLeftCell="A1">
      <selection activeCell="A1" sqref="A1"/>
    </sheetView>
  </sheetViews>
  <sheetFormatPr defaultColWidth="9.00390625" defaultRowHeight="12.75"/>
  <cols>
    <col min="1" max="1" width="5.125" style="5" customWidth="1"/>
    <col min="2" max="2" width="33.00390625" style="5" customWidth="1"/>
    <col min="3" max="3" width="18.75390625" style="5" customWidth="1"/>
    <col min="4" max="4" width="6.00390625" style="5" customWidth="1"/>
    <col min="5" max="5" width="5.50390625" style="5" customWidth="1"/>
    <col min="6" max="6" width="9.875" style="5" customWidth="1"/>
    <col min="7" max="7" width="13.75390625" style="5" customWidth="1"/>
    <col min="8" max="8" width="10.00390625" style="26" customWidth="1"/>
    <col min="9" max="9" width="9.75390625" style="16" customWidth="1"/>
    <col min="10" max="10" width="3.625" style="5" customWidth="1"/>
    <col min="11" max="11" width="10.00390625" style="26" customWidth="1"/>
    <col min="12" max="12" width="12.375" style="16" customWidth="1"/>
    <col min="13" max="16384" width="9.00390625" style="5" customWidth="1"/>
  </cols>
  <sheetData>
    <row r="1" ht="12">
      <c r="L1" s="391" t="s">
        <v>629</v>
      </c>
    </row>
    <row r="2" ht="12">
      <c r="L2" s="392" t="s">
        <v>71</v>
      </c>
    </row>
    <row r="3" ht="12"/>
    <row r="4" spans="1:12" ht="45">
      <c r="A4" s="450" t="s">
        <v>35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</row>
    <row r="5" ht="12"/>
    <row r="6" ht="12"/>
    <row r="7" spans="1:12" s="29" customFormat="1" ht="33">
      <c r="A7" s="451" t="s">
        <v>72</v>
      </c>
      <c r="B7" s="451"/>
      <c r="C7" s="451"/>
      <c r="D7" s="451"/>
      <c r="E7" s="451"/>
      <c r="F7" s="451"/>
      <c r="G7" s="451"/>
      <c r="H7" s="451"/>
      <c r="I7" s="451"/>
      <c r="J7" s="451"/>
      <c r="K7" s="451"/>
      <c r="L7" s="451"/>
    </row>
    <row r="8" spans="1:12" s="29" customFormat="1" ht="33">
      <c r="A8" s="451" t="s">
        <v>73</v>
      </c>
      <c r="B8" s="451"/>
      <c r="C8" s="451"/>
      <c r="D8" s="451"/>
      <c r="E8" s="451"/>
      <c r="F8" s="451"/>
      <c r="G8" s="451"/>
      <c r="H8" s="451"/>
      <c r="I8" s="451"/>
      <c r="J8" s="451"/>
      <c r="K8" s="451"/>
      <c r="L8" s="451"/>
    </row>
    <row r="9" ht="12"/>
    <row r="10" ht="12"/>
    <row r="11" ht="12"/>
    <row r="12" ht="12"/>
    <row r="13" ht="12"/>
    <row r="14" ht="12"/>
    <row r="15" ht="12"/>
    <row r="16" ht="12"/>
    <row r="17" ht="12"/>
    <row r="18" ht="12"/>
    <row r="19" spans="1:12" ht="45">
      <c r="A19" s="452" t="s">
        <v>632</v>
      </c>
      <c r="B19" s="452"/>
      <c r="C19" s="452"/>
      <c r="D19" s="452"/>
      <c r="E19" s="452"/>
      <c r="F19" s="452"/>
      <c r="G19" s="452"/>
      <c r="H19" s="452"/>
      <c r="I19" s="452"/>
      <c r="J19" s="452"/>
      <c r="K19" s="452"/>
      <c r="L19" s="452"/>
    </row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spans="1:12" ht="12">
      <c r="A31" s="32" t="s">
        <v>376</v>
      </c>
      <c r="H31" s="6"/>
      <c r="L31" s="31" t="s">
        <v>76</v>
      </c>
    </row>
    <row r="32" spans="1:12" s="394" customFormat="1" ht="12">
      <c r="A32" s="448" t="s">
        <v>77</v>
      </c>
      <c r="B32" s="448"/>
      <c r="C32" s="448"/>
      <c r="D32" s="448"/>
      <c r="E32" s="448"/>
      <c r="F32" s="448"/>
      <c r="G32" s="448"/>
      <c r="H32" s="448"/>
      <c r="I32" s="448"/>
      <c r="J32" s="448"/>
      <c r="K32" s="448"/>
      <c r="L32" s="448"/>
    </row>
    <row r="33" spans="1:12" ht="12">
      <c r="A33" s="292" t="s">
        <v>633</v>
      </c>
      <c r="H33" s="6"/>
      <c r="J33" s="33"/>
      <c r="K33" s="6"/>
      <c r="L33" s="34" t="str">
        <f>$L$2</f>
        <v>Date: 10/1/2010</v>
      </c>
    </row>
    <row r="34" spans="1:12" ht="12">
      <c r="A34" s="14" t="s">
        <v>1</v>
      </c>
      <c r="B34" s="14" t="s">
        <v>1</v>
      </c>
      <c r="C34" s="14" t="s">
        <v>1</v>
      </c>
      <c r="D34" s="14" t="s">
        <v>1</v>
      </c>
      <c r="E34" s="14" t="s">
        <v>1</v>
      </c>
      <c r="F34" s="14"/>
      <c r="G34" s="14"/>
      <c r="H34" s="15" t="s">
        <v>1</v>
      </c>
      <c r="I34" s="18" t="s">
        <v>1</v>
      </c>
      <c r="J34" s="14" t="s">
        <v>1</v>
      </c>
      <c r="K34" s="15" t="s">
        <v>1</v>
      </c>
      <c r="L34" s="18" t="s">
        <v>1</v>
      </c>
    </row>
    <row r="35" spans="1:12" ht="12">
      <c r="A35" s="35" t="s">
        <v>2</v>
      </c>
      <c r="B35" s="4" t="s">
        <v>3</v>
      </c>
      <c r="D35" s="35" t="s">
        <v>2</v>
      </c>
      <c r="E35" s="1"/>
      <c r="F35" s="1"/>
      <c r="G35" s="1" t="s">
        <v>62</v>
      </c>
      <c r="H35" s="2"/>
      <c r="I35" s="3" t="s">
        <v>65</v>
      </c>
      <c r="J35" s="1"/>
      <c r="K35" s="2"/>
      <c r="L35" s="3" t="s">
        <v>70</v>
      </c>
    </row>
    <row r="36" spans="1:12" ht="12">
      <c r="A36" s="35" t="s">
        <v>4</v>
      </c>
      <c r="B36" s="36" t="s">
        <v>5</v>
      </c>
      <c r="D36" s="35" t="s">
        <v>4</v>
      </c>
      <c r="E36" s="1"/>
      <c r="F36" s="1" t="s">
        <v>19</v>
      </c>
      <c r="G36" s="1" t="s">
        <v>7</v>
      </c>
      <c r="H36" s="2" t="s">
        <v>6</v>
      </c>
      <c r="I36" s="3" t="s">
        <v>7</v>
      </c>
      <c r="J36" s="1"/>
      <c r="K36" s="2" t="s">
        <v>6</v>
      </c>
      <c r="L36" s="3" t="s">
        <v>8</v>
      </c>
    </row>
    <row r="37" spans="1:12" ht="12">
      <c r="A37" s="14" t="s">
        <v>1</v>
      </c>
      <c r="B37" s="14" t="s">
        <v>1</v>
      </c>
      <c r="C37" s="14" t="s">
        <v>1</v>
      </c>
      <c r="D37" s="14" t="s">
        <v>1</v>
      </c>
      <c r="E37" s="14" t="s">
        <v>1</v>
      </c>
      <c r="F37" s="14"/>
      <c r="G37" s="14"/>
      <c r="H37" s="15" t="s">
        <v>1</v>
      </c>
      <c r="I37" s="15" t="s">
        <v>1</v>
      </c>
      <c r="J37" s="14" t="s">
        <v>1</v>
      </c>
      <c r="K37" s="15" t="s">
        <v>1</v>
      </c>
      <c r="L37" s="18" t="s">
        <v>1</v>
      </c>
    </row>
    <row r="38" spans="1:12" ht="12">
      <c r="A38" s="24">
        <v>1</v>
      </c>
      <c r="B38" s="4" t="s">
        <v>9</v>
      </c>
      <c r="C38" s="13" t="s">
        <v>24</v>
      </c>
      <c r="D38" s="24">
        <v>1</v>
      </c>
      <c r="F38" s="388">
        <f>+F469</f>
        <v>466.59000000000003</v>
      </c>
      <c r="G38" s="387">
        <f>+G469</f>
        <v>37217158</v>
      </c>
      <c r="H38" s="388">
        <f>+H469</f>
        <v>496.7</v>
      </c>
      <c r="I38" s="387">
        <f>+I469</f>
        <v>40166859</v>
      </c>
      <c r="J38" s="25"/>
      <c r="K38" s="388">
        <f>+K469</f>
        <v>486.88</v>
      </c>
      <c r="L38" s="387">
        <f>+L469</f>
        <v>39629326</v>
      </c>
    </row>
    <row r="39" spans="1:12" ht="12">
      <c r="A39" s="24">
        <v>2</v>
      </c>
      <c r="B39" s="4" t="s">
        <v>10</v>
      </c>
      <c r="C39" s="13" t="s">
        <v>25</v>
      </c>
      <c r="D39" s="24">
        <v>2</v>
      </c>
      <c r="F39" s="388">
        <f>+F506</f>
        <v>1.75</v>
      </c>
      <c r="G39" s="387">
        <f>+G506</f>
        <v>286976</v>
      </c>
      <c r="H39" s="388">
        <f>+H506</f>
        <v>2.71</v>
      </c>
      <c r="I39" s="387">
        <f>+I506-0.45</f>
        <v>374537.55</v>
      </c>
      <c r="J39" s="25"/>
      <c r="K39" s="388">
        <f>+K506</f>
        <v>1.73</v>
      </c>
      <c r="L39" s="387">
        <f>+L506</f>
        <v>85130</v>
      </c>
    </row>
    <row r="40" spans="1:12" ht="12">
      <c r="A40" s="24">
        <v>3</v>
      </c>
      <c r="B40" s="4" t="s">
        <v>11</v>
      </c>
      <c r="C40" s="13" t="s">
        <v>26</v>
      </c>
      <c r="D40" s="24">
        <v>3</v>
      </c>
      <c r="F40" s="388">
        <f>+F543</f>
        <v>0</v>
      </c>
      <c r="G40" s="387">
        <f>+G543</f>
        <v>55952</v>
      </c>
      <c r="H40" s="388">
        <f>+H543</f>
        <v>0</v>
      </c>
      <c r="I40" s="387">
        <f>+I543</f>
        <v>2969</v>
      </c>
      <c r="J40" s="25"/>
      <c r="K40" s="388">
        <f>+K543</f>
        <v>0</v>
      </c>
      <c r="L40" s="387">
        <f>+L543</f>
        <v>0</v>
      </c>
    </row>
    <row r="41" spans="1:12" ht="12">
      <c r="A41" s="24">
        <v>4</v>
      </c>
      <c r="B41" s="4" t="s">
        <v>12</v>
      </c>
      <c r="C41" s="13" t="s">
        <v>27</v>
      </c>
      <c r="D41" s="24">
        <v>4</v>
      </c>
      <c r="F41" s="388">
        <f>+F580</f>
        <v>76.19</v>
      </c>
      <c r="G41" s="387">
        <f>+G580</f>
        <v>7914720</v>
      </c>
      <c r="H41" s="388">
        <f>+H580</f>
        <v>77.32</v>
      </c>
      <c r="I41" s="387">
        <f>+I580-1</f>
        <v>8639382</v>
      </c>
      <c r="J41" s="25"/>
      <c r="K41" s="388">
        <f>+K580</f>
        <v>75.57</v>
      </c>
      <c r="L41" s="387">
        <f>+L580</f>
        <v>8261740</v>
      </c>
    </row>
    <row r="42" spans="1:12" ht="12">
      <c r="A42" s="24">
        <v>5</v>
      </c>
      <c r="B42" s="4" t="s">
        <v>13</v>
      </c>
      <c r="C42" s="13" t="s">
        <v>28</v>
      </c>
      <c r="D42" s="24">
        <v>5</v>
      </c>
      <c r="F42" s="388">
        <f>+F617</f>
        <v>69.2</v>
      </c>
      <c r="G42" s="387">
        <f>+G617</f>
        <v>5449346</v>
      </c>
      <c r="H42" s="388">
        <f>+H617</f>
        <v>68.7</v>
      </c>
      <c r="I42" s="387">
        <f>+I617+1</f>
        <v>5257412</v>
      </c>
      <c r="J42" s="25"/>
      <c r="K42" s="388">
        <f>+K617</f>
        <v>64.08</v>
      </c>
      <c r="L42" s="387">
        <f>+L617</f>
        <v>5596155</v>
      </c>
    </row>
    <row r="43" spans="1:12" ht="12">
      <c r="A43" s="24">
        <v>6</v>
      </c>
      <c r="B43" s="4" t="s">
        <v>14</v>
      </c>
      <c r="C43" s="13" t="s">
        <v>29</v>
      </c>
      <c r="D43" s="24">
        <v>6</v>
      </c>
      <c r="F43" s="388">
        <f>+F653</f>
        <v>68.25</v>
      </c>
      <c r="G43" s="387">
        <f>+G653</f>
        <v>10105774</v>
      </c>
      <c r="H43" s="388">
        <f>+H653</f>
        <v>68.91</v>
      </c>
      <c r="I43" s="387">
        <f>+I653</f>
        <v>9955265</v>
      </c>
      <c r="J43" s="25"/>
      <c r="K43" s="388">
        <f>+K653</f>
        <v>65.93</v>
      </c>
      <c r="L43" s="387">
        <f>+L653</f>
        <v>10128626</v>
      </c>
    </row>
    <row r="44" spans="1:15" ht="12">
      <c r="A44" s="24">
        <v>7</v>
      </c>
      <c r="B44" s="4" t="s">
        <v>20</v>
      </c>
      <c r="C44" s="13" t="s">
        <v>30</v>
      </c>
      <c r="D44" s="24">
        <v>7</v>
      </c>
      <c r="F44" s="388">
        <f>+F689</f>
        <v>64.86</v>
      </c>
      <c r="G44" s="387">
        <f>+G689</f>
        <v>5696040</v>
      </c>
      <c r="H44" s="388">
        <f>+H689</f>
        <v>64.5</v>
      </c>
      <c r="I44" s="387">
        <f>+I689-2</f>
        <v>6406533</v>
      </c>
      <c r="J44" s="25"/>
      <c r="K44" s="388">
        <f>+K689</f>
        <v>62.5</v>
      </c>
      <c r="L44" s="387">
        <f>+L689</f>
        <v>6853555</v>
      </c>
      <c r="O44" s="5" t="s">
        <v>0</v>
      </c>
    </row>
    <row r="45" spans="1:12" ht="12">
      <c r="A45" s="24">
        <v>8</v>
      </c>
      <c r="B45" s="4" t="s">
        <v>15</v>
      </c>
      <c r="C45" s="13" t="s">
        <v>31</v>
      </c>
      <c r="D45" s="24">
        <v>8</v>
      </c>
      <c r="F45" s="388">
        <v>0</v>
      </c>
      <c r="G45" s="387">
        <f>+G747</f>
        <v>3802638</v>
      </c>
      <c r="H45" s="388">
        <v>0</v>
      </c>
      <c r="I45" s="387">
        <f>+I747</f>
        <v>4048184</v>
      </c>
      <c r="J45" s="25"/>
      <c r="K45" s="388">
        <v>0</v>
      </c>
      <c r="L45" s="387">
        <f>+L747</f>
        <v>4067907</v>
      </c>
    </row>
    <row r="46" spans="1:12" ht="12">
      <c r="A46" s="24">
        <v>9</v>
      </c>
      <c r="B46" s="4" t="s">
        <v>22</v>
      </c>
      <c r="C46" s="13" t="s">
        <v>32</v>
      </c>
      <c r="D46" s="24">
        <v>9</v>
      </c>
      <c r="F46" s="387">
        <f>F786</f>
        <v>0</v>
      </c>
      <c r="G46" s="387">
        <f>G786</f>
        <v>17562</v>
      </c>
      <c r="H46" s="387">
        <f>H786</f>
        <v>0</v>
      </c>
      <c r="I46" s="387">
        <f>I786</f>
        <v>-1148</v>
      </c>
      <c r="J46" s="25" t="s">
        <v>0</v>
      </c>
      <c r="K46" s="387">
        <f>K786</f>
        <v>0</v>
      </c>
      <c r="L46" s="387">
        <f>L786</f>
        <v>0</v>
      </c>
    </row>
    <row r="47" spans="1:12" ht="12">
      <c r="A47" s="24">
        <v>10</v>
      </c>
      <c r="B47" s="4" t="s">
        <v>16</v>
      </c>
      <c r="C47" s="13" t="s">
        <v>21</v>
      </c>
      <c r="D47" s="24">
        <v>10</v>
      </c>
      <c r="F47" s="388">
        <v>0</v>
      </c>
      <c r="G47" s="387">
        <f>+G821</f>
        <v>10242978</v>
      </c>
      <c r="H47" s="388">
        <v>0</v>
      </c>
      <c r="I47" s="387">
        <f>+I821</f>
        <v>5020458.5</v>
      </c>
      <c r="J47" s="25"/>
      <c r="K47" s="388">
        <v>0</v>
      </c>
      <c r="L47" s="387">
        <f>+L821</f>
        <v>13793466</v>
      </c>
    </row>
    <row r="48" spans="1:12" ht="12">
      <c r="A48" s="24"/>
      <c r="B48" s="4"/>
      <c r="C48" s="13"/>
      <c r="D48" s="24"/>
      <c r="E48" s="14" t="s">
        <v>1</v>
      </c>
      <c r="F48" s="14"/>
      <c r="G48" s="395"/>
      <c r="H48" s="15" t="s">
        <v>1</v>
      </c>
      <c r="I48" s="395"/>
      <c r="J48" s="17"/>
      <c r="K48" s="15"/>
      <c r="L48" s="395"/>
    </row>
    <row r="49" spans="1:12" ht="12">
      <c r="A49" s="5">
        <v>11</v>
      </c>
      <c r="B49" s="4" t="s">
        <v>59</v>
      </c>
      <c r="D49" s="5">
        <v>11</v>
      </c>
      <c r="F49" s="388">
        <f>SUM(F38:F47)</f>
        <v>746.84</v>
      </c>
      <c r="G49" s="387">
        <f>SUM(G38:G47)</f>
        <v>80789144</v>
      </c>
      <c r="H49" s="388">
        <f>SUM(H38:H47)</f>
        <v>778.84</v>
      </c>
      <c r="I49" s="387">
        <f>SUM(I38:I47)</f>
        <v>79870452.05</v>
      </c>
      <c r="J49" s="25"/>
      <c r="K49" s="388">
        <f>SUM(K38:K47)</f>
        <v>756.69</v>
      </c>
      <c r="L49" s="387">
        <f>SUM(L38:L47)</f>
        <v>88415905</v>
      </c>
    </row>
    <row r="50" spans="1:12" ht="12">
      <c r="A50" s="24"/>
      <c r="D50" s="24"/>
      <c r="E50" s="14" t="s">
        <v>1</v>
      </c>
      <c r="F50" s="14"/>
      <c r="G50" s="14"/>
      <c r="H50" s="15" t="s">
        <v>1</v>
      </c>
      <c r="I50" s="18"/>
      <c r="J50" s="17"/>
      <c r="K50" s="15"/>
      <c r="L50" s="18"/>
    </row>
    <row r="51" spans="1:12" ht="12">
      <c r="A51" s="24"/>
      <c r="D51" s="24"/>
      <c r="E51" s="14"/>
      <c r="F51" s="14"/>
      <c r="G51" s="14"/>
      <c r="H51" s="6"/>
      <c r="I51" s="101"/>
      <c r="J51" s="17"/>
      <c r="K51" s="6"/>
      <c r="L51" s="18"/>
    </row>
    <row r="52" spans="1:12" ht="12">
      <c r="A52" s="5">
        <v>12</v>
      </c>
      <c r="B52" s="4" t="s">
        <v>17</v>
      </c>
      <c r="D52" s="5">
        <v>12</v>
      </c>
      <c r="F52" s="25"/>
      <c r="G52" s="25"/>
      <c r="H52" s="27"/>
      <c r="I52" s="27"/>
      <c r="J52" s="25"/>
      <c r="K52" s="388"/>
      <c r="L52" s="27"/>
    </row>
    <row r="53" spans="1:12" ht="12">
      <c r="A53" s="24">
        <v>13</v>
      </c>
      <c r="B53" s="4" t="s">
        <v>51</v>
      </c>
      <c r="C53" s="13" t="s">
        <v>57</v>
      </c>
      <c r="D53" s="24">
        <v>13</v>
      </c>
      <c r="F53" s="388"/>
      <c r="G53" s="387"/>
      <c r="H53" s="388"/>
      <c r="I53" s="387"/>
      <c r="J53" s="25"/>
      <c r="K53" s="388"/>
      <c r="L53" s="387"/>
    </row>
    <row r="54" spans="1:12" ht="12">
      <c r="A54" s="24">
        <v>14</v>
      </c>
      <c r="B54" s="4" t="s">
        <v>52</v>
      </c>
      <c r="C54" s="13" t="s">
        <v>58</v>
      </c>
      <c r="D54" s="24">
        <v>14</v>
      </c>
      <c r="F54" s="388"/>
      <c r="G54" s="387">
        <v>6120042</v>
      </c>
      <c r="H54" s="388"/>
      <c r="I54" s="387">
        <v>2659699</v>
      </c>
      <c r="J54" s="25"/>
      <c r="K54" s="388"/>
      <c r="L54" s="387">
        <v>7252817</v>
      </c>
    </row>
    <row r="55" spans="1:12" ht="12">
      <c r="A55" s="24">
        <v>15</v>
      </c>
      <c r="B55" s="4" t="s">
        <v>54</v>
      </c>
      <c r="C55" s="13"/>
      <c r="D55" s="24">
        <v>15</v>
      </c>
      <c r="F55" s="388"/>
      <c r="G55" s="387">
        <v>11889063</v>
      </c>
      <c r="H55" s="388"/>
      <c r="I55" s="387">
        <v>7324984</v>
      </c>
      <c r="J55" s="25"/>
      <c r="K55" s="388"/>
      <c r="L55" s="387">
        <v>10756288</v>
      </c>
    </row>
    <row r="56" spans="1:12" ht="12">
      <c r="A56" s="24">
        <v>16</v>
      </c>
      <c r="B56" s="4" t="s">
        <v>53</v>
      </c>
      <c r="C56" s="13"/>
      <c r="D56" s="24">
        <v>16</v>
      </c>
      <c r="F56" s="388">
        <f>F252-F55</f>
        <v>5423</v>
      </c>
      <c r="G56" s="387">
        <f>+G252-G55</f>
        <v>31049551</v>
      </c>
      <c r="H56" s="388"/>
      <c r="I56" s="387">
        <f>+I252-I55</f>
        <v>36090474</v>
      </c>
      <c r="J56" s="25"/>
      <c r="K56" s="388"/>
      <c r="L56" s="387">
        <f>+L252-L55</f>
        <v>39021688</v>
      </c>
    </row>
    <row r="57" spans="1:254" ht="12">
      <c r="A57" s="13">
        <v>17</v>
      </c>
      <c r="B57" s="37" t="s">
        <v>55</v>
      </c>
      <c r="C57" s="13" t="s">
        <v>377</v>
      </c>
      <c r="D57" s="13">
        <v>17</v>
      </c>
      <c r="E57" s="13"/>
      <c r="F57" s="388">
        <f>F55+F56</f>
        <v>5423</v>
      </c>
      <c r="G57" s="387">
        <f>SUM(G55:G56)</f>
        <v>42938614</v>
      </c>
      <c r="H57" s="388"/>
      <c r="I57" s="387">
        <f>SUM(I55:I56)</f>
        <v>43415458</v>
      </c>
      <c r="J57" s="37"/>
      <c r="K57" s="388"/>
      <c r="L57" s="387">
        <f>SUM(L55:L56)</f>
        <v>49777976</v>
      </c>
      <c r="M57" s="37"/>
      <c r="N57" s="13"/>
      <c r="O57" s="37"/>
      <c r="P57" s="13"/>
      <c r="Q57" s="37"/>
      <c r="R57" s="13"/>
      <c r="S57" s="37"/>
      <c r="T57" s="13"/>
      <c r="U57" s="37"/>
      <c r="V57" s="13"/>
      <c r="W57" s="37"/>
      <c r="X57" s="13"/>
      <c r="Y57" s="37"/>
      <c r="Z57" s="13"/>
      <c r="AA57" s="37"/>
      <c r="AB57" s="13"/>
      <c r="AC57" s="37"/>
      <c r="AD57" s="13"/>
      <c r="AE57" s="37"/>
      <c r="AF57" s="13"/>
      <c r="AG57" s="37"/>
      <c r="AH57" s="13"/>
      <c r="AI57" s="37"/>
      <c r="AJ57" s="13"/>
      <c r="AK57" s="37"/>
      <c r="AL57" s="13"/>
      <c r="AM57" s="37"/>
      <c r="AN57" s="13"/>
      <c r="AO57" s="37"/>
      <c r="AP57" s="13"/>
      <c r="AQ57" s="37"/>
      <c r="AR57" s="13"/>
      <c r="AS57" s="37"/>
      <c r="AT57" s="13"/>
      <c r="AU57" s="37"/>
      <c r="AV57" s="13"/>
      <c r="AW57" s="37"/>
      <c r="AX57" s="13"/>
      <c r="AY57" s="37"/>
      <c r="AZ57" s="13"/>
      <c r="BA57" s="37"/>
      <c r="BB57" s="13"/>
      <c r="BC57" s="37"/>
      <c r="BD57" s="13"/>
      <c r="BE57" s="37"/>
      <c r="BF57" s="13"/>
      <c r="BG57" s="37"/>
      <c r="BH57" s="13"/>
      <c r="BI57" s="37"/>
      <c r="BJ57" s="13"/>
      <c r="BK57" s="37"/>
      <c r="BL57" s="13"/>
      <c r="BM57" s="37"/>
      <c r="BN57" s="13"/>
      <c r="BO57" s="37"/>
      <c r="BP57" s="13"/>
      <c r="BQ57" s="37"/>
      <c r="BR57" s="13"/>
      <c r="BS57" s="37"/>
      <c r="BT57" s="13"/>
      <c r="BU57" s="37"/>
      <c r="BV57" s="13"/>
      <c r="BW57" s="37"/>
      <c r="BX57" s="13"/>
      <c r="BY57" s="37"/>
      <c r="BZ57" s="13"/>
      <c r="CA57" s="37"/>
      <c r="CB57" s="13"/>
      <c r="CC57" s="37"/>
      <c r="CD57" s="13"/>
      <c r="CE57" s="37"/>
      <c r="CF57" s="13"/>
      <c r="CG57" s="37"/>
      <c r="CH57" s="13"/>
      <c r="CI57" s="37"/>
      <c r="CJ57" s="13"/>
      <c r="CK57" s="37"/>
      <c r="CL57" s="13"/>
      <c r="CM57" s="37"/>
      <c r="CN57" s="13"/>
      <c r="CO57" s="37"/>
      <c r="CP57" s="13"/>
      <c r="CQ57" s="37"/>
      <c r="CR57" s="13"/>
      <c r="CS57" s="37"/>
      <c r="CT57" s="13"/>
      <c r="CU57" s="37"/>
      <c r="CV57" s="13"/>
      <c r="CW57" s="37"/>
      <c r="CX57" s="13"/>
      <c r="CY57" s="37"/>
      <c r="CZ57" s="13"/>
      <c r="DA57" s="37"/>
      <c r="DB57" s="13"/>
      <c r="DC57" s="37"/>
      <c r="DD57" s="13"/>
      <c r="DE57" s="37"/>
      <c r="DF57" s="13"/>
      <c r="DG57" s="37"/>
      <c r="DH57" s="13"/>
      <c r="DI57" s="37"/>
      <c r="DJ57" s="13"/>
      <c r="DK57" s="37"/>
      <c r="DL57" s="13"/>
      <c r="DM57" s="37"/>
      <c r="DN57" s="13"/>
      <c r="DO57" s="37"/>
      <c r="DP57" s="13"/>
      <c r="DQ57" s="37"/>
      <c r="DR57" s="13"/>
      <c r="DS57" s="37"/>
      <c r="DT57" s="13"/>
      <c r="DU57" s="37"/>
      <c r="DV57" s="13"/>
      <c r="DW57" s="37"/>
      <c r="DX57" s="13"/>
      <c r="DY57" s="37"/>
      <c r="DZ57" s="13"/>
      <c r="EA57" s="37"/>
      <c r="EB57" s="13"/>
      <c r="EC57" s="37"/>
      <c r="ED57" s="13"/>
      <c r="EE57" s="37"/>
      <c r="EF57" s="13"/>
      <c r="EG57" s="37"/>
      <c r="EH57" s="13"/>
      <c r="EI57" s="37"/>
      <c r="EJ57" s="13"/>
      <c r="EK57" s="37"/>
      <c r="EL57" s="13"/>
      <c r="EM57" s="37"/>
      <c r="EN57" s="13"/>
      <c r="EO57" s="37"/>
      <c r="EP57" s="13"/>
      <c r="EQ57" s="37"/>
      <c r="ER57" s="13"/>
      <c r="ES57" s="37"/>
      <c r="ET57" s="13"/>
      <c r="EU57" s="37"/>
      <c r="EV57" s="13"/>
      <c r="EW57" s="37"/>
      <c r="EX57" s="13"/>
      <c r="EY57" s="37"/>
      <c r="EZ57" s="13"/>
      <c r="FA57" s="37"/>
      <c r="FB57" s="13"/>
      <c r="FC57" s="37"/>
      <c r="FD57" s="13"/>
      <c r="FE57" s="37"/>
      <c r="FF57" s="13"/>
      <c r="FG57" s="37"/>
      <c r="FH57" s="13"/>
      <c r="FI57" s="37"/>
      <c r="FJ57" s="13"/>
      <c r="FK57" s="37"/>
      <c r="FL57" s="13"/>
      <c r="FM57" s="37"/>
      <c r="FN57" s="13"/>
      <c r="FO57" s="37"/>
      <c r="FP57" s="13"/>
      <c r="FQ57" s="37"/>
      <c r="FR57" s="13"/>
      <c r="FS57" s="37"/>
      <c r="FT57" s="13"/>
      <c r="FU57" s="37"/>
      <c r="FV57" s="13"/>
      <c r="FW57" s="37"/>
      <c r="FX57" s="13"/>
      <c r="FY57" s="37"/>
      <c r="FZ57" s="13"/>
      <c r="GA57" s="37"/>
      <c r="GB57" s="13"/>
      <c r="GC57" s="37"/>
      <c r="GD57" s="13"/>
      <c r="GE57" s="37"/>
      <c r="GF57" s="13"/>
      <c r="GG57" s="37"/>
      <c r="GH57" s="13"/>
      <c r="GI57" s="37"/>
      <c r="GJ57" s="13"/>
      <c r="GK57" s="37"/>
      <c r="GL57" s="13"/>
      <c r="GM57" s="37"/>
      <c r="GN57" s="13"/>
      <c r="GO57" s="37"/>
      <c r="GP57" s="13"/>
      <c r="GQ57" s="37"/>
      <c r="GR57" s="13"/>
      <c r="GS57" s="37"/>
      <c r="GT57" s="13"/>
      <c r="GU57" s="37"/>
      <c r="GV57" s="13"/>
      <c r="GW57" s="37"/>
      <c r="GX57" s="13"/>
      <c r="GY57" s="37"/>
      <c r="GZ57" s="13"/>
      <c r="HA57" s="37"/>
      <c r="HB57" s="13"/>
      <c r="HC57" s="37"/>
      <c r="HD57" s="13"/>
      <c r="HE57" s="37"/>
      <c r="HF57" s="13"/>
      <c r="HG57" s="37"/>
      <c r="HH57" s="13"/>
      <c r="HI57" s="37"/>
      <c r="HJ57" s="13"/>
      <c r="HK57" s="37"/>
      <c r="HL57" s="13"/>
      <c r="HM57" s="37"/>
      <c r="HN57" s="13"/>
      <c r="HO57" s="37"/>
      <c r="HP57" s="13"/>
      <c r="HQ57" s="37"/>
      <c r="HR57" s="13"/>
      <c r="HS57" s="37"/>
      <c r="HT57" s="13"/>
      <c r="HU57" s="37"/>
      <c r="HV57" s="13"/>
      <c r="HW57" s="37"/>
      <c r="HX57" s="13"/>
      <c r="HY57" s="37"/>
      <c r="HZ57" s="13"/>
      <c r="IA57" s="37"/>
      <c r="IB57" s="13"/>
      <c r="IC57" s="37"/>
      <c r="ID57" s="13"/>
      <c r="IE57" s="37"/>
      <c r="IF57" s="13"/>
      <c r="IG57" s="37"/>
      <c r="IH57" s="13"/>
      <c r="II57" s="37"/>
      <c r="IJ57" s="13"/>
      <c r="IK57" s="37"/>
      <c r="IL57" s="13"/>
      <c r="IM57" s="37"/>
      <c r="IN57" s="13"/>
      <c r="IO57" s="37"/>
      <c r="IP57" s="13"/>
      <c r="IQ57" s="37"/>
      <c r="IR57" s="13"/>
      <c r="IS57" s="37"/>
      <c r="IT57" s="13"/>
    </row>
    <row r="58" spans="1:12" ht="12">
      <c r="A58" s="24">
        <v>18</v>
      </c>
      <c r="B58" s="4" t="s">
        <v>56</v>
      </c>
      <c r="C58" s="13" t="s">
        <v>377</v>
      </c>
      <c r="D58" s="24">
        <v>18</v>
      </c>
      <c r="F58" s="388">
        <f>F251</f>
        <v>695</v>
      </c>
      <c r="G58" s="387">
        <f>+G251</f>
        <v>7497262</v>
      </c>
      <c r="H58" s="388"/>
      <c r="I58" s="387">
        <f>+I251</f>
        <v>8783300</v>
      </c>
      <c r="J58" s="25"/>
      <c r="K58" s="388"/>
      <c r="L58" s="387">
        <f>+L251</f>
        <v>9793834</v>
      </c>
    </row>
    <row r="59" spans="1:12" ht="12">
      <c r="A59" s="24">
        <v>19</v>
      </c>
      <c r="B59" s="4" t="s">
        <v>37</v>
      </c>
      <c r="C59" s="13" t="s">
        <v>377</v>
      </c>
      <c r="D59" s="24">
        <v>19</v>
      </c>
      <c r="F59" s="388">
        <f>F257</f>
        <v>489</v>
      </c>
      <c r="G59" s="387">
        <f>+G257</f>
        <v>8420521</v>
      </c>
      <c r="H59" s="388"/>
      <c r="I59" s="387">
        <f>+I257+0.6</f>
        <v>8959851.6</v>
      </c>
      <c r="J59" s="25"/>
      <c r="K59" s="388"/>
      <c r="L59" s="387">
        <f>+L257</f>
        <v>9023666</v>
      </c>
    </row>
    <row r="60" spans="1:12" ht="12">
      <c r="A60" s="24">
        <v>20</v>
      </c>
      <c r="B60" s="4" t="s">
        <v>36</v>
      </c>
      <c r="C60" s="13" t="s">
        <v>377</v>
      </c>
      <c r="D60" s="24">
        <v>20</v>
      </c>
      <c r="F60" s="388">
        <f>F57+F58+F59</f>
        <v>6607</v>
      </c>
      <c r="G60" s="387">
        <f>G57+G58+G59</f>
        <v>58856397</v>
      </c>
      <c r="H60" s="388"/>
      <c r="I60" s="387">
        <f>I57+I58+I59</f>
        <v>61158609.6</v>
      </c>
      <c r="J60" s="25"/>
      <c r="K60" s="388"/>
      <c r="L60" s="387">
        <f>L57+L58+L59</f>
        <v>68595476</v>
      </c>
    </row>
    <row r="61" spans="1:12" ht="12">
      <c r="A61" s="13" t="s">
        <v>68</v>
      </c>
      <c r="B61" s="4" t="s">
        <v>66</v>
      </c>
      <c r="C61" s="13" t="s">
        <v>378</v>
      </c>
      <c r="D61" s="24">
        <v>21</v>
      </c>
      <c r="F61" s="388"/>
      <c r="G61" s="387">
        <f>+G285-G273</f>
        <v>2251437</v>
      </c>
      <c r="H61" s="388"/>
      <c r="I61" s="387">
        <f>+I285-I273</f>
        <v>-903684.8900000006</v>
      </c>
      <c r="J61" s="25"/>
      <c r="K61" s="388"/>
      <c r="L61" s="387">
        <f>+L285-L273</f>
        <v>2910934</v>
      </c>
    </row>
    <row r="62" spans="1:12" ht="12">
      <c r="A62" s="13" t="s">
        <v>69</v>
      </c>
      <c r="B62" s="4" t="s">
        <v>67</v>
      </c>
      <c r="C62" s="13"/>
      <c r="D62" s="24"/>
      <c r="F62" s="388"/>
      <c r="G62" s="387">
        <f>G273</f>
        <v>4932495</v>
      </c>
      <c r="H62" s="388"/>
      <c r="I62" s="387">
        <f>I273-0.4</f>
        <v>12956916.6</v>
      </c>
      <c r="J62" s="25" t="s">
        <v>0</v>
      </c>
      <c r="K62" s="388"/>
      <c r="L62" s="387">
        <f>L273</f>
        <v>3107483</v>
      </c>
    </row>
    <row r="63" spans="1:12" ht="12">
      <c r="A63" s="24">
        <v>22</v>
      </c>
      <c r="B63" s="7"/>
      <c r="D63" s="24">
        <v>22</v>
      </c>
      <c r="E63" s="14" t="s">
        <v>1</v>
      </c>
      <c r="F63" s="14"/>
      <c r="G63" s="14"/>
      <c r="H63" s="15"/>
      <c r="I63" s="18"/>
      <c r="J63" s="17"/>
      <c r="K63" s="15"/>
      <c r="L63" s="18"/>
    </row>
    <row r="64" spans="1:12" ht="12">
      <c r="A64" s="24">
        <v>23</v>
      </c>
      <c r="B64" s="5" t="s">
        <v>38</v>
      </c>
      <c r="C64" s="38"/>
      <c r="D64" s="24">
        <v>23</v>
      </c>
      <c r="E64" s="39"/>
      <c r="F64" s="388"/>
      <c r="G64" s="387">
        <f>SUM(G54,G60,G61,G62)</f>
        <v>72160371</v>
      </c>
      <c r="H64" s="388"/>
      <c r="I64" s="387">
        <f>SUM(I54,I60,I61,I62)</f>
        <v>75871540.31</v>
      </c>
      <c r="J64" s="393"/>
      <c r="K64" s="388"/>
      <c r="L64" s="387">
        <f>SUM(L54,L60,L61,L62)</f>
        <v>81866710</v>
      </c>
    </row>
    <row r="65" spans="1:7" ht="12">
      <c r="A65" s="24">
        <v>24</v>
      </c>
      <c r="B65" s="7"/>
      <c r="C65" s="4"/>
      <c r="D65" s="24">
        <v>24</v>
      </c>
      <c r="G65" s="387"/>
    </row>
    <row r="66" spans="1:12" ht="12">
      <c r="A66" s="24">
        <v>25</v>
      </c>
      <c r="B66" s="4" t="s">
        <v>47</v>
      </c>
      <c r="C66" s="13" t="s">
        <v>379</v>
      </c>
      <c r="D66" s="24">
        <v>25</v>
      </c>
      <c r="F66" s="388"/>
      <c r="G66" s="387">
        <f>+G323+2</f>
        <v>8628773</v>
      </c>
      <c r="H66" s="388"/>
      <c r="I66" s="387">
        <f>+I323-0.4</f>
        <v>3998911.47</v>
      </c>
      <c r="J66" s="25"/>
      <c r="K66" s="388"/>
      <c r="L66" s="387">
        <f>+L323</f>
        <v>6549195</v>
      </c>
    </row>
    <row r="67" spans="1:12" ht="12">
      <c r="A67" s="5">
        <v>26</v>
      </c>
      <c r="D67" s="5">
        <v>26</v>
      </c>
      <c r="E67" s="14" t="s">
        <v>1</v>
      </c>
      <c r="F67" s="14"/>
      <c r="G67" s="14"/>
      <c r="H67" s="15"/>
      <c r="I67" s="18"/>
      <c r="J67" s="17"/>
      <c r="K67" s="15"/>
      <c r="L67" s="18"/>
    </row>
    <row r="68" spans="1:12" ht="12">
      <c r="A68" s="24">
        <v>27</v>
      </c>
      <c r="B68" s="4" t="s">
        <v>60</v>
      </c>
      <c r="D68" s="24">
        <v>27</v>
      </c>
      <c r="E68" s="33"/>
      <c r="F68" s="388"/>
      <c r="G68" s="387">
        <f>SUM(G64,G66)</f>
        <v>80789144</v>
      </c>
      <c r="H68" s="388"/>
      <c r="I68" s="387">
        <f>SUM(I64,I66)</f>
        <v>79870451.78</v>
      </c>
      <c r="J68" s="27"/>
      <c r="K68" s="388"/>
      <c r="L68" s="387">
        <f>SUM(L64,L66)</f>
        <v>88415905</v>
      </c>
    </row>
    <row r="69" spans="1:12" ht="12">
      <c r="A69" s="24"/>
      <c r="B69" s="4"/>
      <c r="D69" s="24"/>
      <c r="E69" s="33"/>
      <c r="F69" s="27"/>
      <c r="G69" s="25"/>
      <c r="H69" s="27"/>
      <c r="I69" s="27"/>
      <c r="J69" s="27"/>
      <c r="K69" s="27"/>
      <c r="L69" s="27"/>
    </row>
    <row r="70" spans="1:12" ht="12">
      <c r="A70" s="5">
        <v>28</v>
      </c>
      <c r="B70" s="8" t="s">
        <v>23</v>
      </c>
      <c r="C70" s="9"/>
      <c r="D70" s="8">
        <v>28</v>
      </c>
      <c r="E70" s="10"/>
      <c r="F70" s="10"/>
      <c r="G70" s="396">
        <f>+G263</f>
        <v>12141626</v>
      </c>
      <c r="H70" s="11"/>
      <c r="I70" s="396">
        <f>+I263</f>
        <v>14949422</v>
      </c>
      <c r="J70" s="12"/>
      <c r="K70" s="11"/>
      <c r="L70" s="397">
        <f>+L263</f>
        <v>15995882</v>
      </c>
    </row>
    <row r="71" spans="1:13" ht="12">
      <c r="A71" s="32" t="str">
        <f>$A$31</f>
        <v>Institution No.: GFC  </v>
      </c>
      <c r="D71" s="21"/>
      <c r="H71" s="6"/>
      <c r="I71" s="19"/>
      <c r="K71" s="6"/>
      <c r="L71" s="31" t="s">
        <v>107</v>
      </c>
      <c r="M71" s="274"/>
    </row>
    <row r="72" spans="1:13" s="394" customFormat="1" ht="12">
      <c r="A72" s="449" t="s">
        <v>380</v>
      </c>
      <c r="B72" s="449"/>
      <c r="C72" s="449"/>
      <c r="D72" s="449"/>
      <c r="E72" s="449"/>
      <c r="F72" s="449"/>
      <c r="G72" s="449"/>
      <c r="H72" s="449"/>
      <c r="I72" s="449"/>
      <c r="J72" s="449"/>
      <c r="K72" s="449"/>
      <c r="L72" s="449"/>
      <c r="M72" s="402"/>
    </row>
    <row r="73" spans="1:13" ht="12">
      <c r="A73" s="32" t="str">
        <f>A33</f>
        <v>NAME:  University of Colorado -  Colorado Springs</v>
      </c>
      <c r="I73" s="19"/>
      <c r="K73" s="6"/>
      <c r="L73" s="34" t="str">
        <f>$L$2</f>
        <v>Date: 10/1/2010</v>
      </c>
      <c r="M73" s="274"/>
    </row>
    <row r="74" spans="1:12" ht="12">
      <c r="A74" s="14" t="s">
        <v>1</v>
      </c>
      <c r="B74" s="14" t="s">
        <v>1</v>
      </c>
      <c r="C74" s="14" t="s">
        <v>1</v>
      </c>
      <c r="D74" s="14" t="s">
        <v>1</v>
      </c>
      <c r="E74" s="14" t="s">
        <v>1</v>
      </c>
      <c r="F74" s="14"/>
      <c r="G74" s="14"/>
      <c r="H74" s="15" t="s">
        <v>1</v>
      </c>
      <c r="I74" s="18" t="s">
        <v>1</v>
      </c>
      <c r="J74" s="14" t="s">
        <v>1</v>
      </c>
      <c r="K74" s="15" t="s">
        <v>1</v>
      </c>
      <c r="L74" s="18" t="s">
        <v>1</v>
      </c>
    </row>
    <row r="75" spans="1:12" ht="12">
      <c r="A75" s="35" t="s">
        <v>2</v>
      </c>
      <c r="D75" s="35" t="s">
        <v>2</v>
      </c>
      <c r="F75" s="1"/>
      <c r="G75" s="3" t="s">
        <v>62</v>
      </c>
      <c r="H75" s="2"/>
      <c r="I75" s="3" t="s">
        <v>65</v>
      </c>
      <c r="J75" s="1"/>
      <c r="K75" s="2"/>
      <c r="L75" s="3" t="s">
        <v>70</v>
      </c>
    </row>
    <row r="76" spans="1:12" ht="12">
      <c r="A76" s="35" t="s">
        <v>4</v>
      </c>
      <c r="D76" s="35" t="s">
        <v>4</v>
      </c>
      <c r="F76" s="1"/>
      <c r="G76" s="1" t="s">
        <v>7</v>
      </c>
      <c r="H76" s="2"/>
      <c r="I76" s="3" t="s">
        <v>7</v>
      </c>
      <c r="J76" s="1"/>
      <c r="K76" s="2"/>
      <c r="L76" s="3" t="s">
        <v>8</v>
      </c>
    </row>
    <row r="77" spans="1:12" ht="12">
      <c r="A77" s="14" t="s">
        <v>1</v>
      </c>
      <c r="B77" s="14" t="s">
        <v>1</v>
      </c>
      <c r="C77" s="14" t="s">
        <v>1</v>
      </c>
      <c r="D77" s="14" t="s">
        <v>1</v>
      </c>
      <c r="E77" s="14" t="s">
        <v>1</v>
      </c>
      <c r="F77" s="14"/>
      <c r="G77" s="14"/>
      <c r="H77" s="15" t="s">
        <v>1</v>
      </c>
      <c r="I77" s="18" t="s">
        <v>1</v>
      </c>
      <c r="J77" s="14" t="s">
        <v>1</v>
      </c>
      <c r="K77" s="15" t="s">
        <v>1</v>
      </c>
      <c r="L77" s="18" t="s">
        <v>1</v>
      </c>
    </row>
    <row r="78" spans="1:12" ht="12">
      <c r="A78" s="24">
        <v>1</v>
      </c>
      <c r="B78" s="4" t="s">
        <v>109</v>
      </c>
      <c r="D78" s="24">
        <v>1</v>
      </c>
      <c r="G78" s="25"/>
      <c r="H78" s="6"/>
      <c r="I78" s="25"/>
      <c r="K78" s="6"/>
      <c r="L78" s="25"/>
    </row>
    <row r="79" spans="1:12" ht="12">
      <c r="A79" s="13" t="s">
        <v>381</v>
      </c>
      <c r="B79" s="4" t="s">
        <v>382</v>
      </c>
      <c r="D79" s="13" t="s">
        <v>381</v>
      </c>
      <c r="E79" s="39"/>
      <c r="F79" s="39"/>
      <c r="G79" s="119"/>
      <c r="H79" s="119"/>
      <c r="I79" s="120"/>
      <c r="J79" s="119"/>
      <c r="K79" s="119"/>
      <c r="L79" s="120"/>
    </row>
    <row r="80" spans="1:12" ht="12">
      <c r="A80" s="13" t="s">
        <v>383</v>
      </c>
      <c r="B80" s="4" t="s">
        <v>384</v>
      </c>
      <c r="D80" s="13" t="s">
        <v>383</v>
      </c>
      <c r="E80" s="39"/>
      <c r="F80" s="39"/>
      <c r="G80" s="120"/>
      <c r="H80" s="119"/>
      <c r="I80" s="120"/>
      <c r="J80" s="119"/>
      <c r="K80" s="119"/>
      <c r="L80" s="120"/>
    </row>
    <row r="81" spans="1:12" ht="12">
      <c r="A81" s="13" t="s">
        <v>385</v>
      </c>
      <c r="B81" s="4" t="s">
        <v>386</v>
      </c>
      <c r="D81" s="13" t="s">
        <v>385</v>
      </c>
      <c r="E81" s="39"/>
      <c r="F81" s="39"/>
      <c r="G81" s="120">
        <v>5423</v>
      </c>
      <c r="H81" s="119"/>
      <c r="I81" s="120">
        <f>H252</f>
        <v>5904</v>
      </c>
      <c r="J81" s="119"/>
      <c r="K81" s="119"/>
      <c r="L81" s="120">
        <f>K252</f>
        <v>5913</v>
      </c>
    </row>
    <row r="82" spans="1:12" ht="12">
      <c r="A82" s="24">
        <v>3</v>
      </c>
      <c r="B82" s="4" t="s">
        <v>116</v>
      </c>
      <c r="D82" s="24">
        <v>3</v>
      </c>
      <c r="E82" s="39"/>
      <c r="F82" s="39"/>
      <c r="G82" s="120">
        <v>695</v>
      </c>
      <c r="H82" s="119"/>
      <c r="I82" s="120">
        <f>H251</f>
        <v>784</v>
      </c>
      <c r="J82" s="119"/>
      <c r="K82" s="119"/>
      <c r="L82" s="120">
        <f>K251</f>
        <v>804</v>
      </c>
    </row>
    <row r="83" spans="1:12" ht="12">
      <c r="A83" s="24">
        <v>4</v>
      </c>
      <c r="B83" s="4" t="s">
        <v>117</v>
      </c>
      <c r="D83" s="24">
        <v>4</v>
      </c>
      <c r="E83" s="39"/>
      <c r="F83" s="39"/>
      <c r="G83" s="120">
        <f>SUM(G81:G82)</f>
        <v>6118</v>
      </c>
      <c r="H83" s="119"/>
      <c r="I83" s="120">
        <f>SUM(I81:I82)</f>
        <v>6688</v>
      </c>
      <c r="J83" s="119"/>
      <c r="K83" s="119"/>
      <c r="L83" s="120">
        <f>SUM(L81:L82)</f>
        <v>6717</v>
      </c>
    </row>
    <row r="84" spans="1:12" ht="12">
      <c r="A84" s="24">
        <v>5</v>
      </c>
      <c r="D84" s="24">
        <v>5</v>
      </c>
      <c r="E84" s="39"/>
      <c r="F84" s="39"/>
      <c r="G84" s="120"/>
      <c r="H84" s="119"/>
      <c r="I84" s="120"/>
      <c r="J84" s="119"/>
      <c r="K84" s="119"/>
      <c r="L84" s="120"/>
    </row>
    <row r="85" spans="1:12" ht="12">
      <c r="A85" s="24">
        <v>6</v>
      </c>
      <c r="B85" s="4" t="s">
        <v>118</v>
      </c>
      <c r="D85" s="24">
        <v>6</v>
      </c>
      <c r="E85" s="39"/>
      <c r="F85" s="39"/>
      <c r="G85" s="120">
        <v>435</v>
      </c>
      <c r="H85" s="119"/>
      <c r="I85" s="120">
        <f>H254</f>
        <v>304</v>
      </c>
      <c r="J85" s="119"/>
      <c r="K85" s="119"/>
      <c r="L85" s="120">
        <f>K254</f>
        <v>476</v>
      </c>
    </row>
    <row r="86" spans="1:12" ht="12">
      <c r="A86" s="24">
        <v>7</v>
      </c>
      <c r="B86" s="4" t="s">
        <v>119</v>
      </c>
      <c r="D86" s="24">
        <v>7</v>
      </c>
      <c r="E86" s="39"/>
      <c r="F86" s="39"/>
      <c r="G86" s="120">
        <v>54</v>
      </c>
      <c r="H86" s="119"/>
      <c r="I86" s="120">
        <f>H253</f>
        <v>55</v>
      </c>
      <c r="J86" s="119"/>
      <c r="K86" s="119"/>
      <c r="L86" s="120">
        <f>K253</f>
        <v>56</v>
      </c>
    </row>
    <row r="87" spans="1:12" ht="12">
      <c r="A87" s="24">
        <v>8</v>
      </c>
      <c r="B87" s="4" t="s">
        <v>120</v>
      </c>
      <c r="D87" s="24">
        <v>8</v>
      </c>
      <c r="E87" s="39"/>
      <c r="F87" s="39"/>
      <c r="G87" s="120">
        <f>SUM(G85:G86)</f>
        <v>489</v>
      </c>
      <c r="H87" s="119"/>
      <c r="I87" s="120">
        <f>SUM(I85:I86)</f>
        <v>359</v>
      </c>
      <c r="J87" s="119"/>
      <c r="K87" s="119"/>
      <c r="L87" s="120">
        <f>SUM(L85:L86)</f>
        <v>532</v>
      </c>
    </row>
    <row r="88" spans="1:12" ht="12">
      <c r="A88" s="24">
        <v>9</v>
      </c>
      <c r="D88" s="24">
        <v>9</v>
      </c>
      <c r="E88" s="39"/>
      <c r="F88" s="39"/>
      <c r="G88" s="120"/>
      <c r="H88" s="119"/>
      <c r="I88" s="120"/>
      <c r="J88" s="119"/>
      <c r="K88" s="119"/>
      <c r="L88" s="120"/>
    </row>
    <row r="89" spans="1:12" ht="12">
      <c r="A89" s="24">
        <v>10</v>
      </c>
      <c r="B89" s="4" t="s">
        <v>121</v>
      </c>
      <c r="D89" s="24">
        <v>10</v>
      </c>
      <c r="E89" s="39"/>
      <c r="F89" s="39"/>
      <c r="G89" s="120">
        <f>G81+G85</f>
        <v>5858</v>
      </c>
      <c r="H89" s="119"/>
      <c r="I89" s="120">
        <f>I81+I85</f>
        <v>6208</v>
      </c>
      <c r="J89" s="119"/>
      <c r="K89" s="119"/>
      <c r="L89" s="120">
        <f>L81+L85</f>
        <v>6389</v>
      </c>
    </row>
    <row r="90" spans="1:12" ht="12">
      <c r="A90" s="24">
        <v>11</v>
      </c>
      <c r="B90" s="4" t="s">
        <v>122</v>
      </c>
      <c r="D90" s="24">
        <v>11</v>
      </c>
      <c r="E90" s="39"/>
      <c r="F90" s="39"/>
      <c r="G90" s="120">
        <f>G82+G86</f>
        <v>749</v>
      </c>
      <c r="H90" s="119"/>
      <c r="I90" s="120">
        <f>I82+I86</f>
        <v>839</v>
      </c>
      <c r="J90" s="119"/>
      <c r="K90" s="119"/>
      <c r="L90" s="120">
        <f>L82+L86</f>
        <v>860</v>
      </c>
    </row>
    <row r="91" spans="1:12" ht="12">
      <c r="A91" s="24">
        <v>12</v>
      </c>
      <c r="B91" s="4" t="s">
        <v>123</v>
      </c>
      <c r="D91" s="24">
        <v>12</v>
      </c>
      <c r="E91" s="39"/>
      <c r="F91" s="39"/>
      <c r="G91" s="120">
        <f>G89+G90</f>
        <v>6607</v>
      </c>
      <c r="H91" s="119"/>
      <c r="I91" s="120">
        <f>I89+I90</f>
        <v>7047</v>
      </c>
      <c r="J91" s="119"/>
      <c r="K91" s="119"/>
      <c r="L91" s="120">
        <f>L89+L90</f>
        <v>7249</v>
      </c>
    </row>
    <row r="92" spans="1:12" ht="12">
      <c r="A92" s="24">
        <v>13</v>
      </c>
      <c r="D92" s="24">
        <v>13</v>
      </c>
      <c r="G92" s="121"/>
      <c r="H92" s="119"/>
      <c r="I92" s="121"/>
      <c r="J92" s="122"/>
      <c r="K92" s="119"/>
      <c r="L92" s="121"/>
    </row>
    <row r="93" spans="1:12" ht="12">
      <c r="A93" s="24">
        <v>15</v>
      </c>
      <c r="B93" s="4" t="s">
        <v>124</v>
      </c>
      <c r="D93" s="24">
        <v>15</v>
      </c>
      <c r="G93" s="123"/>
      <c r="H93" s="119"/>
      <c r="I93" s="123"/>
      <c r="J93" s="122"/>
      <c r="K93" s="119"/>
      <c r="L93" s="123"/>
    </row>
    <row r="94" spans="1:12" ht="12">
      <c r="A94" s="24">
        <v>16</v>
      </c>
      <c r="B94" s="4" t="s">
        <v>387</v>
      </c>
      <c r="D94" s="24">
        <v>16</v>
      </c>
      <c r="G94" s="121">
        <f>(G68-G316)/G91</f>
        <v>11864.4169819888</v>
      </c>
      <c r="H94" s="119"/>
      <c r="I94" s="121">
        <f>(I68-I316)/I91</f>
        <v>10882.348788136795</v>
      </c>
      <c r="J94" s="122"/>
      <c r="K94" s="119"/>
      <c r="L94" s="121">
        <f>(L68-L316)/L91</f>
        <v>11899.828252172714</v>
      </c>
    </row>
    <row r="95" spans="1:12" ht="12">
      <c r="A95" s="24">
        <v>17</v>
      </c>
      <c r="B95" s="4" t="s">
        <v>388</v>
      </c>
      <c r="D95" s="24">
        <v>17</v>
      </c>
      <c r="G95" s="121">
        <v>2040</v>
      </c>
      <c r="H95" s="119"/>
      <c r="I95" s="122">
        <v>1320</v>
      </c>
      <c r="J95" s="122"/>
      <c r="K95" s="119"/>
      <c r="L95" s="122">
        <v>1860</v>
      </c>
    </row>
    <row r="96" spans="1:12" ht="12">
      <c r="A96" s="24">
        <v>18</v>
      </c>
      <c r="D96" s="24">
        <v>18</v>
      </c>
      <c r="G96" s="121"/>
      <c r="H96" s="119"/>
      <c r="I96" s="122"/>
      <c r="J96" s="122"/>
      <c r="K96" s="119"/>
      <c r="L96" s="122"/>
    </row>
    <row r="97" spans="1:12" ht="12">
      <c r="A97" s="5">
        <v>19</v>
      </c>
      <c r="B97" s="4" t="s">
        <v>389</v>
      </c>
      <c r="D97" s="5">
        <v>19</v>
      </c>
      <c r="G97" s="121"/>
      <c r="H97" s="119"/>
      <c r="I97" s="122"/>
      <c r="J97" s="122"/>
      <c r="K97" s="119"/>
      <c r="L97" s="122"/>
    </row>
    <row r="98" spans="1:12" ht="12">
      <c r="A98" s="24">
        <v>20</v>
      </c>
      <c r="B98" s="4" t="s">
        <v>128</v>
      </c>
      <c r="D98" s="24">
        <v>20</v>
      </c>
      <c r="E98" s="20"/>
      <c r="F98" s="20"/>
      <c r="G98" s="124">
        <f>F445</f>
        <v>434.22</v>
      </c>
      <c r="H98" s="125"/>
      <c r="I98" s="124">
        <f>H445</f>
        <v>466.33</v>
      </c>
      <c r="J98" s="125"/>
      <c r="K98" s="125"/>
      <c r="L98" s="124">
        <f>K445</f>
        <v>471.38</v>
      </c>
    </row>
    <row r="99" spans="1:12" ht="12">
      <c r="A99" s="24">
        <v>21</v>
      </c>
      <c r="B99" s="4" t="s">
        <v>129</v>
      </c>
      <c r="D99" s="24">
        <v>21</v>
      </c>
      <c r="E99" s="20"/>
      <c r="F99" s="20"/>
      <c r="G99" s="124">
        <f>F442</f>
        <v>358.67</v>
      </c>
      <c r="H99" s="125"/>
      <c r="I99" s="124">
        <f>H442</f>
        <v>386.08</v>
      </c>
      <c r="J99" s="125"/>
      <c r="K99" s="125"/>
      <c r="L99" s="124">
        <f>K442</f>
        <v>388.13</v>
      </c>
    </row>
    <row r="100" spans="1:12" ht="12">
      <c r="A100" s="24">
        <v>22</v>
      </c>
      <c r="B100" s="4" t="s">
        <v>130</v>
      </c>
      <c r="D100" s="24">
        <v>22</v>
      </c>
      <c r="E100" s="20"/>
      <c r="F100" s="20"/>
      <c r="G100" s="124">
        <f>F444</f>
        <v>75.55</v>
      </c>
      <c r="H100" s="125"/>
      <c r="I100" s="124">
        <f>H444</f>
        <v>80.25</v>
      </c>
      <c r="J100" s="125"/>
      <c r="K100" s="125"/>
      <c r="L100" s="124">
        <f>K444</f>
        <v>83.25</v>
      </c>
    </row>
    <row r="101" spans="1:12" ht="12">
      <c r="A101" s="24">
        <v>23</v>
      </c>
      <c r="D101" s="24">
        <v>23</v>
      </c>
      <c r="E101" s="20"/>
      <c r="F101" s="20"/>
      <c r="G101" s="125"/>
      <c r="H101" s="125"/>
      <c r="I101" s="124"/>
      <c r="J101" s="125"/>
      <c r="K101" s="125"/>
      <c r="L101" s="125"/>
    </row>
    <row r="102" spans="1:12" ht="12">
      <c r="A102" s="24">
        <v>24</v>
      </c>
      <c r="B102" s="4" t="s">
        <v>131</v>
      </c>
      <c r="D102" s="24">
        <v>24</v>
      </c>
      <c r="E102" s="20"/>
      <c r="F102" s="20"/>
      <c r="G102" s="125"/>
      <c r="H102" s="125"/>
      <c r="I102" s="125"/>
      <c r="J102" s="125"/>
      <c r="K102" s="125"/>
      <c r="L102" s="125"/>
    </row>
    <row r="103" spans="1:12" ht="12">
      <c r="A103" s="24">
        <v>25</v>
      </c>
      <c r="B103" s="4" t="s">
        <v>132</v>
      </c>
      <c r="D103" s="24">
        <v>25</v>
      </c>
      <c r="G103" s="122">
        <f>IF(F445=0,0,G445/F445)</f>
        <v>73461.99392013265</v>
      </c>
      <c r="H103" s="119"/>
      <c r="I103" s="122">
        <f>IF(H445=0,0,I445/H445)</f>
        <v>73869.83037762958</v>
      </c>
      <c r="J103" s="122"/>
      <c r="K103" s="119"/>
      <c r="L103" s="122">
        <f>IF(K445=0,0,L445/K445)</f>
        <v>71102.78543849972</v>
      </c>
    </row>
    <row r="104" spans="1:12" ht="12">
      <c r="A104" s="24">
        <v>26</v>
      </c>
      <c r="B104" s="4" t="s">
        <v>133</v>
      </c>
      <c r="D104" s="24">
        <v>26</v>
      </c>
      <c r="G104" s="122">
        <f>IF(G99=0,0,(G442+G443)/G99)</f>
        <v>81938.1018763766</v>
      </c>
      <c r="H104" s="119"/>
      <c r="I104" s="122">
        <f>IF(I99=0,0,(I442+I443)/I99)</f>
        <v>83168.10764608372</v>
      </c>
      <c r="J104" s="122"/>
      <c r="K104" s="119"/>
      <c r="L104" s="122">
        <f>IF(L99=0,0,(L442+L443)/L99)</f>
        <v>81409.46074768763</v>
      </c>
    </row>
    <row r="105" spans="1:12" ht="12">
      <c r="A105" s="24">
        <v>27</v>
      </c>
      <c r="B105" s="4" t="s">
        <v>134</v>
      </c>
      <c r="D105" s="24">
        <v>27</v>
      </c>
      <c r="G105" s="122">
        <f>IF(G100=0,0,G444/G100)</f>
        <v>33222.0780939775</v>
      </c>
      <c r="H105" s="119"/>
      <c r="I105" s="122">
        <f>IF(I100=0,0,I444/I100)</f>
        <v>29136.13707165109</v>
      </c>
      <c r="J105" s="122"/>
      <c r="K105" s="119"/>
      <c r="L105" s="122">
        <f>IF(L100=0,0,L444/L100)</f>
        <v>23050.774774774774</v>
      </c>
    </row>
    <row r="106" spans="1:12" ht="12">
      <c r="A106" s="24">
        <v>28</v>
      </c>
      <c r="D106" s="24">
        <v>28</v>
      </c>
      <c r="G106" s="122"/>
      <c r="H106" s="119"/>
      <c r="I106" s="122"/>
      <c r="J106" s="122"/>
      <c r="K106" s="119"/>
      <c r="L106" s="122"/>
    </row>
    <row r="107" spans="1:12" ht="12">
      <c r="A107" s="24">
        <v>29</v>
      </c>
      <c r="B107" s="4" t="s">
        <v>390</v>
      </c>
      <c r="D107" s="24">
        <v>29</v>
      </c>
      <c r="E107" s="308"/>
      <c r="F107" s="308"/>
      <c r="G107" s="120">
        <f>F49</f>
        <v>746.84</v>
      </c>
      <c r="H107" s="119"/>
      <c r="I107" s="120">
        <f>H49</f>
        <v>778.84</v>
      </c>
      <c r="J107" s="119"/>
      <c r="K107" s="119"/>
      <c r="L107" s="120">
        <f>K49</f>
        <v>756.69</v>
      </c>
    </row>
    <row r="108" spans="1:12" ht="12">
      <c r="A108" s="4"/>
      <c r="I108" s="19"/>
      <c r="L108" s="19"/>
    </row>
    <row r="109" spans="1:12" ht="12">
      <c r="A109" s="4"/>
      <c r="I109" s="19"/>
      <c r="L109" s="19"/>
    </row>
    <row r="110" spans="1:12" ht="12">
      <c r="A110" s="4"/>
      <c r="I110" s="19"/>
      <c r="L110" s="19"/>
    </row>
    <row r="111" spans="1:13" ht="12">
      <c r="A111" s="32" t="str">
        <f>$A$31</f>
        <v>Institution No.: GFC  </v>
      </c>
      <c r="D111" s="21"/>
      <c r="H111" s="6"/>
      <c r="I111" s="19"/>
      <c r="K111" s="6"/>
      <c r="L111" s="31" t="s">
        <v>136</v>
      </c>
      <c r="M111" s="274"/>
    </row>
    <row r="112" spans="1:13" s="394" customFormat="1" ht="12">
      <c r="A112" s="449" t="s">
        <v>391</v>
      </c>
      <c r="B112" s="449"/>
      <c r="C112" s="449"/>
      <c r="D112" s="449"/>
      <c r="E112" s="449"/>
      <c r="F112" s="449"/>
      <c r="G112" s="449"/>
      <c r="H112" s="449"/>
      <c r="I112" s="449"/>
      <c r="J112" s="449"/>
      <c r="K112" s="449"/>
      <c r="L112" s="449"/>
      <c r="M112" s="402"/>
    </row>
    <row r="113" spans="1:13" ht="12">
      <c r="A113" s="32" t="str">
        <f>A73</f>
        <v>NAME:  University of Colorado -  Colorado Springs</v>
      </c>
      <c r="I113" s="19"/>
      <c r="K113" s="6"/>
      <c r="L113" s="34" t="str">
        <f>$L$2</f>
        <v>Date: 10/1/2010</v>
      </c>
      <c r="M113" s="274"/>
    </row>
    <row r="114" spans="1:12" ht="12">
      <c r="A114" s="14" t="s">
        <v>1</v>
      </c>
      <c r="B114" s="14" t="s">
        <v>1</v>
      </c>
      <c r="C114" s="14" t="s">
        <v>1</v>
      </c>
      <c r="D114" s="14" t="s">
        <v>1</v>
      </c>
      <c r="E114" s="14" t="s">
        <v>1</v>
      </c>
      <c r="F114" s="14"/>
      <c r="G114" s="14"/>
      <c r="H114" s="15" t="s">
        <v>1</v>
      </c>
      <c r="I114" s="18" t="s">
        <v>1</v>
      </c>
      <c r="J114" s="14" t="s">
        <v>1</v>
      </c>
      <c r="K114" s="15" t="s">
        <v>1</v>
      </c>
      <c r="L114" s="18" t="s">
        <v>1</v>
      </c>
    </row>
    <row r="115" spans="1:12" ht="12">
      <c r="A115" s="35" t="s">
        <v>2</v>
      </c>
      <c r="D115" s="35" t="s">
        <v>2</v>
      </c>
      <c r="G115" s="3" t="s">
        <v>62</v>
      </c>
      <c r="H115" s="2"/>
      <c r="I115" s="3" t="s">
        <v>65</v>
      </c>
      <c r="J115" s="1"/>
      <c r="K115" s="2"/>
      <c r="L115" s="3" t="s">
        <v>70</v>
      </c>
    </row>
    <row r="116" spans="1:12" ht="12">
      <c r="A116" s="35" t="s">
        <v>4</v>
      </c>
      <c r="B116" s="4" t="s">
        <v>0</v>
      </c>
      <c r="D116" s="35" t="s">
        <v>4</v>
      </c>
      <c r="G116" s="1" t="s">
        <v>7</v>
      </c>
      <c r="H116" s="2"/>
      <c r="I116" s="3" t="s">
        <v>7</v>
      </c>
      <c r="J116" s="1"/>
      <c r="K116" s="2"/>
      <c r="L116" s="3" t="s">
        <v>8</v>
      </c>
    </row>
    <row r="117" spans="1:12" ht="12">
      <c r="A117" s="14" t="s">
        <v>1</v>
      </c>
      <c r="B117" s="14" t="s">
        <v>1</v>
      </c>
      <c r="C117" s="14" t="s">
        <v>1</v>
      </c>
      <c r="D117" s="14" t="s">
        <v>1</v>
      </c>
      <c r="E117" s="14" t="s">
        <v>1</v>
      </c>
      <c r="F117" s="14"/>
      <c r="G117" s="14"/>
      <c r="H117" s="15" t="s">
        <v>1</v>
      </c>
      <c r="I117" s="18" t="s">
        <v>1</v>
      </c>
      <c r="J117" s="14" t="s">
        <v>1</v>
      </c>
      <c r="K117" s="15" t="s">
        <v>1</v>
      </c>
      <c r="L117" s="18" t="s">
        <v>1</v>
      </c>
    </row>
    <row r="118" spans="1:12" ht="12">
      <c r="A118" s="24">
        <v>1</v>
      </c>
      <c r="B118" s="4" t="s">
        <v>392</v>
      </c>
      <c r="D118" s="24">
        <v>1</v>
      </c>
      <c r="G118" s="122"/>
      <c r="H118" s="119"/>
      <c r="I118" s="119"/>
      <c r="J118" s="126"/>
      <c r="K118" s="127"/>
      <c r="L118" s="128"/>
    </row>
    <row r="119" spans="1:12" ht="12">
      <c r="A119" s="24">
        <f aca="true" t="shared" si="0" ref="A119:A144">(A118+1)</f>
        <v>2</v>
      </c>
      <c r="B119" s="4" t="s">
        <v>140</v>
      </c>
      <c r="D119" s="24">
        <f aca="true" t="shared" si="1" ref="D119:D144">(D118+1)</f>
        <v>2</v>
      </c>
      <c r="E119" s="39"/>
      <c r="F119" s="39"/>
      <c r="G119" s="119"/>
      <c r="H119" s="119"/>
      <c r="I119" s="119"/>
      <c r="J119" s="126"/>
      <c r="K119" s="127"/>
      <c r="L119" s="129"/>
    </row>
    <row r="120" spans="1:12" ht="12">
      <c r="A120" s="24">
        <f t="shared" si="0"/>
        <v>3</v>
      </c>
      <c r="B120" s="4" t="s">
        <v>141</v>
      </c>
      <c r="D120" s="24">
        <f t="shared" si="1"/>
        <v>3</v>
      </c>
      <c r="E120" s="39"/>
      <c r="F120" s="39"/>
      <c r="G120" s="119"/>
      <c r="H120" s="119"/>
      <c r="I120" s="119"/>
      <c r="J120" s="126"/>
      <c r="K120" s="127"/>
      <c r="L120" s="129"/>
    </row>
    <row r="121" spans="1:12" ht="12">
      <c r="A121" s="24">
        <f t="shared" si="0"/>
        <v>4</v>
      </c>
      <c r="B121" s="4" t="s">
        <v>393</v>
      </c>
      <c r="D121" s="24">
        <f t="shared" si="1"/>
        <v>4</v>
      </c>
      <c r="E121" s="39"/>
      <c r="F121" s="39"/>
      <c r="G121" s="119">
        <v>5580</v>
      </c>
      <c r="H121" s="119"/>
      <c r="I121" s="119">
        <f>2925*2</f>
        <v>5850</v>
      </c>
      <c r="J121" s="126">
        <f>(I121-G121)/G121</f>
        <v>0.04838709677419355</v>
      </c>
      <c r="K121" s="127"/>
      <c r="L121" s="129">
        <f>3135*2</f>
        <v>6270</v>
      </c>
    </row>
    <row r="122" spans="1:12" ht="12">
      <c r="A122" s="24">
        <f t="shared" si="0"/>
        <v>5</v>
      </c>
      <c r="B122" s="4" t="s">
        <v>394</v>
      </c>
      <c r="D122" s="24">
        <f t="shared" si="1"/>
        <v>5</v>
      </c>
      <c r="E122" s="39"/>
      <c r="F122" s="39"/>
      <c r="G122" s="119">
        <v>4676</v>
      </c>
      <c r="H122" s="119"/>
      <c r="I122" s="119">
        <f>2455*2</f>
        <v>4910</v>
      </c>
      <c r="J122" s="126">
        <f>(I122-G122)/G122</f>
        <v>0.05004277159965783</v>
      </c>
      <c r="K122" s="127"/>
      <c r="L122" s="129"/>
    </row>
    <row r="123" spans="1:12" ht="12">
      <c r="A123" s="24">
        <f t="shared" si="0"/>
        <v>6</v>
      </c>
      <c r="B123" s="4" t="s">
        <v>395</v>
      </c>
      <c r="D123" s="24">
        <f t="shared" si="1"/>
        <v>6</v>
      </c>
      <c r="E123" s="39"/>
      <c r="F123" s="39"/>
      <c r="G123" s="119"/>
      <c r="H123" s="119"/>
      <c r="I123" s="119">
        <f>3150*2</f>
        <v>6300</v>
      </c>
      <c r="J123" s="126"/>
      <c r="K123" s="127"/>
      <c r="L123" s="129">
        <f>3375*2</f>
        <v>6750</v>
      </c>
    </row>
    <row r="124" spans="1:12" ht="12">
      <c r="A124" s="24">
        <f t="shared" si="0"/>
        <v>7</v>
      </c>
      <c r="B124" s="4" t="s">
        <v>396</v>
      </c>
      <c r="D124" s="24">
        <f t="shared" si="1"/>
        <v>7</v>
      </c>
      <c r="E124" s="39"/>
      <c r="F124" s="39"/>
      <c r="G124" s="119">
        <v>4904</v>
      </c>
      <c r="H124" s="119"/>
      <c r="I124" s="119">
        <f>2575*2</f>
        <v>5150</v>
      </c>
      <c r="J124" s="126">
        <f>(I124-G124)/G124</f>
        <v>0.050163132137031</v>
      </c>
      <c r="K124" s="127"/>
      <c r="L124" s="130" t="s">
        <v>0</v>
      </c>
    </row>
    <row r="125" spans="1:12" ht="12">
      <c r="A125" s="24">
        <f t="shared" si="0"/>
        <v>8</v>
      </c>
      <c r="B125" s="4" t="s">
        <v>397</v>
      </c>
      <c r="D125" s="24">
        <f t="shared" si="1"/>
        <v>8</v>
      </c>
      <c r="G125" s="122"/>
      <c r="H125" s="119"/>
      <c r="I125" s="119">
        <f>3600*2</f>
        <v>7200</v>
      </c>
      <c r="J125" s="126"/>
      <c r="K125" s="127"/>
      <c r="L125" s="129">
        <f>3855*2</f>
        <v>7710</v>
      </c>
    </row>
    <row r="126" spans="1:12" ht="12">
      <c r="A126" s="24">
        <f t="shared" si="0"/>
        <v>9</v>
      </c>
      <c r="B126" s="4" t="s">
        <v>398</v>
      </c>
      <c r="D126" s="24">
        <f t="shared" si="1"/>
        <v>9</v>
      </c>
      <c r="G126" s="122">
        <v>5186</v>
      </c>
      <c r="H126" s="119"/>
      <c r="I126" s="119">
        <f>2723*2</f>
        <v>5446</v>
      </c>
      <c r="J126" s="126">
        <f>(I126-G126)/G126</f>
        <v>0.050134978789047435</v>
      </c>
      <c r="K126" s="127"/>
      <c r="L126" s="129"/>
    </row>
    <row r="127" spans="1:12" ht="12">
      <c r="A127" s="24">
        <f t="shared" si="0"/>
        <v>10</v>
      </c>
      <c r="B127" s="4" t="s">
        <v>399</v>
      </c>
      <c r="D127" s="24">
        <f t="shared" si="1"/>
        <v>10</v>
      </c>
      <c r="G127" s="122"/>
      <c r="H127" s="119"/>
      <c r="I127" s="119">
        <f>4200*2</f>
        <v>8400</v>
      </c>
      <c r="J127" s="126"/>
      <c r="K127" s="127"/>
      <c r="L127" s="129">
        <f>4500*2</f>
        <v>9000</v>
      </c>
    </row>
    <row r="128" spans="1:12" ht="12">
      <c r="A128" s="24">
        <f t="shared" si="0"/>
        <v>11</v>
      </c>
      <c r="B128" s="4" t="s">
        <v>400</v>
      </c>
      <c r="D128" s="24">
        <f t="shared" si="1"/>
        <v>11</v>
      </c>
      <c r="G128" s="122">
        <v>7190</v>
      </c>
      <c r="H128" s="119"/>
      <c r="I128" s="119">
        <f>3775*2</f>
        <v>7550</v>
      </c>
      <c r="J128" s="126">
        <f>(I128-G128)/G128</f>
        <v>0.05006954102920723</v>
      </c>
      <c r="K128" s="127"/>
      <c r="L128" s="129"/>
    </row>
    <row r="129" spans="1:12" ht="12">
      <c r="A129" s="24">
        <f t="shared" si="0"/>
        <v>12</v>
      </c>
      <c r="B129" s="4" t="s">
        <v>146</v>
      </c>
      <c r="D129" s="24">
        <f t="shared" si="1"/>
        <v>12</v>
      </c>
      <c r="G129" s="122"/>
      <c r="H129" s="119"/>
      <c r="I129" s="119"/>
      <c r="J129" s="126"/>
      <c r="K129" s="127"/>
      <c r="L129" s="129"/>
    </row>
    <row r="130" spans="1:12" ht="12">
      <c r="A130" s="24">
        <f t="shared" si="0"/>
        <v>13</v>
      </c>
      <c r="B130" s="4" t="s">
        <v>140</v>
      </c>
      <c r="D130" s="24">
        <f t="shared" si="1"/>
        <v>13</v>
      </c>
      <c r="G130" s="122">
        <v>7728</v>
      </c>
      <c r="H130" s="119"/>
      <c r="I130" s="119">
        <f>4055*2</f>
        <v>8110</v>
      </c>
      <c r="J130" s="126">
        <f>(I130-G130)/G130</f>
        <v>0.04943064182194617</v>
      </c>
      <c r="K130" s="127"/>
      <c r="L130" s="129">
        <f>(573.25+3726)*2</f>
        <v>8598.5</v>
      </c>
    </row>
    <row r="131" spans="1:12" ht="12">
      <c r="A131" s="24">
        <f t="shared" si="0"/>
        <v>14</v>
      </c>
      <c r="B131" s="4" t="s">
        <v>141</v>
      </c>
      <c r="D131" s="24">
        <f t="shared" si="1"/>
        <v>14</v>
      </c>
      <c r="G131" s="122"/>
      <c r="H131" s="119"/>
      <c r="I131" s="119"/>
      <c r="J131" s="126"/>
      <c r="K131" s="127"/>
      <c r="L131" s="129"/>
    </row>
    <row r="132" spans="1:12" ht="12">
      <c r="A132" s="24">
        <f t="shared" si="0"/>
        <v>15</v>
      </c>
      <c r="B132" s="4"/>
      <c r="D132" s="24">
        <f t="shared" si="1"/>
        <v>15</v>
      </c>
      <c r="E132" s="20"/>
      <c r="F132" s="20"/>
      <c r="G132" s="125"/>
      <c r="H132" s="125"/>
      <c r="I132" s="125"/>
      <c r="J132" s="126"/>
      <c r="K132" s="131"/>
      <c r="L132" s="132"/>
    </row>
    <row r="133" spans="1:12" ht="12">
      <c r="A133" s="24">
        <f t="shared" si="0"/>
        <v>16</v>
      </c>
      <c r="B133" s="4" t="s">
        <v>0</v>
      </c>
      <c r="D133" s="24" t="e">
        <f>(#REF!+1)</f>
        <v>#REF!</v>
      </c>
      <c r="E133" s="20"/>
      <c r="F133" s="20"/>
      <c r="G133" s="125"/>
      <c r="H133" s="125"/>
      <c r="I133" s="125"/>
      <c r="J133" s="126"/>
      <c r="K133" s="131"/>
      <c r="L133" s="132"/>
    </row>
    <row r="134" spans="1:12" ht="12">
      <c r="A134" s="24">
        <f t="shared" si="0"/>
        <v>17</v>
      </c>
      <c r="D134" s="24" t="e">
        <f t="shared" si="1"/>
        <v>#REF!</v>
      </c>
      <c r="G134" s="122"/>
      <c r="H134" s="119"/>
      <c r="I134" s="119"/>
      <c r="J134" s="126"/>
      <c r="K134" s="127"/>
      <c r="L134" s="129"/>
    </row>
    <row r="135" spans="1:12" ht="12">
      <c r="A135" s="24">
        <f t="shared" si="0"/>
        <v>18</v>
      </c>
      <c r="D135" s="24" t="e">
        <f t="shared" si="1"/>
        <v>#REF!</v>
      </c>
      <c r="G135" s="122"/>
      <c r="H135" s="119"/>
      <c r="I135" s="119"/>
      <c r="J135" s="126"/>
      <c r="K135" s="127"/>
      <c r="L135" s="129"/>
    </row>
    <row r="136" spans="1:12" ht="12">
      <c r="A136" s="24">
        <f t="shared" si="0"/>
        <v>19</v>
      </c>
      <c r="B136" s="4" t="s">
        <v>149</v>
      </c>
      <c r="D136" s="24" t="e">
        <f t="shared" si="1"/>
        <v>#REF!</v>
      </c>
      <c r="G136" s="122"/>
      <c r="H136" s="119"/>
      <c r="I136" s="119"/>
      <c r="J136" s="126"/>
      <c r="K136" s="127"/>
      <c r="L136" s="129"/>
    </row>
    <row r="137" spans="1:12" ht="12">
      <c r="A137" s="24">
        <f t="shared" si="0"/>
        <v>20</v>
      </c>
      <c r="B137" s="4" t="s">
        <v>140</v>
      </c>
      <c r="D137" s="24" t="e">
        <f t="shared" si="1"/>
        <v>#REF!</v>
      </c>
      <c r="G137" s="122"/>
      <c r="H137" s="119"/>
      <c r="I137" s="119"/>
      <c r="J137" s="126"/>
      <c r="K137" s="127"/>
      <c r="L137" s="129"/>
    </row>
    <row r="138" spans="1:12" ht="12">
      <c r="A138" s="24">
        <f t="shared" si="0"/>
        <v>21</v>
      </c>
      <c r="B138" s="4" t="s">
        <v>141</v>
      </c>
      <c r="D138" s="24" t="e">
        <f t="shared" si="1"/>
        <v>#REF!</v>
      </c>
      <c r="G138" s="122"/>
      <c r="H138" s="119"/>
      <c r="I138" s="119"/>
      <c r="J138" s="126"/>
      <c r="K138" s="127"/>
      <c r="L138" s="128"/>
    </row>
    <row r="139" spans="1:12" ht="12">
      <c r="A139" s="24">
        <f t="shared" si="0"/>
        <v>22</v>
      </c>
      <c r="B139" s="4" t="s">
        <v>401</v>
      </c>
      <c r="D139" s="24" t="e">
        <f t="shared" si="1"/>
        <v>#REF!</v>
      </c>
      <c r="G139" s="122">
        <v>7728</v>
      </c>
      <c r="H139" s="119"/>
      <c r="I139" s="119">
        <f>4582*2</f>
        <v>9164</v>
      </c>
      <c r="J139" s="126">
        <f aca="true" t="shared" si="2" ref="J139:J144">(I139-G139)/G139</f>
        <v>0.18581780538302278</v>
      </c>
      <c r="K139" s="127"/>
      <c r="L139" s="128">
        <f>(573.25+4290)*2</f>
        <v>9726.5</v>
      </c>
    </row>
    <row r="140" spans="1:12" ht="12">
      <c r="A140" s="24">
        <f t="shared" si="0"/>
        <v>23</v>
      </c>
      <c r="B140" s="5" t="s">
        <v>402</v>
      </c>
      <c r="D140" s="24" t="e">
        <f t="shared" si="1"/>
        <v>#REF!</v>
      </c>
      <c r="G140" s="122">
        <v>8732</v>
      </c>
      <c r="H140" s="122"/>
      <c r="I140" s="122">
        <f>4582*2</f>
        <v>9164</v>
      </c>
      <c r="J140" s="126">
        <f t="shared" si="2"/>
        <v>0.049473202015574896</v>
      </c>
      <c r="K140" s="133"/>
      <c r="L140" s="128">
        <f>(573.25+4290)*2</f>
        <v>9726.5</v>
      </c>
    </row>
    <row r="141" spans="1:12" ht="12">
      <c r="A141" s="24">
        <f t="shared" si="0"/>
        <v>24</v>
      </c>
      <c r="B141" s="4" t="s">
        <v>403</v>
      </c>
      <c r="D141" s="24" t="e">
        <f t="shared" si="1"/>
        <v>#REF!</v>
      </c>
      <c r="G141" s="122">
        <v>8732</v>
      </c>
      <c r="H141" s="119"/>
      <c r="I141" s="119">
        <f>4582*2</f>
        <v>9164</v>
      </c>
      <c r="J141" s="126">
        <f t="shared" si="2"/>
        <v>0.049473202015574896</v>
      </c>
      <c r="K141" s="127"/>
      <c r="L141" s="128">
        <f>(573.25+4290)*2</f>
        <v>9726.5</v>
      </c>
    </row>
    <row r="142" spans="1:12" ht="12">
      <c r="A142" s="24">
        <f t="shared" si="0"/>
        <v>25</v>
      </c>
      <c r="B142" s="4" t="s">
        <v>404</v>
      </c>
      <c r="D142" s="24" t="e">
        <f t="shared" si="1"/>
        <v>#REF!</v>
      </c>
      <c r="G142" s="122">
        <v>7728</v>
      </c>
      <c r="H142" s="119"/>
      <c r="I142" s="119">
        <f>4582*2</f>
        <v>9164</v>
      </c>
      <c r="J142" s="126">
        <f t="shared" si="2"/>
        <v>0.18581780538302278</v>
      </c>
      <c r="K142" s="127"/>
      <c r="L142" s="128">
        <f>(573.25+4290)*2</f>
        <v>9726.5</v>
      </c>
    </row>
    <row r="143" spans="1:12" ht="12">
      <c r="A143" s="24">
        <f t="shared" si="0"/>
        <v>26</v>
      </c>
      <c r="B143" s="4" t="s">
        <v>405</v>
      </c>
      <c r="D143" s="24" t="e">
        <f t="shared" si="1"/>
        <v>#REF!</v>
      </c>
      <c r="G143" s="122">
        <v>8732</v>
      </c>
      <c r="H143" s="119"/>
      <c r="I143" s="119">
        <f>4582*2</f>
        <v>9164</v>
      </c>
      <c r="J143" s="126">
        <f t="shared" si="2"/>
        <v>0.049473202015574896</v>
      </c>
      <c r="K143" s="127"/>
      <c r="L143" s="128">
        <f>(573.25+4290)*2</f>
        <v>9726.5</v>
      </c>
    </row>
    <row r="144" spans="1:12" ht="12">
      <c r="A144" s="24">
        <f t="shared" si="0"/>
        <v>27</v>
      </c>
      <c r="B144" s="4" t="s">
        <v>406</v>
      </c>
      <c r="D144" s="24" t="e">
        <f t="shared" si="1"/>
        <v>#REF!</v>
      </c>
      <c r="G144" s="122">
        <v>11542</v>
      </c>
      <c r="H144" s="119"/>
      <c r="I144" s="119">
        <f>6057*2</f>
        <v>12114</v>
      </c>
      <c r="J144" s="126">
        <f t="shared" si="2"/>
        <v>0.04955813550511177</v>
      </c>
      <c r="K144" s="127"/>
      <c r="L144" s="128">
        <f>(573.25+5868)*2</f>
        <v>12882.5</v>
      </c>
    </row>
    <row r="145" spans="1:4" ht="12">
      <c r="A145" s="24"/>
      <c r="D145" s="21"/>
    </row>
    <row r="146" spans="1:12" s="403" customFormat="1" ht="9.75">
      <c r="A146" s="403" t="s">
        <v>407</v>
      </c>
      <c r="H146" s="404"/>
      <c r="I146" s="405"/>
      <c r="K146" s="404"/>
      <c r="L146" s="405"/>
    </row>
    <row r="147" spans="1:12" s="403" customFormat="1" ht="9.75">
      <c r="A147" s="406" t="s">
        <v>408</v>
      </c>
      <c r="H147" s="404"/>
      <c r="I147" s="405"/>
      <c r="K147" s="404"/>
      <c r="L147" s="405"/>
    </row>
    <row r="148" spans="1:12" ht="12">
      <c r="A148" s="4"/>
      <c r="I148" s="19"/>
      <c r="L148" s="19"/>
    </row>
    <row r="149" spans="1:13" ht="12">
      <c r="A149" s="32" t="str">
        <f>$A$31</f>
        <v>Institution No.: GFC  </v>
      </c>
      <c r="D149" s="21"/>
      <c r="H149" s="6"/>
      <c r="I149" s="19"/>
      <c r="K149" s="6"/>
      <c r="L149" s="31" t="s">
        <v>158</v>
      </c>
      <c r="M149" s="274"/>
    </row>
    <row r="150" spans="1:13" ht="12.75" customHeight="1">
      <c r="A150" s="449" t="s">
        <v>409</v>
      </c>
      <c r="B150" s="449"/>
      <c r="C150" s="449"/>
      <c r="D150" s="449"/>
      <c r="E150" s="449"/>
      <c r="F150" s="449"/>
      <c r="G150" s="449"/>
      <c r="H150" s="449"/>
      <c r="I150" s="449"/>
      <c r="J150" s="449"/>
      <c r="K150" s="449"/>
      <c r="L150" s="449"/>
      <c r="M150" s="274"/>
    </row>
    <row r="151" spans="1:13" ht="12">
      <c r="A151" s="32" t="str">
        <f>A113</f>
        <v>NAME:  University of Colorado -  Colorado Springs</v>
      </c>
      <c r="I151" s="19"/>
      <c r="K151" s="6"/>
      <c r="L151" s="34" t="str">
        <f>$L$2</f>
        <v>Date: 10/1/2010</v>
      </c>
      <c r="M151" s="274"/>
    </row>
    <row r="152" spans="1:12" ht="12">
      <c r="A152" s="14" t="s">
        <v>1</v>
      </c>
      <c r="B152" s="14" t="s">
        <v>1</v>
      </c>
      <c r="C152" s="14" t="s">
        <v>1</v>
      </c>
      <c r="D152" s="14" t="s">
        <v>1</v>
      </c>
      <c r="E152" s="14" t="s">
        <v>1</v>
      </c>
      <c r="F152" s="14"/>
      <c r="G152" s="14"/>
      <c r="H152" s="15" t="s">
        <v>1</v>
      </c>
      <c r="I152" s="18" t="s">
        <v>1</v>
      </c>
      <c r="J152" s="14" t="s">
        <v>1</v>
      </c>
      <c r="K152" s="15" t="s">
        <v>1</v>
      </c>
      <c r="L152" s="18" t="s">
        <v>1</v>
      </c>
    </row>
    <row r="153" spans="1:12" ht="12">
      <c r="A153" s="35" t="s">
        <v>2</v>
      </c>
      <c r="D153" s="35" t="s">
        <v>2</v>
      </c>
      <c r="G153" s="3" t="s">
        <v>62</v>
      </c>
      <c r="H153" s="2"/>
      <c r="I153" s="3" t="s">
        <v>65</v>
      </c>
      <c r="J153" s="1"/>
      <c r="K153" s="2"/>
      <c r="L153" s="3" t="s">
        <v>70</v>
      </c>
    </row>
    <row r="154" spans="1:12" ht="12">
      <c r="A154" s="35" t="s">
        <v>4</v>
      </c>
      <c r="B154" s="4" t="s">
        <v>0</v>
      </c>
      <c r="D154" s="35" t="s">
        <v>4</v>
      </c>
      <c r="G154" s="1" t="s">
        <v>7</v>
      </c>
      <c r="H154" s="2"/>
      <c r="I154" s="3" t="s">
        <v>7</v>
      </c>
      <c r="J154" s="1"/>
      <c r="K154" s="2"/>
      <c r="L154" s="3" t="s">
        <v>8</v>
      </c>
    </row>
    <row r="155" spans="1:12" ht="12">
      <c r="A155" s="14" t="s">
        <v>1</v>
      </c>
      <c r="B155" s="14" t="s">
        <v>1</v>
      </c>
      <c r="C155" s="14" t="s">
        <v>1</v>
      </c>
      <c r="D155" s="14" t="s">
        <v>1</v>
      </c>
      <c r="E155" s="14" t="s">
        <v>1</v>
      </c>
      <c r="F155" s="14"/>
      <c r="G155" s="14"/>
      <c r="H155" s="15" t="s">
        <v>1</v>
      </c>
      <c r="I155" s="18" t="s">
        <v>1</v>
      </c>
      <c r="J155" s="14" t="s">
        <v>1</v>
      </c>
      <c r="K155" s="15" t="s">
        <v>1</v>
      </c>
      <c r="L155" s="18" t="s">
        <v>1</v>
      </c>
    </row>
    <row r="156" spans="1:12" ht="12">
      <c r="A156" s="24">
        <v>1</v>
      </c>
      <c r="B156" s="4" t="s">
        <v>392</v>
      </c>
      <c r="D156" s="24">
        <v>1</v>
      </c>
      <c r="G156" s="122"/>
      <c r="H156" s="119"/>
      <c r="I156" s="119"/>
      <c r="J156" s="122"/>
      <c r="K156" s="6"/>
      <c r="L156" s="19"/>
    </row>
    <row r="157" spans="1:12" ht="12">
      <c r="A157" s="24">
        <f aca="true" t="shared" si="3" ref="A157:A181">(A156+1)</f>
        <v>2</v>
      </c>
      <c r="B157" s="4" t="s">
        <v>140</v>
      </c>
      <c r="D157" s="24">
        <f aca="true" t="shared" si="4" ref="D157:D181">(D156+1)</f>
        <v>2</v>
      </c>
      <c r="E157" s="39"/>
      <c r="F157" s="39"/>
      <c r="G157" s="119"/>
      <c r="H157" s="119"/>
      <c r="I157" s="119"/>
      <c r="J157" s="126"/>
      <c r="K157" s="6"/>
      <c r="L157" s="129"/>
    </row>
    <row r="158" spans="1:12" ht="12">
      <c r="A158" s="24">
        <f t="shared" si="3"/>
        <v>3</v>
      </c>
      <c r="B158" s="4" t="s">
        <v>141</v>
      </c>
      <c r="D158" s="24">
        <f t="shared" si="4"/>
        <v>3</v>
      </c>
      <c r="E158" s="39"/>
      <c r="F158" s="39"/>
      <c r="G158" s="119"/>
      <c r="H158" s="119"/>
      <c r="I158" s="119"/>
      <c r="J158" s="126"/>
      <c r="K158" s="6"/>
      <c r="L158" s="129"/>
    </row>
    <row r="159" spans="1:12" ht="12">
      <c r="A159" s="24">
        <f t="shared" si="3"/>
        <v>4</v>
      </c>
      <c r="B159" s="4" t="s">
        <v>393</v>
      </c>
      <c r="D159" s="24">
        <f t="shared" si="4"/>
        <v>4</v>
      </c>
      <c r="E159" s="39"/>
      <c r="F159" s="39"/>
      <c r="G159" s="119">
        <v>15300</v>
      </c>
      <c r="H159" s="119"/>
      <c r="I159" s="119">
        <f>7800*2</f>
        <v>15600</v>
      </c>
      <c r="J159" s="126">
        <f>(I159-G159)/G159</f>
        <v>0.0196078431372549</v>
      </c>
      <c r="K159" s="6"/>
      <c r="L159" s="129">
        <f>7960*2</f>
        <v>15920</v>
      </c>
    </row>
    <row r="160" spans="1:12" ht="12">
      <c r="A160" s="24">
        <f t="shared" si="3"/>
        <v>5</v>
      </c>
      <c r="B160" s="4" t="s">
        <v>394</v>
      </c>
      <c r="D160" s="24">
        <f t="shared" si="4"/>
        <v>5</v>
      </c>
      <c r="E160" s="39"/>
      <c r="F160" s="39"/>
      <c r="G160" s="119">
        <v>15300</v>
      </c>
      <c r="H160" s="119"/>
      <c r="I160" s="119">
        <f>7800*2</f>
        <v>15600</v>
      </c>
      <c r="J160" s="126">
        <f>(I160-G160)/G160</f>
        <v>0.0196078431372549</v>
      </c>
      <c r="K160" s="6"/>
      <c r="L160" s="129"/>
    </row>
    <row r="161" spans="1:12" ht="12">
      <c r="A161" s="24">
        <f t="shared" si="3"/>
        <v>6</v>
      </c>
      <c r="B161" s="4" t="s">
        <v>395</v>
      </c>
      <c r="D161" s="24">
        <f t="shared" si="4"/>
        <v>6</v>
      </c>
      <c r="E161" s="39"/>
      <c r="F161" s="39"/>
      <c r="G161" s="119"/>
      <c r="H161" s="119"/>
      <c r="I161" s="119">
        <f>7910*2</f>
        <v>15820</v>
      </c>
      <c r="J161" s="126"/>
      <c r="K161" s="6"/>
      <c r="L161" s="129">
        <f>8070*2</f>
        <v>16140</v>
      </c>
    </row>
    <row r="162" spans="1:12" ht="12">
      <c r="A162" s="24">
        <f t="shared" si="3"/>
        <v>7</v>
      </c>
      <c r="B162" s="4" t="s">
        <v>396</v>
      </c>
      <c r="D162" s="24">
        <f t="shared" si="4"/>
        <v>7</v>
      </c>
      <c r="E162" s="39"/>
      <c r="F162" s="39"/>
      <c r="G162" s="119">
        <v>15500</v>
      </c>
      <c r="H162" s="119"/>
      <c r="I162" s="119">
        <f>7910*2</f>
        <v>15820</v>
      </c>
      <c r="J162" s="126">
        <f>(I162-G162)/G162</f>
        <v>0.02064516129032258</v>
      </c>
      <c r="K162" s="6"/>
      <c r="L162" s="129"/>
    </row>
    <row r="163" spans="1:12" ht="12">
      <c r="A163" s="24">
        <f t="shared" si="3"/>
        <v>8</v>
      </c>
      <c r="B163" s="4" t="s">
        <v>397</v>
      </c>
      <c r="D163" s="24">
        <f t="shared" si="4"/>
        <v>8</v>
      </c>
      <c r="G163" s="122"/>
      <c r="H163" s="119"/>
      <c r="I163" s="119">
        <f>8060*2</f>
        <v>16120</v>
      </c>
      <c r="J163" s="126"/>
      <c r="K163" s="6"/>
      <c r="L163" s="129">
        <f>8220*2</f>
        <v>16440</v>
      </c>
    </row>
    <row r="164" spans="1:12" ht="12">
      <c r="A164" s="24">
        <f t="shared" si="3"/>
        <v>9</v>
      </c>
      <c r="B164" s="4" t="s">
        <v>398</v>
      </c>
      <c r="D164" s="24">
        <f t="shared" si="4"/>
        <v>9</v>
      </c>
      <c r="G164" s="122">
        <v>15800</v>
      </c>
      <c r="H164" s="119"/>
      <c r="I164" s="119">
        <f>8060*2</f>
        <v>16120</v>
      </c>
      <c r="J164" s="126">
        <f>(I164-G164)/G164</f>
        <v>0.020253164556962026</v>
      </c>
      <c r="K164" s="6"/>
      <c r="L164" s="129"/>
    </row>
    <row r="165" spans="1:12" ht="12">
      <c r="A165" s="24">
        <f t="shared" si="3"/>
        <v>10</v>
      </c>
      <c r="B165" s="4" t="s">
        <v>399</v>
      </c>
      <c r="D165" s="24">
        <f t="shared" si="4"/>
        <v>10</v>
      </c>
      <c r="G165" s="122"/>
      <c r="H165" s="119"/>
      <c r="I165" s="119">
        <f>8060*2</f>
        <v>16120</v>
      </c>
      <c r="J165" s="126"/>
      <c r="K165" s="6"/>
      <c r="L165" s="129">
        <f>8220*2</f>
        <v>16440</v>
      </c>
    </row>
    <row r="166" spans="1:12" ht="12">
      <c r="A166" s="24">
        <f t="shared" si="3"/>
        <v>11</v>
      </c>
      <c r="B166" s="4" t="s">
        <v>400</v>
      </c>
      <c r="D166" s="24">
        <f t="shared" si="4"/>
        <v>11</v>
      </c>
      <c r="G166" s="122">
        <v>15800</v>
      </c>
      <c r="H166" s="119"/>
      <c r="I166" s="119">
        <f>8060*2</f>
        <v>16120</v>
      </c>
      <c r="J166" s="126">
        <f>(I166-G166)/G166</f>
        <v>0.020253164556962026</v>
      </c>
      <c r="K166" s="6"/>
      <c r="L166" s="129"/>
    </row>
    <row r="167" spans="1:12" ht="12">
      <c r="A167" s="24">
        <f t="shared" si="3"/>
        <v>12</v>
      </c>
      <c r="B167" s="4" t="s">
        <v>146</v>
      </c>
      <c r="D167" s="24">
        <f t="shared" si="4"/>
        <v>12</v>
      </c>
      <c r="G167" s="122"/>
      <c r="H167" s="119"/>
      <c r="I167" s="119"/>
      <c r="J167" s="126"/>
      <c r="K167" s="6"/>
      <c r="L167" s="129"/>
    </row>
    <row r="168" spans="1:12" ht="12">
      <c r="A168" s="24">
        <f t="shared" si="3"/>
        <v>13</v>
      </c>
      <c r="B168" s="4" t="s">
        <v>140</v>
      </c>
      <c r="D168" s="24">
        <f t="shared" si="4"/>
        <v>13</v>
      </c>
      <c r="G168" s="122">
        <v>17896</v>
      </c>
      <c r="H168" s="119"/>
      <c r="I168" s="119">
        <f>9143*2</f>
        <v>18286</v>
      </c>
      <c r="J168" s="126">
        <f>(I168-G168)/G168</f>
        <v>0.021792579347340187</v>
      </c>
      <c r="K168" s="6"/>
      <c r="L168" s="129">
        <f>(573.25+8740)*2</f>
        <v>18626.5</v>
      </c>
    </row>
    <row r="169" spans="1:12" ht="12">
      <c r="A169" s="24">
        <f t="shared" si="3"/>
        <v>14</v>
      </c>
      <c r="B169" s="4" t="s">
        <v>141</v>
      </c>
      <c r="D169" s="24">
        <f t="shared" si="4"/>
        <v>14</v>
      </c>
      <c r="G169" s="122"/>
      <c r="H169" s="119"/>
      <c r="I169" s="119"/>
      <c r="J169" s="126"/>
      <c r="K169" s="6"/>
      <c r="L169" s="129"/>
    </row>
    <row r="170" spans="1:12" ht="12">
      <c r="A170" s="24">
        <f t="shared" si="3"/>
        <v>15</v>
      </c>
      <c r="B170" s="4" t="s">
        <v>0</v>
      </c>
      <c r="D170" s="24">
        <f t="shared" si="4"/>
        <v>15</v>
      </c>
      <c r="E170" s="20"/>
      <c r="F170" s="20"/>
      <c r="G170" s="125"/>
      <c r="H170" s="125"/>
      <c r="I170" s="125"/>
      <c r="J170" s="126"/>
      <c r="K170" s="22"/>
      <c r="L170" s="132"/>
    </row>
    <row r="171" spans="1:12" ht="12">
      <c r="A171" s="24">
        <f t="shared" si="3"/>
        <v>16</v>
      </c>
      <c r="D171" s="24">
        <f t="shared" si="4"/>
        <v>16</v>
      </c>
      <c r="G171" s="122"/>
      <c r="H171" s="119"/>
      <c r="I171" s="119"/>
      <c r="J171" s="126"/>
      <c r="K171" s="6"/>
      <c r="L171" s="129"/>
    </row>
    <row r="172" spans="1:12" ht="12">
      <c r="A172" s="24">
        <f t="shared" si="3"/>
        <v>17</v>
      </c>
      <c r="D172" s="24">
        <f t="shared" si="4"/>
        <v>17</v>
      </c>
      <c r="G172" s="122"/>
      <c r="H172" s="119"/>
      <c r="I172" s="119"/>
      <c r="J172" s="126"/>
      <c r="K172" s="6"/>
      <c r="L172" s="129"/>
    </row>
    <row r="173" spans="1:12" ht="12">
      <c r="A173" s="24">
        <f t="shared" si="3"/>
        <v>18</v>
      </c>
      <c r="B173" s="4" t="s">
        <v>149</v>
      </c>
      <c r="D173" s="24">
        <f t="shared" si="4"/>
        <v>18</v>
      </c>
      <c r="G173" s="122"/>
      <c r="H173" s="119"/>
      <c r="I173" s="119"/>
      <c r="J173" s="126"/>
      <c r="K173" s="6"/>
      <c r="L173" s="129"/>
    </row>
    <row r="174" spans="1:12" ht="12">
      <c r="A174" s="24">
        <f t="shared" si="3"/>
        <v>19</v>
      </c>
      <c r="B174" s="4" t="s">
        <v>140</v>
      </c>
      <c r="D174" s="24">
        <f t="shared" si="4"/>
        <v>19</v>
      </c>
      <c r="G174" s="122"/>
      <c r="H174" s="119"/>
      <c r="I174" s="119"/>
      <c r="J174" s="126"/>
      <c r="K174" s="6"/>
      <c r="L174" s="129"/>
    </row>
    <row r="175" spans="1:12" ht="12">
      <c r="A175" s="24">
        <f t="shared" si="3"/>
        <v>20</v>
      </c>
      <c r="B175" s="4" t="s">
        <v>141</v>
      </c>
      <c r="D175" s="24">
        <f t="shared" si="4"/>
        <v>20</v>
      </c>
      <c r="G175" s="122"/>
      <c r="H175" s="119"/>
      <c r="I175" s="119"/>
      <c r="J175" s="126"/>
      <c r="K175" s="6"/>
      <c r="L175" s="129"/>
    </row>
    <row r="176" spans="1:12" ht="12">
      <c r="A176" s="24">
        <f t="shared" si="3"/>
        <v>21</v>
      </c>
      <c r="B176" s="4" t="s">
        <v>401</v>
      </c>
      <c r="D176" s="24">
        <f t="shared" si="4"/>
        <v>21</v>
      </c>
      <c r="G176" s="122">
        <v>19096</v>
      </c>
      <c r="H176" s="119"/>
      <c r="I176" s="119">
        <f aca="true" t="shared" si="5" ref="I176:I181">9753*2</f>
        <v>19506</v>
      </c>
      <c r="J176" s="126">
        <f aca="true" t="shared" si="6" ref="J176:J181">(I176-G176)/G176</f>
        <v>0.021470465018852115</v>
      </c>
      <c r="K176" s="6"/>
      <c r="L176" s="19">
        <f aca="true" t="shared" si="7" ref="L176:L181">(573.25+9360)*2</f>
        <v>19866.5</v>
      </c>
    </row>
    <row r="177" spans="1:12" ht="12">
      <c r="A177" s="24">
        <f t="shared" si="3"/>
        <v>22</v>
      </c>
      <c r="B177" s="5" t="s">
        <v>402</v>
      </c>
      <c r="D177" s="24">
        <f t="shared" si="4"/>
        <v>22</v>
      </c>
      <c r="G177" s="122">
        <v>19096</v>
      </c>
      <c r="H177" s="122"/>
      <c r="I177" s="119">
        <f t="shared" si="5"/>
        <v>19506</v>
      </c>
      <c r="J177" s="126">
        <f t="shared" si="6"/>
        <v>0.021470465018852115</v>
      </c>
      <c r="L177" s="19">
        <f t="shared" si="7"/>
        <v>19866.5</v>
      </c>
    </row>
    <row r="178" spans="1:12" ht="12">
      <c r="A178" s="24">
        <f t="shared" si="3"/>
        <v>23</v>
      </c>
      <c r="B178" s="4" t="s">
        <v>403</v>
      </c>
      <c r="D178" s="24">
        <f t="shared" si="4"/>
        <v>23</v>
      </c>
      <c r="G178" s="122">
        <v>19096</v>
      </c>
      <c r="H178" s="119"/>
      <c r="I178" s="119">
        <f t="shared" si="5"/>
        <v>19506</v>
      </c>
      <c r="J178" s="126">
        <f t="shared" si="6"/>
        <v>0.021470465018852115</v>
      </c>
      <c r="K178" s="6"/>
      <c r="L178" s="19">
        <f t="shared" si="7"/>
        <v>19866.5</v>
      </c>
    </row>
    <row r="179" spans="1:12" ht="12">
      <c r="A179" s="24">
        <f t="shared" si="3"/>
        <v>24</v>
      </c>
      <c r="B179" s="4" t="s">
        <v>404</v>
      </c>
      <c r="D179" s="24">
        <f t="shared" si="4"/>
        <v>24</v>
      </c>
      <c r="G179" s="122">
        <v>17896</v>
      </c>
      <c r="H179" s="119"/>
      <c r="I179" s="119">
        <f t="shared" si="5"/>
        <v>19506</v>
      </c>
      <c r="J179" s="126">
        <f t="shared" si="6"/>
        <v>0.08996423781850693</v>
      </c>
      <c r="K179" s="6"/>
      <c r="L179" s="19">
        <f t="shared" si="7"/>
        <v>19866.5</v>
      </c>
    </row>
    <row r="180" spans="1:12" ht="12">
      <c r="A180" s="24">
        <f t="shared" si="3"/>
        <v>25</v>
      </c>
      <c r="B180" s="4" t="s">
        <v>405</v>
      </c>
      <c r="D180" s="24">
        <f t="shared" si="4"/>
        <v>25</v>
      </c>
      <c r="G180" s="122">
        <v>19096</v>
      </c>
      <c r="H180" s="119"/>
      <c r="I180" s="119">
        <f t="shared" si="5"/>
        <v>19506</v>
      </c>
      <c r="J180" s="126">
        <f t="shared" si="6"/>
        <v>0.021470465018852115</v>
      </c>
      <c r="K180" s="6"/>
      <c r="L180" s="19">
        <f t="shared" si="7"/>
        <v>19866.5</v>
      </c>
    </row>
    <row r="181" spans="1:12" ht="12">
      <c r="A181" s="24">
        <f t="shared" si="3"/>
        <v>26</v>
      </c>
      <c r="B181" s="4" t="s">
        <v>406</v>
      </c>
      <c r="D181" s="24">
        <f t="shared" si="4"/>
        <v>26</v>
      </c>
      <c r="E181" s="274"/>
      <c r="F181" s="274"/>
      <c r="G181" s="122">
        <v>19096</v>
      </c>
      <c r="H181" s="119"/>
      <c r="I181" s="119">
        <f t="shared" si="5"/>
        <v>19506</v>
      </c>
      <c r="J181" s="126">
        <f t="shared" si="6"/>
        <v>0.021470465018852115</v>
      </c>
      <c r="K181" s="6"/>
      <c r="L181" s="19">
        <f t="shared" si="7"/>
        <v>19866.5</v>
      </c>
    </row>
    <row r="182" spans="1:12" ht="12">
      <c r="A182" s="32" t="str">
        <f>$A$31</f>
        <v>Institution No.: GFC  </v>
      </c>
      <c r="B182" s="407"/>
      <c r="H182" s="5"/>
      <c r="I182" s="5"/>
      <c r="J182" s="37" t="s">
        <v>164</v>
      </c>
      <c r="K182" s="5"/>
      <c r="L182" s="5"/>
    </row>
    <row r="183" spans="1:12" ht="12">
      <c r="A183" s="390"/>
      <c r="B183" s="471"/>
      <c r="C183" s="471"/>
      <c r="D183" s="471"/>
      <c r="E183" s="471"/>
      <c r="F183" s="471"/>
      <c r="G183" s="471"/>
      <c r="H183" s="471"/>
      <c r="I183" s="471"/>
      <c r="J183" s="471"/>
      <c r="K183" s="471"/>
      <c r="L183" s="471"/>
    </row>
    <row r="184" spans="1:12" ht="12">
      <c r="A184" s="32" t="str">
        <f>A151</f>
        <v>NAME:  University of Colorado -  Colorado Springs</v>
      </c>
      <c r="H184" s="5"/>
      <c r="I184" s="5"/>
      <c r="J184" s="408" t="s">
        <v>630</v>
      </c>
      <c r="K184" s="5"/>
      <c r="L184" s="5"/>
    </row>
    <row r="185" spans="1:12" ht="12">
      <c r="A185" s="14"/>
      <c r="B185" s="14" t="s">
        <v>1</v>
      </c>
      <c r="C185" s="14" t="s">
        <v>1</v>
      </c>
      <c r="D185" s="14" t="s">
        <v>1</v>
      </c>
      <c r="E185" s="14" t="s">
        <v>1</v>
      </c>
      <c r="F185" s="14"/>
      <c r="G185" s="14"/>
      <c r="H185" s="14" t="s">
        <v>1</v>
      </c>
      <c r="I185" s="14" t="s">
        <v>1</v>
      </c>
      <c r="J185" s="14" t="s">
        <v>1</v>
      </c>
      <c r="K185" s="14" t="s">
        <v>1</v>
      </c>
      <c r="L185" s="5"/>
    </row>
    <row r="186" spans="1:12" ht="12">
      <c r="A186" s="35"/>
      <c r="C186" s="36" t="s">
        <v>65</v>
      </c>
      <c r="H186" s="36" t="s">
        <v>70</v>
      </c>
      <c r="I186" s="5"/>
      <c r="K186" s="5"/>
      <c r="L186" s="5"/>
    </row>
    <row r="187" spans="1:12" ht="12">
      <c r="A187" s="35"/>
      <c r="C187" s="36" t="s">
        <v>167</v>
      </c>
      <c r="H187" s="36" t="s">
        <v>410</v>
      </c>
      <c r="I187" s="5"/>
      <c r="K187" s="5"/>
      <c r="L187" s="5"/>
    </row>
    <row r="188" spans="1:12" ht="12">
      <c r="A188" s="14"/>
      <c r="C188" s="36" t="s">
        <v>19</v>
      </c>
      <c r="F188" s="36" t="s">
        <v>19</v>
      </c>
      <c r="G188" s="36" t="s">
        <v>168</v>
      </c>
      <c r="H188" s="36" t="s">
        <v>19</v>
      </c>
      <c r="I188" s="36" t="s">
        <v>19</v>
      </c>
      <c r="K188" s="36" t="s">
        <v>168</v>
      </c>
      <c r="L188" s="5"/>
    </row>
    <row r="189" spans="1:12" ht="12">
      <c r="A189" s="4"/>
      <c r="B189" s="36" t="s">
        <v>169</v>
      </c>
      <c r="C189" s="36" t="s">
        <v>170</v>
      </c>
      <c r="F189" s="36" t="s">
        <v>171</v>
      </c>
      <c r="G189" s="36" t="s">
        <v>172</v>
      </c>
      <c r="H189" s="36" t="s">
        <v>170</v>
      </c>
      <c r="I189" s="36" t="s">
        <v>171</v>
      </c>
      <c r="K189" s="36" t="s">
        <v>172</v>
      </c>
      <c r="L189" s="5"/>
    </row>
    <row r="190" spans="1:12" ht="12">
      <c r="A190" s="4"/>
      <c r="B190" s="14" t="s">
        <v>1</v>
      </c>
      <c r="C190" s="14" t="s">
        <v>1</v>
      </c>
      <c r="F190" s="14" t="s">
        <v>1</v>
      </c>
      <c r="G190" s="14" t="s">
        <v>1</v>
      </c>
      <c r="H190" s="14" t="s">
        <v>1</v>
      </c>
      <c r="I190" s="14" t="s">
        <v>1</v>
      </c>
      <c r="K190" s="14" t="s">
        <v>1</v>
      </c>
      <c r="L190" s="5"/>
    </row>
    <row r="191" spans="1:12" ht="12">
      <c r="A191" s="4"/>
      <c r="H191" s="5"/>
      <c r="I191" s="5"/>
      <c r="K191" s="5"/>
      <c r="L191" s="5"/>
    </row>
    <row r="192" spans="1:12" ht="12">
      <c r="A192" s="4"/>
      <c r="B192" s="4" t="s">
        <v>173</v>
      </c>
      <c r="C192" s="142"/>
      <c r="F192" s="142"/>
      <c r="G192" s="142"/>
      <c r="H192" s="142"/>
      <c r="I192" s="142"/>
      <c r="K192" s="143"/>
      <c r="L192" s="5"/>
    </row>
    <row r="193" spans="1:12" ht="12">
      <c r="A193" s="4"/>
      <c r="C193" s="142"/>
      <c r="F193" s="142"/>
      <c r="G193" s="142"/>
      <c r="H193" s="142"/>
      <c r="I193" s="142"/>
      <c r="K193" s="142"/>
      <c r="L193" s="5"/>
    </row>
    <row r="194" spans="1:12" ht="12">
      <c r="A194" s="4"/>
      <c r="B194" s="4" t="s">
        <v>174</v>
      </c>
      <c r="C194" s="120">
        <v>3458.28</v>
      </c>
      <c r="F194" s="120">
        <v>180</v>
      </c>
      <c r="G194" s="121">
        <f>C194/F194</f>
        <v>19.212666666666667</v>
      </c>
      <c r="H194" s="120">
        <v>3596.61</v>
      </c>
      <c r="I194" s="120">
        <v>180</v>
      </c>
      <c r="K194" s="120">
        <f>H194/I194</f>
        <v>19.981166666666667</v>
      </c>
      <c r="L194" s="5"/>
    </row>
    <row r="195" spans="1:12" ht="12">
      <c r="A195" s="4"/>
      <c r="C195" s="121"/>
      <c r="F195" s="121"/>
      <c r="G195" s="121"/>
      <c r="H195" s="121"/>
      <c r="I195" s="121"/>
      <c r="K195" s="121"/>
      <c r="L195" s="5"/>
    </row>
    <row r="196" spans="1:12" ht="12">
      <c r="A196" s="4"/>
      <c r="B196" s="4" t="s">
        <v>175</v>
      </c>
      <c r="C196" s="120">
        <v>2793.95</v>
      </c>
      <c r="F196" s="120">
        <v>213</v>
      </c>
      <c r="G196" s="121">
        <f>C196/F196</f>
        <v>13.11713615023474</v>
      </c>
      <c r="H196" s="120">
        <v>2905.71</v>
      </c>
      <c r="I196" s="120">
        <v>213</v>
      </c>
      <c r="K196" s="120">
        <f>H196/I196</f>
        <v>13.641830985915494</v>
      </c>
      <c r="L196" s="5"/>
    </row>
    <row r="197" spans="1:12" ht="12">
      <c r="A197" s="4"/>
      <c r="C197" s="121"/>
      <c r="F197" s="121"/>
      <c r="G197" s="121"/>
      <c r="H197" s="121"/>
      <c r="I197" s="121"/>
      <c r="K197" s="121"/>
      <c r="L197" s="5"/>
    </row>
    <row r="198" spans="1:12" ht="12">
      <c r="A198" s="4"/>
      <c r="B198" s="4" t="s">
        <v>176</v>
      </c>
      <c r="C198" s="120">
        <f>SUM(C192:C196)</f>
        <v>6252.23</v>
      </c>
      <c r="F198" s="120">
        <f>SUM(F192:F196)</f>
        <v>393</v>
      </c>
      <c r="G198" s="121">
        <f>C198/F198</f>
        <v>15.908982188295164</v>
      </c>
      <c r="H198" s="120">
        <f>SUM(H192:H196)</f>
        <v>6502.32</v>
      </c>
      <c r="I198" s="120">
        <f>SUM(I192:I196)</f>
        <v>393</v>
      </c>
      <c r="K198" s="120">
        <f>H198/I198</f>
        <v>16.54534351145038</v>
      </c>
      <c r="L198" s="410"/>
    </row>
    <row r="199" spans="1:12" ht="12">
      <c r="A199" s="4"/>
      <c r="C199" s="313"/>
      <c r="F199" s="313"/>
      <c r="G199" s="411"/>
      <c r="H199" s="411"/>
      <c r="I199" s="411"/>
      <c r="K199" s="411"/>
      <c r="L199" s="5"/>
    </row>
    <row r="200" spans="1:12" ht="12">
      <c r="A200" s="4"/>
      <c r="C200" s="313"/>
      <c r="F200" s="313"/>
      <c r="G200" s="411"/>
      <c r="H200" s="411"/>
      <c r="I200" s="411"/>
      <c r="K200" s="411"/>
      <c r="L200" s="5"/>
    </row>
    <row r="201" spans="1:12" ht="12">
      <c r="A201" s="4"/>
      <c r="B201" s="4" t="s">
        <v>177</v>
      </c>
      <c r="C201" s="121">
        <v>714.95</v>
      </c>
      <c r="F201" s="121">
        <v>109</v>
      </c>
      <c r="G201" s="121">
        <f>C201/F201</f>
        <v>6.559174311926606</v>
      </c>
      <c r="H201" s="121">
        <v>743.55</v>
      </c>
      <c r="I201" s="121">
        <v>109</v>
      </c>
      <c r="K201" s="120">
        <f>H201/I201</f>
        <v>6.8215596330275226</v>
      </c>
      <c r="L201" s="5"/>
    </row>
    <row r="202" spans="1:12" ht="12">
      <c r="A202" s="4"/>
      <c r="C202" s="121"/>
      <c r="F202" s="121"/>
      <c r="G202" s="121"/>
      <c r="H202" s="121"/>
      <c r="I202" s="121"/>
      <c r="K202" s="120"/>
      <c r="L202" s="5"/>
    </row>
    <row r="203" spans="1:12" ht="12">
      <c r="A203" s="4"/>
      <c r="B203" s="4" t="s">
        <v>178</v>
      </c>
      <c r="C203" s="121">
        <v>79</v>
      </c>
      <c r="F203" s="121">
        <v>15</v>
      </c>
      <c r="G203" s="121">
        <f>C203/F203</f>
        <v>5.266666666666667</v>
      </c>
      <c r="H203" s="121">
        <v>82.16</v>
      </c>
      <c r="I203" s="121">
        <v>15</v>
      </c>
      <c r="K203" s="120">
        <f>H203/I203</f>
        <v>5.477333333333333</v>
      </c>
      <c r="L203" s="5"/>
    </row>
    <row r="204" spans="1:12" ht="12">
      <c r="A204" s="4"/>
      <c r="C204" s="121"/>
      <c r="F204" s="121"/>
      <c r="G204" s="121"/>
      <c r="H204" s="121"/>
      <c r="I204" s="121"/>
      <c r="K204" s="120"/>
      <c r="L204" s="5"/>
    </row>
    <row r="205" spans="1:12" ht="12">
      <c r="A205" s="4"/>
      <c r="B205" s="4" t="s">
        <v>179</v>
      </c>
      <c r="C205" s="121">
        <f>+C201+C203</f>
        <v>793.95</v>
      </c>
      <c r="F205" s="121">
        <f>+F201+F203</f>
        <v>124</v>
      </c>
      <c r="G205" s="121">
        <f>C205/F205</f>
        <v>6.402822580645162</v>
      </c>
      <c r="H205" s="121">
        <f>SUM(H201:H203)</f>
        <v>825.7099999999999</v>
      </c>
      <c r="I205" s="121">
        <f>SUM(I201:I203)</f>
        <v>124</v>
      </c>
      <c r="K205" s="120">
        <f>H205/I205</f>
        <v>6.658951612903225</v>
      </c>
      <c r="L205" s="5"/>
    </row>
    <row r="206" spans="1:12" ht="12">
      <c r="A206" s="4"/>
      <c r="C206" s="121"/>
      <c r="F206" s="121"/>
      <c r="G206" s="121"/>
      <c r="H206" s="313"/>
      <c r="I206" s="313"/>
      <c r="K206" s="120"/>
      <c r="L206" s="5"/>
    </row>
    <row r="207" spans="1:12" ht="12">
      <c r="A207" s="4"/>
      <c r="B207" s="4" t="s">
        <v>180</v>
      </c>
      <c r="C207" s="120">
        <f>SUM(C198,C205)</f>
        <v>7046.179999999999</v>
      </c>
      <c r="F207" s="120">
        <f>SUM(F198,F205)</f>
        <v>517</v>
      </c>
      <c r="G207" s="121">
        <f>C207/F207</f>
        <v>13.6289748549323</v>
      </c>
      <c r="H207" s="409">
        <f>SUM(H198,H205)</f>
        <v>7328.03</v>
      </c>
      <c r="I207" s="409">
        <f>SUM(I198,I205)</f>
        <v>517</v>
      </c>
      <c r="K207" s="120">
        <f>H207/I207</f>
        <v>14.174139264990329</v>
      </c>
      <c r="L207" s="5"/>
    </row>
    <row r="208" spans="1:12" ht="12">
      <c r="A208" s="4"/>
      <c r="H208" s="5"/>
      <c r="I208" s="5"/>
      <c r="K208" s="5"/>
      <c r="L208" s="5"/>
    </row>
    <row r="209" spans="1:12" ht="12">
      <c r="A209" s="4"/>
      <c r="H209" s="5"/>
      <c r="I209" s="5"/>
      <c r="K209" s="5"/>
      <c r="L209" s="5"/>
    </row>
    <row r="210" spans="1:12" ht="12">
      <c r="A210" s="4"/>
      <c r="H210" s="5"/>
      <c r="I210" s="5"/>
      <c r="K210" s="5"/>
      <c r="L210" s="5"/>
    </row>
    <row r="211" spans="1:12" ht="12">
      <c r="A211" s="4"/>
      <c r="H211" s="5"/>
      <c r="I211" s="5"/>
      <c r="K211" s="5"/>
      <c r="L211" s="5"/>
    </row>
    <row r="212" spans="1:12" ht="12">
      <c r="A212" s="4"/>
      <c r="B212" s="4" t="s">
        <v>181</v>
      </c>
      <c r="H212" s="5"/>
      <c r="I212" s="5"/>
      <c r="K212" s="5"/>
      <c r="L212" s="5"/>
    </row>
    <row r="213" spans="1:12" ht="12">
      <c r="A213" s="4"/>
      <c r="B213" s="4" t="s">
        <v>411</v>
      </c>
      <c r="H213" s="5"/>
      <c r="I213" s="5"/>
      <c r="K213" s="5"/>
      <c r="L213" s="5"/>
    </row>
    <row r="214" spans="1:12" ht="12">
      <c r="A214" s="4"/>
      <c r="B214" s="5" t="s">
        <v>412</v>
      </c>
      <c r="I214" s="19"/>
      <c r="L214" s="19"/>
    </row>
    <row r="215" spans="1:12" ht="12">
      <c r="A215" s="4"/>
      <c r="I215" s="19"/>
      <c r="L215" s="19"/>
    </row>
    <row r="216" spans="1:12" ht="12">
      <c r="A216" s="4"/>
      <c r="I216" s="19"/>
      <c r="L216" s="19"/>
    </row>
    <row r="217" spans="1:12" ht="12">
      <c r="A217" s="4"/>
      <c r="I217" s="19"/>
      <c r="L217" s="19"/>
    </row>
    <row r="218" spans="1:12" ht="12">
      <c r="A218" s="4"/>
      <c r="I218" s="19"/>
      <c r="L218" s="19"/>
    </row>
    <row r="219" spans="1:12" s="394" customFormat="1" ht="12">
      <c r="A219" s="32" t="str">
        <f>$A$31</f>
        <v>Institution No.: GFC  </v>
      </c>
      <c r="D219" s="398"/>
      <c r="H219" s="399"/>
      <c r="I219" s="400"/>
      <c r="K219" s="399"/>
      <c r="L219" s="31" t="s">
        <v>183</v>
      </c>
    </row>
    <row r="220" spans="4:12" s="394" customFormat="1" ht="12">
      <c r="D220" s="398" t="s">
        <v>413</v>
      </c>
      <c r="H220" s="399"/>
      <c r="I220" s="400"/>
      <c r="K220" s="399"/>
      <c r="L220" s="400"/>
    </row>
    <row r="221" spans="1:12" ht="12">
      <c r="A221" s="32" t="str">
        <f>A184</f>
        <v>NAME:  University of Colorado -  Colorado Springs</v>
      </c>
      <c r="E221" s="7"/>
      <c r="F221" s="7"/>
      <c r="G221" s="7"/>
      <c r="H221" s="412"/>
      <c r="I221" s="413"/>
      <c r="K221" s="6"/>
      <c r="L221" s="34" t="str">
        <f>$L$2</f>
        <v>Date: 10/1/2010</v>
      </c>
    </row>
    <row r="222" spans="1:12" ht="12">
      <c r="A222" s="14" t="s">
        <v>1</v>
      </c>
      <c r="B222" s="14" t="s">
        <v>1</v>
      </c>
      <c r="C222" s="14" t="s">
        <v>1</v>
      </c>
      <c r="D222" s="14" t="s">
        <v>1</v>
      </c>
      <c r="E222" s="14" t="s">
        <v>1</v>
      </c>
      <c r="F222" s="14"/>
      <c r="G222" s="14"/>
      <c r="H222" s="15" t="s">
        <v>1</v>
      </c>
      <c r="I222" s="18" t="s">
        <v>1</v>
      </c>
      <c r="J222" s="14" t="s">
        <v>1</v>
      </c>
      <c r="K222" s="15" t="s">
        <v>1</v>
      </c>
      <c r="L222" s="18" t="s">
        <v>1</v>
      </c>
    </row>
    <row r="223" spans="1:12" ht="12">
      <c r="A223" s="35" t="s">
        <v>2</v>
      </c>
      <c r="D223" s="35" t="s">
        <v>2</v>
      </c>
      <c r="E223" s="1"/>
      <c r="F223" s="2"/>
      <c r="G223" s="3" t="s">
        <v>62</v>
      </c>
      <c r="H223" s="2"/>
      <c r="I223" s="3" t="s">
        <v>65</v>
      </c>
      <c r="J223" s="1"/>
      <c r="K223" s="2"/>
      <c r="L223" s="3" t="s">
        <v>70</v>
      </c>
    </row>
    <row r="224" spans="1:12" ht="12">
      <c r="A224" s="35" t="s">
        <v>4</v>
      </c>
      <c r="B224" s="36" t="s">
        <v>18</v>
      </c>
      <c r="C224" s="414" t="s">
        <v>635</v>
      </c>
      <c r="D224" s="35" t="s">
        <v>4</v>
      </c>
      <c r="E224" s="1"/>
      <c r="F224" s="2" t="s">
        <v>6</v>
      </c>
      <c r="G224" s="1" t="s">
        <v>7</v>
      </c>
      <c r="H224" s="2" t="s">
        <v>6</v>
      </c>
      <c r="I224" s="3" t="s">
        <v>7</v>
      </c>
      <c r="J224" s="1"/>
      <c r="K224" s="2" t="s">
        <v>6</v>
      </c>
      <c r="L224" s="3" t="s">
        <v>8</v>
      </c>
    </row>
    <row r="225" spans="1:12" ht="12">
      <c r="A225" s="14" t="s">
        <v>1</v>
      </c>
      <c r="B225" s="14" t="s">
        <v>1</v>
      </c>
      <c r="C225" s="14" t="s">
        <v>1</v>
      </c>
      <c r="D225" s="14" t="s">
        <v>1</v>
      </c>
      <c r="E225" s="14" t="s">
        <v>1</v>
      </c>
      <c r="F225" s="14"/>
      <c r="G225" s="14"/>
      <c r="H225" s="15" t="s">
        <v>1</v>
      </c>
      <c r="I225" s="18" t="s">
        <v>1</v>
      </c>
      <c r="J225" s="14" t="s">
        <v>1</v>
      </c>
      <c r="K225" s="15" t="s">
        <v>1</v>
      </c>
      <c r="L225" s="18" t="s">
        <v>1</v>
      </c>
    </row>
    <row r="226" spans="1:12" ht="12">
      <c r="A226" s="24">
        <v>1</v>
      </c>
      <c r="B226" s="4" t="s">
        <v>186</v>
      </c>
      <c r="D226" s="24">
        <v>1</v>
      </c>
      <c r="H226" s="6"/>
      <c r="I226" s="19"/>
      <c r="K226" s="6"/>
      <c r="L226" s="19"/>
    </row>
    <row r="227" spans="1:12" ht="12">
      <c r="A227" s="24">
        <f>(A226+1)</f>
        <v>2</v>
      </c>
      <c r="B227" s="4" t="s">
        <v>414</v>
      </c>
      <c r="C227" s="4" t="s">
        <v>415</v>
      </c>
      <c r="D227" s="24">
        <f>(D226+1)</f>
        <v>2</v>
      </c>
      <c r="E227" s="20"/>
      <c r="F227" s="124">
        <v>137</v>
      </c>
      <c r="G227" s="125">
        <v>1406373</v>
      </c>
      <c r="H227" s="124">
        <v>141</v>
      </c>
      <c r="I227" s="125">
        <v>1467658</v>
      </c>
      <c r="J227" s="125"/>
      <c r="K227" s="124">
        <v>51.3</v>
      </c>
      <c r="L227" s="125">
        <v>1704380</v>
      </c>
    </row>
    <row r="228" spans="1:12" ht="12">
      <c r="A228" s="24">
        <f>(A227+1)</f>
        <v>3</v>
      </c>
      <c r="C228" s="4" t="s">
        <v>416</v>
      </c>
      <c r="D228" s="24">
        <f>(D227+1)</f>
        <v>3</v>
      </c>
      <c r="E228" s="20"/>
      <c r="F228" s="124">
        <v>385</v>
      </c>
      <c r="G228" s="125">
        <v>2862556</v>
      </c>
      <c r="H228" s="124">
        <v>421</v>
      </c>
      <c r="I228" s="125">
        <f>3812541-327358-17953</f>
        <v>3467230</v>
      </c>
      <c r="J228" s="125"/>
      <c r="K228" s="124">
        <v>377.25</v>
      </c>
      <c r="L228" s="125">
        <f>2490312+686251</f>
        <v>3176563</v>
      </c>
    </row>
    <row r="229" spans="1:12" ht="12">
      <c r="A229" s="24">
        <v>4</v>
      </c>
      <c r="B229" s="4" t="s">
        <v>417</v>
      </c>
      <c r="C229" s="4" t="s">
        <v>418</v>
      </c>
      <c r="D229" s="24">
        <v>4</v>
      </c>
      <c r="E229" s="20"/>
      <c r="F229" s="124">
        <v>7</v>
      </c>
      <c r="G229" s="125">
        <v>165673</v>
      </c>
      <c r="H229" s="124">
        <v>7</v>
      </c>
      <c r="I229" s="125">
        <v>159855</v>
      </c>
      <c r="J229" s="125"/>
      <c r="K229" s="124">
        <v>3.57</v>
      </c>
      <c r="L229" s="125">
        <v>181927</v>
      </c>
    </row>
    <row r="230" spans="1:12" ht="12">
      <c r="A230" s="24">
        <f>(A229+1)</f>
        <v>5</v>
      </c>
      <c r="C230" s="4" t="s">
        <v>419</v>
      </c>
      <c r="D230" s="24">
        <f>(D229+1)</f>
        <v>5</v>
      </c>
      <c r="E230" s="20"/>
      <c r="F230" s="124">
        <v>25</v>
      </c>
      <c r="G230" s="125">
        <v>459026</v>
      </c>
      <c r="H230" s="124">
        <v>23</v>
      </c>
      <c r="I230" s="125">
        <f>495566+116758</f>
        <v>612324</v>
      </c>
      <c r="J230" s="125"/>
      <c r="K230" s="124">
        <v>30.37</v>
      </c>
      <c r="L230" s="125">
        <f>117714+510896-4391.35</f>
        <v>624218.65</v>
      </c>
    </row>
    <row r="231" spans="1:12" ht="12">
      <c r="A231" s="24">
        <f>(A230+1)</f>
        <v>6</v>
      </c>
      <c r="B231" s="4" t="s">
        <v>420</v>
      </c>
      <c r="D231" s="24">
        <f>(D230+1)</f>
        <v>6</v>
      </c>
      <c r="F231" s="122">
        <f>SUM(F227:F230)</f>
        <v>554</v>
      </c>
      <c r="G231" s="122">
        <f>SUM(G227:G230)</f>
        <v>4893628</v>
      </c>
      <c r="H231" s="122">
        <f>SUM(H227:H230)</f>
        <v>592</v>
      </c>
      <c r="I231" s="122">
        <f>SUM(I227:I230)</f>
        <v>5707067</v>
      </c>
      <c r="J231" s="122"/>
      <c r="K231" s="122">
        <f>SUM(K227:K230)</f>
        <v>462.49</v>
      </c>
      <c r="L231" s="122">
        <f>SUM(L227:L230)</f>
        <v>5687088.65</v>
      </c>
    </row>
    <row r="232" spans="1:12" ht="12">
      <c r="A232" s="24">
        <f>(A231+1)</f>
        <v>7</v>
      </c>
      <c r="B232" s="4" t="s">
        <v>187</v>
      </c>
      <c r="D232" s="24">
        <f>(D231+1)</f>
        <v>7</v>
      </c>
      <c r="F232" s="121"/>
      <c r="G232" s="122"/>
      <c r="H232" s="120"/>
      <c r="I232" s="119"/>
      <c r="J232" s="122"/>
      <c r="K232" s="120"/>
      <c r="L232" s="119"/>
    </row>
    <row r="233" spans="1:12" ht="12">
      <c r="A233" s="24">
        <f>(A232+1)</f>
        <v>8</v>
      </c>
      <c r="B233" s="4" t="s">
        <v>414</v>
      </c>
      <c r="C233" s="4" t="s">
        <v>415</v>
      </c>
      <c r="D233" s="24">
        <f>(D232+1)</f>
        <v>8</v>
      </c>
      <c r="E233" s="20"/>
      <c r="F233" s="124">
        <v>281</v>
      </c>
      <c r="G233" s="125">
        <v>3062230</v>
      </c>
      <c r="H233" s="124">
        <v>317</v>
      </c>
      <c r="I233" s="125">
        <f>3617748+1855</f>
        <v>3619603</v>
      </c>
      <c r="J233" s="125"/>
      <c r="K233" s="124">
        <v>378.84</v>
      </c>
      <c r="L233" s="125">
        <v>4020590</v>
      </c>
    </row>
    <row r="234" spans="1:12" ht="12">
      <c r="A234" s="24">
        <v>9</v>
      </c>
      <c r="C234" s="4" t="s">
        <v>416</v>
      </c>
      <c r="D234" s="24">
        <v>9</v>
      </c>
      <c r="E234" s="20"/>
      <c r="F234" s="124">
        <v>2545</v>
      </c>
      <c r="G234" s="125">
        <v>20203422</v>
      </c>
      <c r="H234" s="124">
        <v>2775</v>
      </c>
      <c r="I234" s="125">
        <f>21872118-1673161-91762-3391-1857</f>
        <v>20101947</v>
      </c>
      <c r="J234" s="125"/>
      <c r="K234" s="124">
        <v>2786.2</v>
      </c>
      <c r="L234" s="125">
        <f>18386770+5068363</f>
        <v>23455133</v>
      </c>
    </row>
    <row r="235" spans="1:12" ht="12">
      <c r="A235" s="24">
        <v>10</v>
      </c>
      <c r="B235" s="4" t="s">
        <v>417</v>
      </c>
      <c r="C235" s="4" t="s">
        <v>418</v>
      </c>
      <c r="D235" s="24">
        <v>10</v>
      </c>
      <c r="E235" s="20"/>
      <c r="F235" s="124">
        <v>24</v>
      </c>
      <c r="G235" s="125">
        <v>584787</v>
      </c>
      <c r="H235" s="124">
        <v>25</v>
      </c>
      <c r="I235" s="125">
        <v>623717</v>
      </c>
      <c r="J235" s="125"/>
      <c r="K235" s="124">
        <v>26.39</v>
      </c>
      <c r="L235" s="125">
        <v>660785</v>
      </c>
    </row>
    <row r="236" spans="1:12" ht="12">
      <c r="A236" s="24">
        <f>(A235+1)</f>
        <v>11</v>
      </c>
      <c r="C236" s="4" t="s">
        <v>419</v>
      </c>
      <c r="D236" s="24">
        <f>(D235+1)</f>
        <v>11</v>
      </c>
      <c r="E236" s="20"/>
      <c r="F236" s="124">
        <v>216</v>
      </c>
      <c r="G236" s="125">
        <v>3489883</v>
      </c>
      <c r="H236" s="124">
        <v>144</v>
      </c>
      <c r="I236" s="125">
        <f>2612892+916829</f>
        <v>3529721</v>
      </c>
      <c r="J236" s="125"/>
      <c r="K236" s="124">
        <v>224.29</v>
      </c>
      <c r="L236" s="125">
        <f>920159+2637968-32432.7</f>
        <v>3525694.3</v>
      </c>
    </row>
    <row r="237" spans="1:12" ht="12">
      <c r="A237" s="24">
        <f>(A236+1)</f>
        <v>12</v>
      </c>
      <c r="B237" s="4" t="s">
        <v>421</v>
      </c>
      <c r="D237" s="24">
        <f>(D236+1)</f>
        <v>12</v>
      </c>
      <c r="F237" s="121">
        <v>3066</v>
      </c>
      <c r="G237" s="122">
        <f>SUM(G233:G236)</f>
        <v>27340322</v>
      </c>
      <c r="H237" s="121">
        <f>SUM(H233:H236)</f>
        <v>3261</v>
      </c>
      <c r="I237" s="122">
        <f>SUM(I233:I236)</f>
        <v>27874988</v>
      </c>
      <c r="J237" s="122"/>
      <c r="K237" s="121">
        <f>SUM(K233:K236)</f>
        <v>3415.72</v>
      </c>
      <c r="L237" s="122">
        <f>SUM(L233:L236)</f>
        <v>31662202.3</v>
      </c>
    </row>
    <row r="238" spans="1:12" ht="12">
      <c r="A238" s="24">
        <f>(A237+1)</f>
        <v>13</v>
      </c>
      <c r="B238" s="4" t="s">
        <v>188</v>
      </c>
      <c r="D238" s="24">
        <f>(D237+1)</f>
        <v>13</v>
      </c>
      <c r="F238" s="121"/>
      <c r="G238" s="122"/>
      <c r="H238" s="120"/>
      <c r="I238" s="119"/>
      <c r="J238" s="122"/>
      <c r="K238" s="120"/>
      <c r="L238" s="119"/>
    </row>
    <row r="239" spans="1:12" ht="12">
      <c r="A239" s="24">
        <f>(A238+1)</f>
        <v>14</v>
      </c>
      <c r="B239" s="4" t="s">
        <v>414</v>
      </c>
      <c r="C239" s="4" t="s">
        <v>415</v>
      </c>
      <c r="D239" s="24">
        <f>(D238+1)</f>
        <v>14</v>
      </c>
      <c r="E239" s="20"/>
      <c r="F239" s="124"/>
      <c r="G239" s="125"/>
      <c r="H239" s="124"/>
      <c r="I239" s="125"/>
      <c r="J239" s="125"/>
      <c r="K239" s="124"/>
      <c r="L239" s="125"/>
    </row>
    <row r="240" spans="1:12" ht="12">
      <c r="A240" s="24">
        <v>15</v>
      </c>
      <c r="B240" s="4"/>
      <c r="C240" s="4" t="s">
        <v>416</v>
      </c>
      <c r="D240" s="24">
        <v>15</v>
      </c>
      <c r="E240" s="20"/>
      <c r="F240" s="124"/>
      <c r="G240" s="125"/>
      <c r="H240" s="124"/>
      <c r="I240" s="125"/>
      <c r="J240" s="125"/>
      <c r="K240" s="124"/>
      <c r="L240" s="125"/>
    </row>
    <row r="241" spans="1:12" ht="12">
      <c r="A241" s="24">
        <v>16</v>
      </c>
      <c r="B241" s="4" t="s">
        <v>417</v>
      </c>
      <c r="C241" s="4" t="s">
        <v>418</v>
      </c>
      <c r="D241" s="24">
        <v>16</v>
      </c>
      <c r="E241" s="20"/>
      <c r="F241" s="124"/>
      <c r="G241" s="125"/>
      <c r="H241" s="124"/>
      <c r="I241" s="125"/>
      <c r="J241" s="125"/>
      <c r="K241" s="124"/>
      <c r="L241" s="125"/>
    </row>
    <row r="242" spans="1:12" ht="12">
      <c r="A242" s="24">
        <v>17</v>
      </c>
      <c r="B242" s="4"/>
      <c r="C242" s="4" t="s">
        <v>419</v>
      </c>
      <c r="D242" s="24">
        <v>17</v>
      </c>
      <c r="F242" s="121"/>
      <c r="G242" s="122"/>
      <c r="H242" s="121"/>
      <c r="I242" s="122"/>
      <c r="J242" s="122"/>
      <c r="K242" s="121"/>
      <c r="L242" s="122"/>
    </row>
    <row r="243" spans="1:12" ht="12">
      <c r="A243" s="24">
        <v>18</v>
      </c>
      <c r="B243" s="4" t="s">
        <v>422</v>
      </c>
      <c r="C243" s="4"/>
      <c r="D243" s="24">
        <v>18</v>
      </c>
      <c r="F243" s="121">
        <f>SUM(F239:F242)</f>
        <v>0</v>
      </c>
      <c r="G243" s="122">
        <f>SUM(G239:G242)</f>
        <v>0</v>
      </c>
      <c r="H243" s="121">
        <f>SUM(H239:H242)</f>
        <v>0</v>
      </c>
      <c r="I243" s="122">
        <f>SUM(I239:I242)</f>
        <v>0</v>
      </c>
      <c r="J243" s="122"/>
      <c r="K243" s="121">
        <f>SUM(K239:K242)</f>
        <v>0</v>
      </c>
      <c r="L243" s="122">
        <f>SUM(L239:L242)</f>
        <v>0</v>
      </c>
    </row>
    <row r="244" spans="1:12" ht="12">
      <c r="A244" s="24">
        <v>19</v>
      </c>
      <c r="B244" s="4" t="s">
        <v>189</v>
      </c>
      <c r="C244" s="4"/>
      <c r="D244" s="24">
        <v>19</v>
      </c>
      <c r="F244" s="121"/>
      <c r="G244" s="122"/>
      <c r="H244" s="121"/>
      <c r="I244" s="122"/>
      <c r="J244" s="122"/>
      <c r="K244" s="121"/>
      <c r="L244" s="122"/>
    </row>
    <row r="245" spans="1:12" ht="12">
      <c r="A245" s="24">
        <v>20</v>
      </c>
      <c r="B245" s="4" t="s">
        <v>414</v>
      </c>
      <c r="C245" s="4" t="s">
        <v>415</v>
      </c>
      <c r="D245" s="24">
        <v>20</v>
      </c>
      <c r="E245" s="304"/>
      <c r="F245" s="124">
        <v>277</v>
      </c>
      <c r="G245" s="125">
        <v>3028659</v>
      </c>
      <c r="H245" s="124">
        <v>326</v>
      </c>
      <c r="I245" s="125">
        <v>3696039</v>
      </c>
      <c r="J245" s="125"/>
      <c r="K245" s="124">
        <v>373.86</v>
      </c>
      <c r="L245" s="125">
        <v>4068864</v>
      </c>
    </row>
    <row r="246" spans="1:12" ht="12">
      <c r="A246" s="24">
        <v>21</v>
      </c>
      <c r="B246" s="4"/>
      <c r="C246" s="4" t="s">
        <v>416</v>
      </c>
      <c r="D246" s="24">
        <v>21</v>
      </c>
      <c r="E246" s="304"/>
      <c r="F246" s="124">
        <v>2493</v>
      </c>
      <c r="G246" s="125">
        <v>19872636</v>
      </c>
      <c r="H246" s="124">
        <v>2708</v>
      </c>
      <c r="I246" s="125">
        <f>21572835-1636787-89767</f>
        <v>19846281</v>
      </c>
      <c r="J246" s="125"/>
      <c r="K246" s="124">
        <v>2749.55</v>
      </c>
      <c r="L246" s="125">
        <f>18144606+5001674</f>
        <v>23146280</v>
      </c>
    </row>
    <row r="247" spans="1:12" ht="12">
      <c r="A247" s="24">
        <v>22</v>
      </c>
      <c r="B247" s="4" t="s">
        <v>417</v>
      </c>
      <c r="C247" s="4" t="s">
        <v>418</v>
      </c>
      <c r="D247" s="24">
        <v>22</v>
      </c>
      <c r="E247" s="304"/>
      <c r="F247" s="124">
        <v>23</v>
      </c>
      <c r="G247" s="125">
        <v>562112</v>
      </c>
      <c r="H247" s="124">
        <v>23</v>
      </c>
      <c r="I247" s="125">
        <v>592349</v>
      </c>
      <c r="J247" s="125"/>
      <c r="K247" s="124">
        <v>26.04</v>
      </c>
      <c r="L247" s="125">
        <v>619580</v>
      </c>
    </row>
    <row r="248" spans="1:12" ht="12">
      <c r="A248" s="24">
        <v>23</v>
      </c>
      <c r="C248" s="4" t="s">
        <v>419</v>
      </c>
      <c r="D248" s="24">
        <v>23</v>
      </c>
      <c r="E248" s="304"/>
      <c r="F248" s="124">
        <v>194</v>
      </c>
      <c r="G248" s="125">
        <v>3159040</v>
      </c>
      <c r="H248" s="124">
        <v>137</v>
      </c>
      <c r="I248" s="125">
        <f>2520750+921135</f>
        <v>3441885</v>
      </c>
      <c r="J248" s="125"/>
      <c r="K248" s="124">
        <v>221.34</v>
      </c>
      <c r="L248" s="125">
        <f>929798+2513669-32005.95</f>
        <v>3411461.05</v>
      </c>
    </row>
    <row r="249" spans="1:12" ht="12">
      <c r="A249" s="24">
        <v>24</v>
      </c>
      <c r="B249" s="4" t="s">
        <v>423</v>
      </c>
      <c r="D249" s="24">
        <v>24</v>
      </c>
      <c r="E249" s="274"/>
      <c r="F249" s="120">
        <f>SUM(F245:F248)</f>
        <v>2987</v>
      </c>
      <c r="G249" s="119">
        <f>SUM(G245:G248)</f>
        <v>26622447</v>
      </c>
      <c r="H249" s="120">
        <f>SUM(H245:H248)</f>
        <v>3194</v>
      </c>
      <c r="I249" s="119">
        <f>SUM(I245:I248)</f>
        <v>27576554</v>
      </c>
      <c r="J249" s="119"/>
      <c r="K249" s="120">
        <f>SUM(K245:K248)</f>
        <v>3370.7900000000004</v>
      </c>
      <c r="L249" s="119">
        <f>SUM(L245:L248)</f>
        <v>31246185.05</v>
      </c>
    </row>
    <row r="250" spans="1:12" ht="12">
      <c r="A250" s="24">
        <v>25</v>
      </c>
      <c r="B250" s="4" t="s">
        <v>190</v>
      </c>
      <c r="D250" s="24">
        <v>25</v>
      </c>
      <c r="F250" s="121"/>
      <c r="G250" s="122"/>
      <c r="H250" s="121"/>
      <c r="I250" s="122"/>
      <c r="J250" s="122"/>
      <c r="K250" s="121"/>
      <c r="L250" s="122"/>
    </row>
    <row r="251" spans="1:12" ht="12">
      <c r="A251" s="24">
        <v>26</v>
      </c>
      <c r="B251" s="4" t="s">
        <v>414</v>
      </c>
      <c r="C251" s="4" t="s">
        <v>415</v>
      </c>
      <c r="D251" s="24">
        <v>26</v>
      </c>
      <c r="F251" s="121">
        <f aca="true" t="shared" si="8" ref="F251:I254">F227+F233+F239+F245</f>
        <v>695</v>
      </c>
      <c r="G251" s="122">
        <f t="shared" si="8"/>
        <v>7497262</v>
      </c>
      <c r="H251" s="121">
        <f t="shared" si="8"/>
        <v>784</v>
      </c>
      <c r="I251" s="122">
        <f t="shared" si="8"/>
        <v>8783300</v>
      </c>
      <c r="J251" s="122"/>
      <c r="K251" s="121">
        <f aca="true" t="shared" si="9" ref="K251:L254">K227+K233+K239+K245</f>
        <v>804</v>
      </c>
      <c r="L251" s="122">
        <f t="shared" si="9"/>
        <v>9793834</v>
      </c>
    </row>
    <row r="252" spans="1:12" ht="12">
      <c r="A252" s="24">
        <v>27</v>
      </c>
      <c r="B252" s="4"/>
      <c r="C252" s="4" t="s">
        <v>416</v>
      </c>
      <c r="D252" s="24">
        <v>27</v>
      </c>
      <c r="F252" s="121">
        <f t="shared" si="8"/>
        <v>5423</v>
      </c>
      <c r="G252" s="122">
        <f t="shared" si="8"/>
        <v>42938614</v>
      </c>
      <c r="H252" s="121">
        <f t="shared" si="8"/>
        <v>5904</v>
      </c>
      <c r="I252" s="122">
        <f t="shared" si="8"/>
        <v>43415458</v>
      </c>
      <c r="J252" s="122"/>
      <c r="K252" s="121">
        <f t="shared" si="9"/>
        <v>5913</v>
      </c>
      <c r="L252" s="122">
        <f t="shared" si="9"/>
        <v>49777976</v>
      </c>
    </row>
    <row r="253" spans="1:12" ht="12">
      <c r="A253" s="24">
        <v>28</v>
      </c>
      <c r="B253" s="4" t="s">
        <v>417</v>
      </c>
      <c r="C253" s="4" t="s">
        <v>418</v>
      </c>
      <c r="D253" s="24">
        <v>28</v>
      </c>
      <c r="F253" s="121">
        <f t="shared" si="8"/>
        <v>54</v>
      </c>
      <c r="G253" s="122">
        <f t="shared" si="8"/>
        <v>1312572</v>
      </c>
      <c r="H253" s="121">
        <f t="shared" si="8"/>
        <v>55</v>
      </c>
      <c r="I253" s="122">
        <f t="shared" si="8"/>
        <v>1375921</v>
      </c>
      <c r="J253" s="122"/>
      <c r="K253" s="121">
        <f t="shared" si="9"/>
        <v>56</v>
      </c>
      <c r="L253" s="122">
        <f t="shared" si="9"/>
        <v>1462292</v>
      </c>
    </row>
    <row r="254" spans="1:12" ht="12">
      <c r="A254" s="24">
        <v>29</v>
      </c>
      <c r="C254" s="4" t="s">
        <v>419</v>
      </c>
      <c r="D254" s="24">
        <v>29</v>
      </c>
      <c r="F254" s="121">
        <f t="shared" si="8"/>
        <v>435</v>
      </c>
      <c r="G254" s="122">
        <f t="shared" si="8"/>
        <v>7107949</v>
      </c>
      <c r="H254" s="121">
        <f t="shared" si="8"/>
        <v>304</v>
      </c>
      <c r="I254" s="122">
        <f t="shared" si="8"/>
        <v>7583930</v>
      </c>
      <c r="J254" s="122"/>
      <c r="K254" s="121">
        <f t="shared" si="9"/>
        <v>476</v>
      </c>
      <c r="L254" s="122">
        <f t="shared" si="9"/>
        <v>7561374</v>
      </c>
    </row>
    <row r="255" spans="1:12" ht="12">
      <c r="A255" s="24">
        <v>30</v>
      </c>
      <c r="D255" s="24">
        <v>30</v>
      </c>
      <c r="F255" s="121"/>
      <c r="G255" s="122"/>
      <c r="H255" s="120"/>
      <c r="I255" s="119"/>
      <c r="J255" s="122"/>
      <c r="K255" s="120"/>
      <c r="L255" s="119"/>
    </row>
    <row r="256" spans="1:12" ht="12">
      <c r="A256" s="24">
        <v>31</v>
      </c>
      <c r="B256" s="4" t="s">
        <v>191</v>
      </c>
      <c r="D256" s="24">
        <v>31</v>
      </c>
      <c r="F256" s="121">
        <f>SUM(F251:F252)</f>
        <v>6118</v>
      </c>
      <c r="G256" s="122">
        <f>SUM(G251:G252)</f>
        <v>50435876</v>
      </c>
      <c r="H256" s="121">
        <f>SUM(H251:H252)</f>
        <v>6688</v>
      </c>
      <c r="I256" s="122">
        <f>SUM(I251:I252)</f>
        <v>52198758</v>
      </c>
      <c r="J256" s="122"/>
      <c r="K256" s="121">
        <f>SUM(K251:K252)</f>
        <v>6717</v>
      </c>
      <c r="L256" s="122">
        <f>SUM(L251:L252)</f>
        <v>59571810</v>
      </c>
    </row>
    <row r="257" spans="1:12" ht="12">
      <c r="A257" s="24">
        <v>32</v>
      </c>
      <c r="B257" s="4" t="s">
        <v>192</v>
      </c>
      <c r="D257" s="24">
        <v>32</v>
      </c>
      <c r="F257" s="121">
        <f>SUM(F253:F254)</f>
        <v>489</v>
      </c>
      <c r="G257" s="122">
        <f>SUM(G253:G254)</f>
        <v>8420521</v>
      </c>
      <c r="H257" s="121">
        <f>SUM(H253:H254)</f>
        <v>359</v>
      </c>
      <c r="I257" s="122">
        <f>SUM(I253:I254)</f>
        <v>8959851</v>
      </c>
      <c r="J257" s="122"/>
      <c r="K257" s="121">
        <f>SUM(K253:K254)</f>
        <v>532</v>
      </c>
      <c r="L257" s="122">
        <f>SUM(L253:L254)</f>
        <v>9023666</v>
      </c>
    </row>
    <row r="258" spans="1:12" ht="12">
      <c r="A258" s="24">
        <v>33</v>
      </c>
      <c r="B258" s="4" t="s">
        <v>193</v>
      </c>
      <c r="D258" s="24">
        <v>33</v>
      </c>
      <c r="E258" s="274"/>
      <c r="F258" s="120">
        <f aca="true" t="shared" si="10" ref="F258:I259">SUM(F251,F253)</f>
        <v>749</v>
      </c>
      <c r="G258" s="119">
        <f t="shared" si="10"/>
        <v>8809834</v>
      </c>
      <c r="H258" s="120">
        <f t="shared" si="10"/>
        <v>839</v>
      </c>
      <c r="I258" s="119">
        <f t="shared" si="10"/>
        <v>10159221</v>
      </c>
      <c r="J258" s="119"/>
      <c r="K258" s="120">
        <f>SUM(K251,K253)</f>
        <v>860</v>
      </c>
      <c r="L258" s="119">
        <f>SUM(L251,L253)</f>
        <v>11256126</v>
      </c>
    </row>
    <row r="259" spans="1:12" ht="12">
      <c r="A259" s="24">
        <v>34</v>
      </c>
      <c r="B259" s="4" t="s">
        <v>194</v>
      </c>
      <c r="D259" s="24">
        <v>34</v>
      </c>
      <c r="E259" s="274"/>
      <c r="F259" s="120">
        <f>SUM(F252,F254)</f>
        <v>5858</v>
      </c>
      <c r="G259" s="119">
        <f t="shared" si="10"/>
        <v>50046563</v>
      </c>
      <c r="H259" s="120">
        <f t="shared" si="10"/>
        <v>6208</v>
      </c>
      <c r="I259" s="119">
        <f t="shared" si="10"/>
        <v>50999388</v>
      </c>
      <c r="J259" s="119"/>
      <c r="K259" s="120">
        <f>SUM(K252,K254)</f>
        <v>6389</v>
      </c>
      <c r="L259" s="119">
        <f>SUM(L252,L254)</f>
        <v>57339350</v>
      </c>
    </row>
    <row r="260" spans="1:12" ht="12">
      <c r="A260" s="4"/>
      <c r="B260" s="14" t="s">
        <v>1</v>
      </c>
      <c r="C260" s="14" t="s">
        <v>1</v>
      </c>
      <c r="D260" s="14" t="s">
        <v>1</v>
      </c>
      <c r="E260" s="14" t="s">
        <v>1</v>
      </c>
      <c r="F260" s="415"/>
      <c r="G260" s="14"/>
      <c r="H260" s="14" t="s">
        <v>1</v>
      </c>
      <c r="I260" s="14" t="s">
        <v>1</v>
      </c>
      <c r="J260" s="14" t="s">
        <v>1</v>
      </c>
      <c r="K260" s="14" t="s">
        <v>1</v>
      </c>
      <c r="L260" s="14"/>
    </row>
    <row r="261" spans="1:12" ht="12">
      <c r="A261" s="24">
        <v>35</v>
      </c>
      <c r="B261" s="5" t="s">
        <v>424</v>
      </c>
      <c r="D261" s="24">
        <v>35</v>
      </c>
      <c r="F261" s="121">
        <f>SUM(F258:F259)</f>
        <v>6607</v>
      </c>
      <c r="G261" s="122">
        <f>SUM(G258:G259)</f>
        <v>58856397</v>
      </c>
      <c r="H261" s="121">
        <f>SUM(H258:H259)</f>
        <v>7047</v>
      </c>
      <c r="I261" s="122">
        <f>SUM(I258:I259)</f>
        <v>61158609</v>
      </c>
      <c r="J261" s="122"/>
      <c r="K261" s="121">
        <f>SUM(K258:K259)</f>
        <v>7249</v>
      </c>
      <c r="L261" s="122">
        <f>SUM(L258:L259)</f>
        <v>68595476</v>
      </c>
    </row>
    <row r="262" spans="2:12" ht="12">
      <c r="B262" s="4" t="s">
        <v>425</v>
      </c>
      <c r="E262" s="252" t="s">
        <v>1</v>
      </c>
      <c r="F262" s="252"/>
      <c r="G262" s="252"/>
      <c r="H262" s="15"/>
      <c r="I262" s="18"/>
      <c r="J262" s="252"/>
      <c r="K262" s="15"/>
      <c r="L262" s="18"/>
    </row>
    <row r="263" spans="1:12" ht="12">
      <c r="A263" s="5">
        <v>36</v>
      </c>
      <c r="B263" s="416" t="s">
        <v>634</v>
      </c>
      <c r="C263" s="8"/>
      <c r="D263" s="8">
        <v>36</v>
      </c>
      <c r="E263" s="417"/>
      <c r="F263" s="417"/>
      <c r="G263" s="396">
        <v>12141626</v>
      </c>
      <c r="H263" s="11"/>
      <c r="I263" s="396">
        <f>14275138+674284</f>
        <v>14949422</v>
      </c>
      <c r="J263" s="417"/>
      <c r="K263" s="11"/>
      <c r="L263" s="396">
        <v>15995882</v>
      </c>
    </row>
    <row r="264" spans="2:12" ht="12">
      <c r="B264" s="5" t="s">
        <v>631</v>
      </c>
      <c r="E264" s="252"/>
      <c r="F264" s="252"/>
      <c r="G264" s="252"/>
      <c r="H264" s="15"/>
      <c r="I264" s="19"/>
      <c r="J264" s="252"/>
      <c r="K264" s="15"/>
      <c r="L264" s="19"/>
    </row>
    <row r="265" spans="1:12" s="394" customFormat="1" ht="12">
      <c r="A265" s="32" t="str">
        <f>$A$31</f>
        <v>Institution No.: GFC  </v>
      </c>
      <c r="D265" s="398"/>
      <c r="H265" s="399"/>
      <c r="I265" s="400"/>
      <c r="K265" s="399"/>
      <c r="L265" s="418" t="s">
        <v>197</v>
      </c>
    </row>
    <row r="266" spans="3:12" s="394" customFormat="1" ht="12">
      <c r="C266" s="401" t="s">
        <v>426</v>
      </c>
      <c r="D266" s="398"/>
      <c r="H266" s="399"/>
      <c r="I266" s="400"/>
      <c r="K266" s="399"/>
      <c r="L266" s="400"/>
    </row>
    <row r="267" spans="1:12" ht="12">
      <c r="A267" s="32" t="str">
        <f>A221</f>
        <v>NAME:  University of Colorado -  Colorado Springs</v>
      </c>
      <c r="E267" s="419"/>
      <c r="F267" s="419"/>
      <c r="G267" s="419"/>
      <c r="H267" s="412"/>
      <c r="I267" s="413"/>
      <c r="K267" s="6"/>
      <c r="L267" s="34" t="str">
        <f>$L$2</f>
        <v>Date: 10/1/2010</v>
      </c>
    </row>
    <row r="268" spans="1:12" ht="12">
      <c r="A268" s="14" t="s">
        <v>1</v>
      </c>
      <c r="B268" s="14" t="s">
        <v>1</v>
      </c>
      <c r="C268" s="14" t="s">
        <v>1</v>
      </c>
      <c r="D268" s="14" t="s">
        <v>1</v>
      </c>
      <c r="E268" s="14" t="s">
        <v>1</v>
      </c>
      <c r="F268" s="14"/>
      <c r="G268" s="14"/>
      <c r="H268" s="15" t="s">
        <v>1</v>
      </c>
      <c r="I268" s="18" t="s">
        <v>1</v>
      </c>
      <c r="J268" s="14" t="s">
        <v>1</v>
      </c>
      <c r="K268" s="15" t="s">
        <v>1</v>
      </c>
      <c r="L268" s="18" t="s">
        <v>1</v>
      </c>
    </row>
    <row r="269" spans="1:12" ht="12">
      <c r="A269" s="35" t="s">
        <v>2</v>
      </c>
      <c r="D269" s="35" t="s">
        <v>2</v>
      </c>
      <c r="G269" s="3" t="s">
        <v>62</v>
      </c>
      <c r="H269" s="2"/>
      <c r="I269" s="3" t="s">
        <v>65</v>
      </c>
      <c r="J269" s="1"/>
      <c r="K269" s="2"/>
      <c r="L269" s="3" t="s">
        <v>70</v>
      </c>
    </row>
    <row r="270" spans="1:12" ht="12">
      <c r="A270" s="35" t="s">
        <v>4</v>
      </c>
      <c r="B270" s="36" t="s">
        <v>18</v>
      </c>
      <c r="D270" s="35" t="s">
        <v>4</v>
      </c>
      <c r="G270" s="3" t="s">
        <v>7</v>
      </c>
      <c r="H270" s="6"/>
      <c r="I270" s="3" t="s">
        <v>7</v>
      </c>
      <c r="K270" s="6"/>
      <c r="L270" s="3" t="s">
        <v>8</v>
      </c>
    </row>
    <row r="271" spans="1:12" ht="12">
      <c r="A271" s="14" t="s">
        <v>1</v>
      </c>
      <c r="B271" s="14" t="s">
        <v>1</v>
      </c>
      <c r="C271" s="14" t="s">
        <v>1</v>
      </c>
      <c r="D271" s="14" t="s">
        <v>1</v>
      </c>
      <c r="E271" s="14" t="s">
        <v>1</v>
      </c>
      <c r="F271" s="14"/>
      <c r="G271" s="14"/>
      <c r="H271" s="15" t="s">
        <v>1</v>
      </c>
      <c r="I271" s="18" t="s">
        <v>1</v>
      </c>
      <c r="J271" s="14" t="s">
        <v>1</v>
      </c>
      <c r="K271" s="15" t="s">
        <v>1</v>
      </c>
      <c r="L271" s="18" t="s">
        <v>1</v>
      </c>
    </row>
    <row r="272" spans="1:12" ht="12">
      <c r="A272" s="359">
        <v>1</v>
      </c>
      <c r="B272" s="4" t="s">
        <v>427</v>
      </c>
      <c r="D272" s="359">
        <v>1</v>
      </c>
      <c r="H272" s="6"/>
      <c r="I272" s="19"/>
      <c r="K272" s="6"/>
      <c r="L272" s="19"/>
    </row>
    <row r="273" spans="1:12" ht="12">
      <c r="A273" s="359">
        <v>2</v>
      </c>
      <c r="B273" s="4" t="s">
        <v>67</v>
      </c>
      <c r="D273" s="359">
        <v>2</v>
      </c>
      <c r="G273" s="155">
        <v>4932495</v>
      </c>
      <c r="H273" s="6"/>
      <c r="I273" s="19">
        <v>12956917</v>
      </c>
      <c r="K273" s="6"/>
      <c r="L273" s="19">
        <v>3107483</v>
      </c>
    </row>
    <row r="274" spans="1:12" ht="12">
      <c r="A274" s="359">
        <v>3</v>
      </c>
      <c r="B274" s="4" t="s">
        <v>428</v>
      </c>
      <c r="D274" s="359">
        <v>3</v>
      </c>
      <c r="G274" s="155">
        <v>1027908</v>
      </c>
      <c r="H274" s="6"/>
      <c r="I274" s="19">
        <v>1305214</v>
      </c>
      <c r="K274" s="6"/>
      <c r="L274" s="19">
        <f>1159332+22281</f>
        <v>1181613</v>
      </c>
    </row>
    <row r="275" spans="1:13" ht="12">
      <c r="A275" s="359">
        <v>4</v>
      </c>
      <c r="B275" s="4" t="s">
        <v>429</v>
      </c>
      <c r="D275" s="359">
        <v>4</v>
      </c>
      <c r="G275" s="155">
        <v>190508</v>
      </c>
      <c r="H275" s="6"/>
      <c r="I275" s="19">
        <v>228974</v>
      </c>
      <c r="K275" s="6"/>
      <c r="L275" s="19">
        <v>222297</v>
      </c>
      <c r="M275" s="16"/>
    </row>
    <row r="276" spans="1:12" ht="12">
      <c r="A276" s="5">
        <v>5</v>
      </c>
      <c r="B276" s="4" t="s">
        <v>430</v>
      </c>
      <c r="D276" s="359"/>
      <c r="G276" s="155">
        <v>1065361</v>
      </c>
      <c r="H276" s="6"/>
      <c r="I276" s="19">
        <f>1054532.76+410098.35</f>
        <v>1464631.1099999999</v>
      </c>
      <c r="K276" s="6"/>
      <c r="L276" s="19">
        <f>421860+1085164</f>
        <v>1507024</v>
      </c>
    </row>
    <row r="277" spans="4:12" ht="12">
      <c r="D277" s="5">
        <v>5</v>
      </c>
      <c r="E277" s="252" t="s">
        <v>1</v>
      </c>
      <c r="F277" s="252"/>
      <c r="G277" s="252"/>
      <c r="H277" s="15" t="s">
        <v>1</v>
      </c>
      <c r="I277" s="18"/>
      <c r="J277" s="252"/>
      <c r="K277" s="15"/>
      <c r="L277" s="18"/>
    </row>
    <row r="278" spans="1:12" ht="12">
      <c r="A278" s="359"/>
      <c r="D278" s="359"/>
      <c r="E278" s="252" t="s">
        <v>1</v>
      </c>
      <c r="F278" s="252"/>
      <c r="G278" s="252"/>
      <c r="H278" s="15" t="s">
        <v>1</v>
      </c>
      <c r="I278" s="156"/>
      <c r="J278" s="252"/>
      <c r="K278" s="15"/>
      <c r="L278" s="18"/>
    </row>
    <row r="279" spans="1:12" ht="12">
      <c r="A279" s="359"/>
      <c r="B279" s="259" t="s">
        <v>0</v>
      </c>
      <c r="C279" s="255"/>
      <c r="D279" s="359"/>
      <c r="G279" s="122"/>
      <c r="H279" s="119"/>
      <c r="I279" s="119"/>
      <c r="J279" s="122"/>
      <c r="K279" s="119"/>
      <c r="L279" s="119"/>
    </row>
    <row r="280" spans="1:12" ht="12">
      <c r="A280" s="359">
        <v>16</v>
      </c>
      <c r="B280" s="5" t="s">
        <v>431</v>
      </c>
      <c r="D280" s="359">
        <v>16</v>
      </c>
      <c r="G280" s="122">
        <v>-32340</v>
      </c>
      <c r="H280" s="119"/>
      <c r="I280" s="119">
        <f>-3919028+16524</f>
        <v>-3902504</v>
      </c>
      <c r="J280" s="122"/>
      <c r="K280" s="119"/>
      <c r="L280" s="119">
        <v>0</v>
      </c>
    </row>
    <row r="281" spans="1:12" ht="12">
      <c r="A281" s="359">
        <v>17</v>
      </c>
      <c r="B281" s="4" t="s">
        <v>0</v>
      </c>
      <c r="D281" s="359">
        <v>17</v>
      </c>
      <c r="E281" s="20"/>
      <c r="F281" s="20"/>
      <c r="G281" s="125"/>
      <c r="H281" s="125"/>
      <c r="I281" s="125"/>
      <c r="J281" s="125"/>
      <c r="K281" s="125"/>
      <c r="L281" s="125"/>
    </row>
    <row r="282" spans="1:12" ht="12">
      <c r="A282" s="359">
        <v>18</v>
      </c>
      <c r="D282" s="359">
        <v>18</v>
      </c>
      <c r="G282" s="122"/>
      <c r="H282" s="122"/>
      <c r="I282" s="122"/>
      <c r="J282" s="122"/>
      <c r="K282" s="122" t="s">
        <v>0</v>
      </c>
      <c r="L282" s="122"/>
    </row>
    <row r="283" spans="1:12" ht="12">
      <c r="A283" s="359">
        <v>19</v>
      </c>
      <c r="D283" s="359">
        <v>19</v>
      </c>
      <c r="G283" s="122"/>
      <c r="H283" s="122"/>
      <c r="I283" s="122"/>
      <c r="J283" s="122"/>
      <c r="K283" s="122"/>
      <c r="L283" s="122"/>
    </row>
    <row r="284" spans="1:12" ht="12">
      <c r="A284" s="359"/>
      <c r="B284" s="259"/>
      <c r="D284" s="359"/>
      <c r="E284" s="252" t="s">
        <v>1</v>
      </c>
      <c r="F284" s="252"/>
      <c r="G284" s="252"/>
      <c r="H284" s="15" t="s">
        <v>1</v>
      </c>
      <c r="I284" s="18" t="s">
        <v>1</v>
      </c>
      <c r="J284" s="252" t="s">
        <v>1</v>
      </c>
      <c r="K284" s="15" t="s">
        <v>1</v>
      </c>
      <c r="L284" s="18" t="s">
        <v>1</v>
      </c>
    </row>
    <row r="285" spans="1:12" ht="12">
      <c r="A285" s="359">
        <v>20</v>
      </c>
      <c r="B285" s="259" t="s">
        <v>432</v>
      </c>
      <c r="D285" s="359">
        <v>20</v>
      </c>
      <c r="G285" s="122">
        <f>G272+G273+G274+G275+G276+G280</f>
        <v>7183932</v>
      </c>
      <c r="H285" s="119"/>
      <c r="I285" s="122">
        <f>I272+I273+I274+I275+I276+I280</f>
        <v>12053232.11</v>
      </c>
      <c r="J285" s="122"/>
      <c r="K285" s="119"/>
      <c r="L285" s="122">
        <f>L272+L273+L274+L275+L276+L280</f>
        <v>6018417</v>
      </c>
    </row>
    <row r="286" spans="1:12" ht="12">
      <c r="A286" s="358"/>
      <c r="B286" s="4"/>
      <c r="D286" s="21"/>
      <c r="E286" s="252" t="s">
        <v>1</v>
      </c>
      <c r="F286" s="252"/>
      <c r="G286" s="252"/>
      <c r="H286" s="15" t="s">
        <v>1</v>
      </c>
      <c r="I286" s="18" t="s">
        <v>1</v>
      </c>
      <c r="J286" s="252" t="s">
        <v>1</v>
      </c>
      <c r="K286" s="15" t="s">
        <v>1</v>
      </c>
      <c r="L286" s="18" t="s">
        <v>1</v>
      </c>
    </row>
    <row r="287" spans="5:12" ht="12">
      <c r="E287" s="252"/>
      <c r="F287" s="252"/>
      <c r="G287" s="252"/>
      <c r="H287" s="15"/>
      <c r="I287" s="19"/>
      <c r="J287" s="252"/>
      <c r="K287" s="15"/>
      <c r="L287" s="19"/>
    </row>
    <row r="288" ht="12">
      <c r="A288" s="4"/>
    </row>
    <row r="289" spans="1:12" s="394" customFormat="1" ht="12">
      <c r="A289" s="32" t="str">
        <f>$A$31</f>
        <v>Institution No.: GFC  </v>
      </c>
      <c r="D289" s="398"/>
      <c r="H289" s="399"/>
      <c r="I289" s="400"/>
      <c r="K289" s="399"/>
      <c r="L289" s="31" t="s">
        <v>209</v>
      </c>
    </row>
    <row r="290" spans="3:12" s="394" customFormat="1" ht="12">
      <c r="C290" s="401" t="s">
        <v>433</v>
      </c>
      <c r="D290" s="398"/>
      <c r="H290" s="399"/>
      <c r="I290" s="400"/>
      <c r="K290" s="399"/>
      <c r="L290" s="400"/>
    </row>
    <row r="291" spans="1:12" ht="12">
      <c r="A291" s="32" t="str">
        <f>A267</f>
        <v>NAME:  University of Colorado -  Colorado Springs</v>
      </c>
      <c r="E291" s="419"/>
      <c r="F291" s="419"/>
      <c r="G291" s="419"/>
      <c r="H291" s="412"/>
      <c r="I291" s="19"/>
      <c r="K291" s="6"/>
      <c r="L291" s="34" t="str">
        <f>$L$2</f>
        <v>Date: 10/1/2010</v>
      </c>
    </row>
    <row r="292" spans="1:12" ht="12">
      <c r="A292" s="14" t="s">
        <v>1</v>
      </c>
      <c r="B292" s="14" t="s">
        <v>1</v>
      </c>
      <c r="C292" s="14" t="s">
        <v>1</v>
      </c>
      <c r="D292" s="14" t="s">
        <v>1</v>
      </c>
      <c r="E292" s="14" t="s">
        <v>1</v>
      </c>
      <c r="F292" s="14"/>
      <c r="G292" s="14"/>
      <c r="H292" s="15" t="s">
        <v>1</v>
      </c>
      <c r="I292" s="18" t="s">
        <v>1</v>
      </c>
      <c r="J292" s="14" t="s">
        <v>1</v>
      </c>
      <c r="K292" s="15" t="s">
        <v>1</v>
      </c>
      <c r="L292" s="18" t="s">
        <v>1</v>
      </c>
    </row>
    <row r="293" spans="1:12" ht="12">
      <c r="A293" s="35" t="s">
        <v>2</v>
      </c>
      <c r="D293" s="35" t="s">
        <v>2</v>
      </c>
      <c r="G293" s="3" t="s">
        <v>62</v>
      </c>
      <c r="H293" s="2"/>
      <c r="I293" s="3" t="s">
        <v>65</v>
      </c>
      <c r="J293" s="1"/>
      <c r="K293" s="2"/>
      <c r="L293" s="3" t="s">
        <v>70</v>
      </c>
    </row>
    <row r="294" spans="1:12" ht="12">
      <c r="A294" s="35" t="s">
        <v>4</v>
      </c>
      <c r="B294" s="36" t="s">
        <v>18</v>
      </c>
      <c r="D294" s="35" t="s">
        <v>4</v>
      </c>
      <c r="G294" s="3" t="s">
        <v>7</v>
      </c>
      <c r="H294" s="6"/>
      <c r="I294" s="3" t="s">
        <v>7</v>
      </c>
      <c r="K294" s="6"/>
      <c r="L294" s="3" t="s">
        <v>8</v>
      </c>
    </row>
    <row r="295" spans="1:12" ht="12">
      <c r="A295" s="14" t="s">
        <v>1</v>
      </c>
      <c r="B295" s="14" t="s">
        <v>1</v>
      </c>
      <c r="C295" s="14" t="s">
        <v>1</v>
      </c>
      <c r="D295" s="14" t="s">
        <v>1</v>
      </c>
      <c r="E295" s="14" t="s">
        <v>1</v>
      </c>
      <c r="F295" s="14"/>
      <c r="G295" s="14"/>
      <c r="H295" s="15" t="s">
        <v>1</v>
      </c>
      <c r="I295" s="18" t="s">
        <v>1</v>
      </c>
      <c r="J295" s="14" t="s">
        <v>1</v>
      </c>
      <c r="K295" s="15" t="s">
        <v>1</v>
      </c>
      <c r="L295" s="18" t="s">
        <v>1</v>
      </c>
    </row>
    <row r="296" spans="1:12" ht="12">
      <c r="A296" s="359">
        <v>1</v>
      </c>
      <c r="B296" s="4" t="s">
        <v>434</v>
      </c>
      <c r="D296" s="359">
        <v>1</v>
      </c>
      <c r="G296" s="122"/>
      <c r="H296" s="119"/>
      <c r="I296" s="119"/>
      <c r="J296" s="122"/>
      <c r="K296" s="119"/>
      <c r="L296" s="119"/>
    </row>
    <row r="297" spans="1:12" ht="12">
      <c r="A297" s="359"/>
      <c r="B297" s="4"/>
      <c r="D297" s="359"/>
      <c r="G297" s="122"/>
      <c r="H297" s="119"/>
      <c r="I297" s="119"/>
      <c r="J297" s="122"/>
      <c r="K297" s="119"/>
      <c r="L297" s="119"/>
    </row>
    <row r="298" spans="1:12" ht="12">
      <c r="A298" s="359">
        <f>(A296+1)</f>
        <v>2</v>
      </c>
      <c r="B298" s="20" t="s">
        <v>435</v>
      </c>
      <c r="D298" s="359">
        <f>(D296+1)</f>
        <v>2</v>
      </c>
      <c r="E298" s="20"/>
      <c r="F298" s="20"/>
      <c r="G298" s="125">
        <v>1214026</v>
      </c>
      <c r="H298" s="125"/>
      <c r="I298" s="125">
        <v>1557671</v>
      </c>
      <c r="J298" s="125"/>
      <c r="K298" s="125"/>
      <c r="L298" s="125">
        <v>1207593</v>
      </c>
    </row>
    <row r="299" spans="1:12" ht="12">
      <c r="A299" s="359">
        <f aca="true" t="shared" si="11" ref="A299:A304">(A298+1)</f>
        <v>3</v>
      </c>
      <c r="B299" s="20" t="s">
        <v>436</v>
      </c>
      <c r="D299" s="359">
        <f aca="true" t="shared" si="12" ref="D299:D304">(D298+1)</f>
        <v>3</v>
      </c>
      <c r="E299" s="20"/>
      <c r="F299" s="20"/>
      <c r="G299" s="125">
        <v>894513</v>
      </c>
      <c r="H299" s="125"/>
      <c r="I299" s="125">
        <v>979416</v>
      </c>
      <c r="J299" s="125"/>
      <c r="K299" s="125"/>
      <c r="L299" s="125">
        <f>1033874-120416-87417</f>
        <v>826041</v>
      </c>
    </row>
    <row r="300" spans="1:12" ht="12">
      <c r="A300" s="359">
        <f t="shared" si="11"/>
        <v>4</v>
      </c>
      <c r="B300" s="20" t="s">
        <v>437</v>
      </c>
      <c r="D300" s="359">
        <f t="shared" si="12"/>
        <v>4</v>
      </c>
      <c r="E300" s="20"/>
      <c r="F300" s="20"/>
      <c r="G300" s="125">
        <v>150396</v>
      </c>
      <c r="H300" s="125"/>
      <c r="I300" s="125">
        <v>523106</v>
      </c>
      <c r="J300" s="125"/>
      <c r="K300" s="125"/>
      <c r="L300" s="125"/>
    </row>
    <row r="301" spans="1:12" ht="12">
      <c r="A301" s="359">
        <f t="shared" si="11"/>
        <v>5</v>
      </c>
      <c r="B301" s="20" t="s">
        <v>438</v>
      </c>
      <c r="D301" s="359">
        <f t="shared" si="12"/>
        <v>5</v>
      </c>
      <c r="E301" s="20"/>
      <c r="F301" s="20"/>
      <c r="G301" s="125"/>
      <c r="H301" s="125"/>
      <c r="I301" s="125"/>
      <c r="J301" s="125"/>
      <c r="K301" s="125"/>
      <c r="L301" s="125"/>
    </row>
    <row r="302" spans="1:12" ht="12">
      <c r="A302" s="359">
        <f t="shared" si="11"/>
        <v>6</v>
      </c>
      <c r="B302" s="20" t="s">
        <v>439</v>
      </c>
      <c r="D302" s="359">
        <f t="shared" si="12"/>
        <v>6</v>
      </c>
      <c r="E302" s="20"/>
      <c r="F302" s="20"/>
      <c r="G302" s="125"/>
      <c r="H302" s="125"/>
      <c r="I302" s="125"/>
      <c r="J302" s="125"/>
      <c r="K302" s="125"/>
      <c r="L302" s="125"/>
    </row>
    <row r="303" spans="1:12" ht="12">
      <c r="A303" s="359">
        <f t="shared" si="11"/>
        <v>7</v>
      </c>
      <c r="B303" s="20" t="s">
        <v>440</v>
      </c>
      <c r="D303" s="359">
        <f t="shared" si="12"/>
        <v>7</v>
      </c>
      <c r="E303" s="20"/>
      <c r="F303" s="20"/>
      <c r="G303" s="125">
        <v>26166</v>
      </c>
      <c r="H303" s="125"/>
      <c r="I303" s="125">
        <f>4291.87</f>
        <v>4291.87</v>
      </c>
      <c r="J303" s="125"/>
      <c r="K303" s="125"/>
      <c r="L303" s="125"/>
    </row>
    <row r="304" spans="1:12" ht="12">
      <c r="A304" s="359">
        <f t="shared" si="11"/>
        <v>8</v>
      </c>
      <c r="B304" s="20" t="s">
        <v>441</v>
      </c>
      <c r="D304" s="359">
        <f t="shared" si="12"/>
        <v>8</v>
      </c>
      <c r="E304" s="20"/>
      <c r="F304" s="20"/>
      <c r="G304" s="125"/>
      <c r="H304" s="125"/>
      <c r="I304" s="125"/>
      <c r="J304" s="125"/>
      <c r="K304" s="125"/>
      <c r="L304" s="125"/>
    </row>
    <row r="305" spans="1:4" ht="12">
      <c r="A305" s="359">
        <v>9</v>
      </c>
      <c r="B305" s="20" t="s">
        <v>442</v>
      </c>
      <c r="D305" s="359"/>
    </row>
    <row r="306" spans="1:12" ht="12">
      <c r="A306" s="359"/>
      <c r="B306" s="20"/>
      <c r="D306" s="359"/>
      <c r="E306" s="252" t="s">
        <v>1</v>
      </c>
      <c r="F306" s="252"/>
      <c r="G306" s="252"/>
      <c r="H306" s="15" t="s">
        <v>1</v>
      </c>
      <c r="I306" s="18"/>
      <c r="J306" s="252"/>
      <c r="K306" s="15"/>
      <c r="L306" s="18"/>
    </row>
    <row r="307" spans="1:12" ht="12">
      <c r="A307" s="359">
        <v>10</v>
      </c>
      <c r="B307" s="5" t="s">
        <v>443</v>
      </c>
      <c r="D307" s="359">
        <v>9</v>
      </c>
      <c r="E307" s="20"/>
      <c r="F307" s="20"/>
      <c r="G307" s="125">
        <f>SUM(G296:G306)</f>
        <v>2285101</v>
      </c>
      <c r="H307" s="125"/>
      <c r="I307" s="125">
        <f>SUM(I296:I306)</f>
        <v>3064484.87</v>
      </c>
      <c r="J307" s="125"/>
      <c r="K307" s="125"/>
      <c r="L307" s="125">
        <f>SUM(L296:L306)</f>
        <v>2033634</v>
      </c>
    </row>
    <row r="308" spans="1:12" ht="12">
      <c r="A308" s="359"/>
      <c r="B308" s="20"/>
      <c r="D308" s="359"/>
      <c r="E308" s="20"/>
      <c r="F308" s="20"/>
      <c r="G308" s="125"/>
      <c r="H308" s="125"/>
      <c r="I308" s="125"/>
      <c r="J308" s="125"/>
      <c r="K308" s="125"/>
      <c r="L308" s="125"/>
    </row>
    <row r="309" spans="1:12" ht="12">
      <c r="A309" s="359">
        <v>11</v>
      </c>
      <c r="B309" s="20" t="s">
        <v>444</v>
      </c>
      <c r="D309" s="359">
        <v>10</v>
      </c>
      <c r="E309" s="20"/>
      <c r="F309" s="20"/>
      <c r="G309" s="125">
        <v>115840</v>
      </c>
      <c r="H309" s="125"/>
      <c r="I309" s="125">
        <v>118055</v>
      </c>
      <c r="J309" s="125"/>
      <c r="K309" s="125"/>
      <c r="L309" s="125">
        <v>120416</v>
      </c>
    </row>
    <row r="310" spans="1:12" ht="12">
      <c r="A310" s="359">
        <v>12</v>
      </c>
      <c r="B310" s="20" t="s">
        <v>445</v>
      </c>
      <c r="D310" s="359">
        <v>11</v>
      </c>
      <c r="E310" s="20"/>
      <c r="F310" s="20"/>
      <c r="G310" s="125"/>
      <c r="H310" s="125"/>
      <c r="I310" s="125"/>
      <c r="J310" s="125"/>
      <c r="K310" s="125"/>
      <c r="L310" s="125"/>
    </row>
    <row r="311" spans="1:12" ht="12">
      <c r="A311" s="359">
        <v>13</v>
      </c>
      <c r="B311" s="20" t="s">
        <v>446</v>
      </c>
      <c r="D311" s="359">
        <v>12</v>
      </c>
      <c r="E311" s="20"/>
      <c r="F311" s="20"/>
      <c r="G311" s="125"/>
      <c r="H311" s="125"/>
      <c r="I311" s="125"/>
      <c r="J311" s="125"/>
      <c r="K311" s="125"/>
      <c r="L311" s="125"/>
    </row>
    <row r="312" spans="1:12" ht="12">
      <c r="A312" s="359"/>
      <c r="B312" s="20"/>
      <c r="D312" s="359">
        <v>13</v>
      </c>
      <c r="E312" s="20"/>
      <c r="F312" s="20"/>
      <c r="G312" s="125"/>
      <c r="H312" s="125"/>
      <c r="I312" s="125"/>
      <c r="J312" s="125"/>
      <c r="K312" s="125"/>
      <c r="L312" s="125"/>
    </row>
    <row r="313" spans="2:12" ht="12">
      <c r="B313" s="20"/>
      <c r="E313" s="252" t="s">
        <v>1</v>
      </c>
      <c r="F313" s="252"/>
      <c r="G313" s="252"/>
      <c r="H313" s="15" t="s">
        <v>1</v>
      </c>
      <c r="I313" s="18"/>
      <c r="J313" s="252"/>
      <c r="K313" s="15"/>
      <c r="L313" s="18"/>
    </row>
    <row r="314" spans="1:12" ht="12">
      <c r="A314" s="359">
        <v>14</v>
      </c>
      <c r="B314" s="5" t="s">
        <v>447</v>
      </c>
      <c r="D314" s="359">
        <v>14</v>
      </c>
      <c r="G314" s="122">
        <f>SUM(G309:G313)</f>
        <v>115840</v>
      </c>
      <c r="H314" s="119"/>
      <c r="I314" s="122">
        <f>SUM(I309:I313)</f>
        <v>118055</v>
      </c>
      <c r="J314" s="122"/>
      <c r="K314" s="119"/>
      <c r="L314" s="122">
        <f>SUM(L309:L313)</f>
        <v>120416</v>
      </c>
    </row>
    <row r="315" spans="1:12" ht="12">
      <c r="A315" s="359"/>
      <c r="B315" s="20"/>
      <c r="D315" s="359"/>
      <c r="E315" s="252" t="s">
        <v>1</v>
      </c>
      <c r="F315" s="252"/>
      <c r="G315" s="252"/>
      <c r="H315" s="15" t="s">
        <v>1</v>
      </c>
      <c r="I315" s="18"/>
      <c r="J315" s="252"/>
      <c r="K315" s="15"/>
      <c r="L315" s="18"/>
    </row>
    <row r="316" spans="1:12" ht="12">
      <c r="A316" s="359">
        <v>15</v>
      </c>
      <c r="B316" s="4" t="s">
        <v>448</v>
      </c>
      <c r="D316" s="359">
        <v>15</v>
      </c>
      <c r="G316" s="122">
        <f>SUM(G307,G314)</f>
        <v>2400941</v>
      </c>
      <c r="H316" s="119"/>
      <c r="I316" s="122">
        <f>SUM(I307,I314)</f>
        <v>3182539.87</v>
      </c>
      <c r="J316" s="122"/>
      <c r="K316" s="119"/>
      <c r="L316" s="122">
        <f>SUM(L307,L314)</f>
        <v>2154050</v>
      </c>
    </row>
    <row r="317" spans="1:12" ht="12">
      <c r="A317" s="359"/>
      <c r="B317" s="4"/>
      <c r="D317" s="359"/>
      <c r="G317" s="122"/>
      <c r="H317" s="119"/>
      <c r="I317" s="122"/>
      <c r="J317" s="122"/>
      <c r="K317" s="119"/>
      <c r="L317" s="122"/>
    </row>
    <row r="318" spans="1:12" ht="12">
      <c r="A318" s="359">
        <v>16</v>
      </c>
      <c r="B318" s="4" t="s">
        <v>449</v>
      </c>
      <c r="D318" s="359">
        <v>16</v>
      </c>
      <c r="G318" s="122"/>
      <c r="H318" s="119"/>
      <c r="I318" s="119"/>
      <c r="J318" s="122"/>
      <c r="K318" s="119"/>
      <c r="L318" s="119"/>
    </row>
    <row r="319" spans="1:12" ht="12">
      <c r="A319" s="359">
        <v>17</v>
      </c>
      <c r="B319" s="5" t="s">
        <v>450</v>
      </c>
      <c r="D319" s="359">
        <v>17</v>
      </c>
      <c r="G319" s="122">
        <v>6227830</v>
      </c>
      <c r="H319" s="119"/>
      <c r="I319" s="119">
        <v>816372</v>
      </c>
      <c r="J319" s="122"/>
      <c r="K319" s="119"/>
      <c r="L319" s="119">
        <v>4395145</v>
      </c>
    </row>
    <row r="320" spans="1:12" ht="12">
      <c r="A320" s="359">
        <v>18</v>
      </c>
      <c r="D320" s="359">
        <v>18</v>
      </c>
      <c r="G320" s="122"/>
      <c r="H320" s="122"/>
      <c r="I320" s="122"/>
      <c r="J320" s="122"/>
      <c r="K320" s="122"/>
      <c r="L320" s="122"/>
    </row>
    <row r="321" spans="1:12" ht="12">
      <c r="A321" s="359">
        <v>19</v>
      </c>
      <c r="D321" s="359">
        <v>19</v>
      </c>
      <c r="G321" s="122"/>
      <c r="H321" s="122"/>
      <c r="I321" s="122"/>
      <c r="J321" s="122"/>
      <c r="K321" s="122"/>
      <c r="L321" s="122"/>
    </row>
    <row r="322" spans="1:12" ht="12">
      <c r="A322" s="359"/>
      <c r="B322" s="259"/>
      <c r="D322" s="359"/>
      <c r="E322" s="252" t="s">
        <v>1</v>
      </c>
      <c r="F322" s="252"/>
      <c r="G322" s="252"/>
      <c r="H322" s="15" t="s">
        <v>1</v>
      </c>
      <c r="I322" s="18"/>
      <c r="J322" s="252"/>
      <c r="K322" s="15"/>
      <c r="L322" s="18"/>
    </row>
    <row r="323" spans="1:12" ht="12">
      <c r="A323" s="359">
        <v>20</v>
      </c>
      <c r="B323" s="259" t="s">
        <v>451</v>
      </c>
      <c r="D323" s="359">
        <v>20</v>
      </c>
      <c r="G323" s="122">
        <f>SUM(G316:G321)</f>
        <v>8628771</v>
      </c>
      <c r="H323" s="119"/>
      <c r="I323" s="122">
        <f>SUM(I316:I321)</f>
        <v>3998911.87</v>
      </c>
      <c r="J323" s="122"/>
      <c r="K323" s="119"/>
      <c r="L323" s="122">
        <f>SUM(L316:L321)</f>
        <v>6549195</v>
      </c>
    </row>
    <row r="324" spans="1:12" ht="12">
      <c r="A324" s="358"/>
      <c r="B324" s="4"/>
      <c r="D324" s="21"/>
      <c r="E324" s="252" t="s">
        <v>1</v>
      </c>
      <c r="F324" s="252"/>
      <c r="G324" s="252"/>
      <c r="H324" s="15" t="s">
        <v>1</v>
      </c>
      <c r="I324" s="18" t="s">
        <v>1</v>
      </c>
      <c r="J324" s="252" t="s">
        <v>1</v>
      </c>
      <c r="K324" s="15" t="s">
        <v>1</v>
      </c>
      <c r="L324" s="18" t="s">
        <v>1</v>
      </c>
    </row>
    <row r="325" spans="5:12" ht="12">
      <c r="E325" s="252"/>
      <c r="F325" s="252"/>
      <c r="G325" s="252"/>
      <c r="H325" s="15"/>
      <c r="I325" s="19"/>
      <c r="J325" s="252"/>
      <c r="K325" s="15"/>
      <c r="L325" s="19"/>
    </row>
    <row r="326" ht="12">
      <c r="A326" s="4"/>
    </row>
    <row r="327" spans="1:12" s="394" customFormat="1" ht="12">
      <c r="A327" s="32" t="str">
        <f>$A$31</f>
        <v>Institution No.: GFC  </v>
      </c>
      <c r="D327" s="398"/>
      <c r="H327" s="399"/>
      <c r="I327" s="400"/>
      <c r="K327" s="399"/>
      <c r="L327" s="31" t="s">
        <v>224</v>
      </c>
    </row>
    <row r="328" spans="3:12" s="394" customFormat="1" ht="12">
      <c r="C328" s="401" t="s">
        <v>452</v>
      </c>
      <c r="D328" s="398"/>
      <c r="H328" s="399"/>
      <c r="I328" s="400"/>
      <c r="K328" s="399"/>
      <c r="L328" s="400"/>
    </row>
    <row r="329" spans="1:12" ht="12">
      <c r="A329" s="32" t="str">
        <f>A291</f>
        <v>NAME:  University of Colorado -  Colorado Springs</v>
      </c>
      <c r="E329" s="419"/>
      <c r="F329" s="419"/>
      <c r="G329" s="419"/>
      <c r="H329" s="412"/>
      <c r="I329" s="19"/>
      <c r="K329" s="6"/>
      <c r="L329" s="34" t="str">
        <f>$L$2</f>
        <v>Date: 10/1/2010</v>
      </c>
    </row>
    <row r="330" spans="1:12" ht="12">
      <c r="A330" s="14" t="s">
        <v>1</v>
      </c>
      <c r="B330" s="14" t="s">
        <v>1</v>
      </c>
      <c r="C330" s="14" t="s">
        <v>1</v>
      </c>
      <c r="D330" s="14" t="s">
        <v>1</v>
      </c>
      <c r="E330" s="14" t="s">
        <v>1</v>
      </c>
      <c r="F330" s="14"/>
      <c r="G330" s="14"/>
      <c r="H330" s="15" t="s">
        <v>1</v>
      </c>
      <c r="I330" s="18" t="s">
        <v>1</v>
      </c>
      <c r="J330" s="14" t="s">
        <v>1</v>
      </c>
      <c r="K330" s="15" t="s">
        <v>1</v>
      </c>
      <c r="L330" s="18" t="s">
        <v>1</v>
      </c>
    </row>
    <row r="331" spans="1:12" ht="12">
      <c r="A331" s="35" t="s">
        <v>2</v>
      </c>
      <c r="D331" s="35" t="s">
        <v>2</v>
      </c>
      <c r="G331" s="3" t="s">
        <v>62</v>
      </c>
      <c r="H331" s="2"/>
      <c r="I331" s="3" t="s">
        <v>65</v>
      </c>
      <c r="J331" s="1"/>
      <c r="K331" s="2"/>
      <c r="L331" s="3" t="s">
        <v>70</v>
      </c>
    </row>
    <row r="332" spans="1:12" ht="12">
      <c r="A332" s="35" t="s">
        <v>4</v>
      </c>
      <c r="B332" s="36" t="s">
        <v>18</v>
      </c>
      <c r="D332" s="35" t="s">
        <v>4</v>
      </c>
      <c r="G332" s="3" t="s">
        <v>7</v>
      </c>
      <c r="H332" s="6"/>
      <c r="I332" s="3" t="s">
        <v>7</v>
      </c>
      <c r="K332" s="6"/>
      <c r="L332" s="3" t="s">
        <v>8</v>
      </c>
    </row>
    <row r="333" spans="1:12" ht="12">
      <c r="A333" s="14" t="s">
        <v>1</v>
      </c>
      <c r="B333" s="14" t="s">
        <v>1</v>
      </c>
      <c r="C333" s="14" t="s">
        <v>1</v>
      </c>
      <c r="D333" s="14" t="s">
        <v>1</v>
      </c>
      <c r="E333" s="14" t="s">
        <v>1</v>
      </c>
      <c r="F333" s="14"/>
      <c r="G333" s="14"/>
      <c r="H333" s="15" t="s">
        <v>1</v>
      </c>
      <c r="I333" s="18" t="s">
        <v>1</v>
      </c>
      <c r="J333" s="14" t="s">
        <v>1</v>
      </c>
      <c r="K333" s="15" t="s">
        <v>1</v>
      </c>
      <c r="L333" s="18" t="s">
        <v>1</v>
      </c>
    </row>
    <row r="334" spans="1:12" ht="12">
      <c r="A334" s="359">
        <v>1</v>
      </c>
      <c r="B334" s="4" t="s">
        <v>453</v>
      </c>
      <c r="D334" s="359">
        <v>1</v>
      </c>
      <c r="G334" s="122">
        <v>87387</v>
      </c>
      <c r="H334" s="119"/>
      <c r="I334" s="119">
        <v>77667</v>
      </c>
      <c r="J334" s="122"/>
      <c r="K334" s="119"/>
      <c r="L334" s="119">
        <v>87417</v>
      </c>
    </row>
    <row r="335" spans="1:12" ht="12">
      <c r="A335" s="359"/>
      <c r="B335" s="4"/>
      <c r="D335" s="359"/>
      <c r="G335" s="122"/>
      <c r="H335" s="119"/>
      <c r="I335" s="119"/>
      <c r="J335" s="122"/>
      <c r="K335" s="119"/>
      <c r="L335" s="119"/>
    </row>
    <row r="336" spans="1:12" ht="12">
      <c r="A336" s="359">
        <f>(A334+1)</f>
        <v>2</v>
      </c>
      <c r="B336" s="20" t="s">
        <v>454</v>
      </c>
      <c r="D336" s="359">
        <f>(D334+1)</f>
        <v>2</v>
      </c>
      <c r="E336" s="20"/>
      <c r="F336" s="20"/>
      <c r="G336" s="125"/>
      <c r="H336" s="125"/>
      <c r="I336" s="125"/>
      <c r="J336" s="125"/>
      <c r="K336" s="125"/>
      <c r="L336" s="125"/>
    </row>
    <row r="337" spans="1:12" ht="12">
      <c r="A337" s="359">
        <f>(A336+1)</f>
        <v>3</v>
      </c>
      <c r="B337" s="20" t="s">
        <v>455</v>
      </c>
      <c r="D337" s="359">
        <f>(D336+1)</f>
        <v>3</v>
      </c>
      <c r="E337" s="20"/>
      <c r="F337" s="20"/>
      <c r="G337" s="125"/>
      <c r="H337" s="125"/>
      <c r="I337" s="125"/>
      <c r="J337" s="125"/>
      <c r="K337" s="125"/>
      <c r="L337" s="125"/>
    </row>
    <row r="338" spans="1:12" ht="12">
      <c r="A338" s="359">
        <f>(A337+1)</f>
        <v>4</v>
      </c>
      <c r="B338" s="20" t="s">
        <v>456</v>
      </c>
      <c r="D338" s="359">
        <f>(D337+1)</f>
        <v>4</v>
      </c>
      <c r="E338" s="20"/>
      <c r="F338" s="20"/>
      <c r="G338" s="125"/>
      <c r="H338" s="125"/>
      <c r="I338" s="125"/>
      <c r="J338" s="125"/>
      <c r="K338" s="125"/>
      <c r="L338" s="125"/>
    </row>
    <row r="339" spans="1:12" ht="12">
      <c r="A339" s="359"/>
      <c r="B339" s="20"/>
      <c r="D339" s="359"/>
      <c r="E339" s="252" t="s">
        <v>1</v>
      </c>
      <c r="F339" s="252"/>
      <c r="G339" s="252"/>
      <c r="H339" s="15" t="s">
        <v>1</v>
      </c>
      <c r="I339" s="18"/>
      <c r="J339" s="252"/>
      <c r="K339" s="15"/>
      <c r="L339" s="18"/>
    </row>
    <row r="340" spans="1:12" ht="12">
      <c r="A340" s="359">
        <v>9</v>
      </c>
      <c r="B340" s="5" t="s">
        <v>50</v>
      </c>
      <c r="D340" s="359">
        <v>9</v>
      </c>
      <c r="E340" s="20"/>
      <c r="F340" s="20"/>
      <c r="G340" s="125">
        <f>SUM(G334:G338)</f>
        <v>87387</v>
      </c>
      <c r="H340" s="125"/>
      <c r="I340" s="125">
        <f>SUM(I334:I338)</f>
        <v>77667</v>
      </c>
      <c r="J340" s="125"/>
      <c r="K340" s="125"/>
      <c r="L340" s="125">
        <f>SUM(L334:L338)</f>
        <v>87417</v>
      </c>
    </row>
    <row r="341" spans="1:12" ht="12">
      <c r="A341" s="359"/>
      <c r="B341" s="20"/>
      <c r="D341" s="359"/>
      <c r="E341" s="20"/>
      <c r="F341" s="20"/>
      <c r="G341" s="125"/>
      <c r="H341" s="125"/>
      <c r="I341" s="125"/>
      <c r="J341" s="125"/>
      <c r="K341" s="125"/>
      <c r="L341" s="125"/>
    </row>
    <row r="342" spans="1:12" ht="12">
      <c r="A342" s="359"/>
      <c r="B342" s="20"/>
      <c r="D342" s="359"/>
      <c r="E342" s="20"/>
      <c r="F342" s="20"/>
      <c r="G342" s="125"/>
      <c r="H342" s="125"/>
      <c r="I342" s="125"/>
      <c r="J342" s="125"/>
      <c r="K342" s="125"/>
      <c r="L342" s="125"/>
    </row>
    <row r="343" spans="1:12" ht="12">
      <c r="A343" s="359"/>
      <c r="B343" s="20"/>
      <c r="D343" s="359"/>
      <c r="E343" s="20"/>
      <c r="F343" s="20"/>
      <c r="G343" s="125"/>
      <c r="H343" s="125"/>
      <c r="I343" s="125"/>
      <c r="J343" s="125"/>
      <c r="K343" s="125"/>
      <c r="L343" s="125"/>
    </row>
    <row r="344" spans="1:12" ht="12">
      <c r="A344" s="359"/>
      <c r="B344" s="20"/>
      <c r="D344" s="359"/>
      <c r="E344" s="20"/>
      <c r="F344" s="20"/>
      <c r="G344" s="125"/>
      <c r="H344" s="125"/>
      <c r="I344" s="125"/>
      <c r="J344" s="125"/>
      <c r="K344" s="125"/>
      <c r="L344" s="125"/>
    </row>
    <row r="345" spans="1:12" ht="12">
      <c r="A345" s="359"/>
      <c r="B345" s="20"/>
      <c r="D345" s="359"/>
      <c r="E345" s="20"/>
      <c r="F345" s="20"/>
      <c r="G345" s="125"/>
      <c r="H345" s="125"/>
      <c r="I345" s="125"/>
      <c r="J345" s="125"/>
      <c r="K345" s="125"/>
      <c r="L345" s="125"/>
    </row>
    <row r="346" spans="2:12" ht="12">
      <c r="B346" s="20"/>
      <c r="E346" s="252"/>
      <c r="F346" s="252"/>
      <c r="G346" s="252"/>
      <c r="H346" s="15"/>
      <c r="I346" s="18"/>
      <c r="J346" s="252"/>
      <c r="K346" s="15"/>
      <c r="L346" s="18"/>
    </row>
    <row r="347" spans="1:12" ht="12">
      <c r="A347" s="359"/>
      <c r="D347" s="359"/>
      <c r="G347" s="122"/>
      <c r="H347" s="119"/>
      <c r="I347" s="122"/>
      <c r="J347" s="122"/>
      <c r="K347" s="119"/>
      <c r="L347" s="122"/>
    </row>
    <row r="348" spans="1:12" ht="12">
      <c r="A348" s="359"/>
      <c r="B348" s="20"/>
      <c r="D348" s="359"/>
      <c r="E348" s="252"/>
      <c r="F348" s="252"/>
      <c r="G348" s="252"/>
      <c r="H348" s="15"/>
      <c r="I348" s="18"/>
      <c r="J348" s="252"/>
      <c r="K348" s="15"/>
      <c r="L348" s="18"/>
    </row>
    <row r="349" spans="1:12" ht="12">
      <c r="A349" s="359"/>
      <c r="B349" s="4"/>
      <c r="D349" s="359"/>
      <c r="G349" s="122"/>
      <c r="H349" s="119"/>
      <c r="I349" s="122"/>
      <c r="J349" s="122"/>
      <c r="K349" s="119"/>
      <c r="L349" s="122"/>
    </row>
    <row r="350" spans="1:12" ht="12">
      <c r="A350" s="359"/>
      <c r="B350" s="4"/>
      <c r="D350" s="359"/>
      <c r="G350" s="122"/>
      <c r="H350" s="119"/>
      <c r="I350" s="122"/>
      <c r="J350" s="122"/>
      <c r="K350" s="119"/>
      <c r="L350" s="122"/>
    </row>
    <row r="351" spans="1:12" ht="12">
      <c r="A351" s="359"/>
      <c r="B351" s="4"/>
      <c r="D351" s="359"/>
      <c r="G351" s="122"/>
      <c r="H351" s="119"/>
      <c r="I351" s="119"/>
      <c r="J351" s="122"/>
      <c r="K351" s="119"/>
      <c r="L351" s="119"/>
    </row>
    <row r="352" spans="1:12" ht="12">
      <c r="A352" s="359"/>
      <c r="D352" s="359"/>
      <c r="G352" s="122"/>
      <c r="H352" s="119"/>
      <c r="I352" s="119"/>
      <c r="J352" s="122"/>
      <c r="K352" s="119"/>
      <c r="L352" s="119"/>
    </row>
    <row r="353" spans="1:12" ht="12">
      <c r="A353" s="359"/>
      <c r="D353" s="359"/>
      <c r="G353" s="122"/>
      <c r="H353" s="122"/>
      <c r="I353" s="122"/>
      <c r="J353" s="122"/>
      <c r="K353" s="122"/>
      <c r="L353" s="122"/>
    </row>
    <row r="354" spans="1:12" ht="12">
      <c r="A354" s="359"/>
      <c r="D354" s="359"/>
      <c r="G354" s="122"/>
      <c r="H354" s="122"/>
      <c r="I354" s="122"/>
      <c r="J354" s="122"/>
      <c r="K354" s="122"/>
      <c r="L354" s="122"/>
    </row>
    <row r="355" spans="1:12" ht="12">
      <c r="A355" s="359"/>
      <c r="B355" s="259"/>
      <c r="D355" s="359"/>
      <c r="E355" s="252"/>
      <c r="F355" s="252"/>
      <c r="G355" s="252"/>
      <c r="H355" s="15"/>
      <c r="I355" s="18"/>
      <c r="J355" s="252"/>
      <c r="K355" s="15"/>
      <c r="L355" s="18"/>
    </row>
    <row r="356" spans="1:12" ht="12">
      <c r="A356" s="359"/>
      <c r="B356" s="259"/>
      <c r="D356" s="359"/>
      <c r="G356" s="122"/>
      <c r="H356" s="119"/>
      <c r="I356" s="122"/>
      <c r="J356" s="122"/>
      <c r="K356" s="119"/>
      <c r="L356" s="122"/>
    </row>
    <row r="357" spans="1:12" ht="12">
      <c r="A357" s="358"/>
      <c r="B357" s="4"/>
      <c r="D357" s="21"/>
      <c r="E357" s="252"/>
      <c r="F357" s="252"/>
      <c r="G357" s="252"/>
      <c r="H357" s="15"/>
      <c r="I357" s="18"/>
      <c r="J357" s="252"/>
      <c r="K357" s="15"/>
      <c r="L357" s="18"/>
    </row>
    <row r="358" ht="12"/>
    <row r="359" ht="12"/>
    <row r="360" spans="1:12" s="394" customFormat="1" ht="12">
      <c r="A360" s="32" t="str">
        <f>$A$31</f>
        <v>Institution No.: GFC  </v>
      </c>
      <c r="D360" s="398"/>
      <c r="H360" s="399"/>
      <c r="I360" s="400"/>
      <c r="K360" s="399"/>
      <c r="L360" s="31" t="s">
        <v>232</v>
      </c>
    </row>
    <row r="361" spans="1:12" ht="12.75" customHeight="1">
      <c r="A361" s="449" t="s">
        <v>233</v>
      </c>
      <c r="B361" s="449"/>
      <c r="C361" s="449"/>
      <c r="D361" s="449"/>
      <c r="E361" s="449"/>
      <c r="F361" s="449"/>
      <c r="G361" s="449"/>
      <c r="H361" s="449"/>
      <c r="I361" s="449"/>
      <c r="J361" s="449"/>
      <c r="K361" s="449"/>
      <c r="L361" s="449"/>
    </row>
    <row r="362" spans="1:12" ht="12">
      <c r="A362" s="32" t="str">
        <f>A329</f>
        <v>NAME:  University of Colorado -  Colorado Springs</v>
      </c>
      <c r="I362" s="19"/>
      <c r="K362" s="6"/>
      <c r="L362" s="34" t="str">
        <f>$L$2</f>
        <v>Date: 10/1/2010</v>
      </c>
    </row>
    <row r="363" spans="1:12" ht="12">
      <c r="A363" s="14" t="s">
        <v>1</v>
      </c>
      <c r="B363" s="14" t="s">
        <v>1</v>
      </c>
      <c r="C363" s="14" t="s">
        <v>1</v>
      </c>
      <c r="D363" s="14" t="s">
        <v>1</v>
      </c>
      <c r="E363" s="14" t="s">
        <v>1</v>
      </c>
      <c r="F363" s="14"/>
      <c r="G363" s="14"/>
      <c r="H363" s="15" t="s">
        <v>1</v>
      </c>
      <c r="I363" s="18" t="s">
        <v>1</v>
      </c>
      <c r="J363" s="14" t="s">
        <v>1</v>
      </c>
      <c r="K363" s="15" t="s">
        <v>1</v>
      </c>
      <c r="L363" s="18" t="s">
        <v>1</v>
      </c>
    </row>
    <row r="364" spans="1:12" ht="12">
      <c r="A364" s="35" t="s">
        <v>2</v>
      </c>
      <c r="D364" s="35" t="s">
        <v>2</v>
      </c>
      <c r="E364" s="1"/>
      <c r="F364" s="1"/>
      <c r="G364" s="3" t="s">
        <v>62</v>
      </c>
      <c r="H364" s="2"/>
      <c r="I364" s="3" t="s">
        <v>65</v>
      </c>
      <c r="J364" s="1"/>
      <c r="K364" s="2"/>
      <c r="L364" s="3" t="s">
        <v>70</v>
      </c>
    </row>
    <row r="365" spans="1:12" ht="12">
      <c r="A365" s="35" t="s">
        <v>4</v>
      </c>
      <c r="B365" s="36" t="s">
        <v>18</v>
      </c>
      <c r="D365" s="35" t="s">
        <v>4</v>
      </c>
      <c r="E365" s="1"/>
      <c r="F365" s="1"/>
      <c r="G365" s="3" t="s">
        <v>7</v>
      </c>
      <c r="H365" s="2"/>
      <c r="I365" s="3" t="s">
        <v>7</v>
      </c>
      <c r="J365" s="1"/>
      <c r="K365" s="2"/>
      <c r="L365" s="3" t="s">
        <v>8</v>
      </c>
    </row>
    <row r="366" spans="1:12" ht="12">
      <c r="A366" s="14" t="s">
        <v>1</v>
      </c>
      <c r="B366" s="14" t="s">
        <v>1</v>
      </c>
      <c r="C366" s="14" t="s">
        <v>1</v>
      </c>
      <c r="D366" s="14" t="s">
        <v>1</v>
      </c>
      <c r="E366" s="14" t="s">
        <v>1</v>
      </c>
      <c r="F366" s="14"/>
      <c r="G366" s="14"/>
      <c r="H366" s="15" t="s">
        <v>1</v>
      </c>
      <c r="I366" s="18" t="s">
        <v>1</v>
      </c>
      <c r="J366" s="14" t="s">
        <v>1</v>
      </c>
      <c r="K366" s="15" t="s">
        <v>1</v>
      </c>
      <c r="L366" s="18" t="s">
        <v>1</v>
      </c>
    </row>
    <row r="367" spans="1:12" ht="12">
      <c r="A367" s="356">
        <v>1</v>
      </c>
      <c r="B367" s="4" t="s">
        <v>457</v>
      </c>
      <c r="D367" s="356">
        <v>1</v>
      </c>
      <c r="E367" s="20"/>
      <c r="F367" s="20"/>
      <c r="G367" s="20"/>
      <c r="H367" s="22"/>
      <c r="J367" s="20"/>
      <c r="K367" s="22"/>
      <c r="L367" s="23"/>
    </row>
    <row r="368" spans="1:12" ht="12">
      <c r="A368" s="356">
        <f aca="true" t="shared" si="13" ref="A368:A390">(A367+1)</f>
        <v>2</v>
      </c>
      <c r="B368" s="4" t="s">
        <v>458</v>
      </c>
      <c r="D368" s="356">
        <f aca="true" t="shared" si="14" ref="D368:D390">(D367+1)</f>
        <v>2</v>
      </c>
      <c r="E368" s="20"/>
      <c r="F368" s="20"/>
      <c r="G368" s="158">
        <v>13723576</v>
      </c>
      <c r="H368" s="158"/>
      <c r="I368" s="158">
        <v>10962290</v>
      </c>
      <c r="J368" s="158"/>
      <c r="K368" s="158"/>
      <c r="L368" s="158">
        <v>10756288</v>
      </c>
    </row>
    <row r="369" spans="1:12" ht="12">
      <c r="A369" s="356">
        <f t="shared" si="13"/>
        <v>3</v>
      </c>
      <c r="B369" s="4" t="s">
        <v>459</v>
      </c>
      <c r="D369" s="356">
        <f t="shared" si="14"/>
        <v>3</v>
      </c>
      <c r="E369" s="20"/>
      <c r="F369" s="20"/>
      <c r="G369" s="158">
        <v>-1834513</v>
      </c>
      <c r="H369" s="158"/>
      <c r="I369" s="158">
        <v>-3637306</v>
      </c>
      <c r="J369" s="158"/>
      <c r="K369" s="158"/>
      <c r="L369" s="158"/>
    </row>
    <row r="370" spans="1:12" ht="12">
      <c r="A370" s="356">
        <f t="shared" si="13"/>
        <v>4</v>
      </c>
      <c r="B370" s="4"/>
      <c r="D370" s="356">
        <f t="shared" si="14"/>
        <v>4</v>
      </c>
      <c r="E370" s="20"/>
      <c r="F370" s="20"/>
      <c r="G370" s="158"/>
      <c r="H370" s="158"/>
      <c r="I370" s="158"/>
      <c r="J370" s="158"/>
      <c r="K370" s="158"/>
      <c r="L370" s="158"/>
    </row>
    <row r="371" spans="1:12" ht="12">
      <c r="A371" s="356">
        <f>(A370+1)</f>
        <v>5</v>
      </c>
      <c r="B371" s="20"/>
      <c r="D371" s="356">
        <f>(D370+1)</f>
        <v>5</v>
      </c>
      <c r="E371" s="20"/>
      <c r="F371" s="20"/>
      <c r="G371" s="158"/>
      <c r="H371" s="158"/>
      <c r="I371" s="158"/>
      <c r="J371" s="158"/>
      <c r="K371" s="158"/>
      <c r="L371" s="158"/>
    </row>
    <row r="372" spans="1:12" ht="12">
      <c r="A372" s="356">
        <f t="shared" si="13"/>
        <v>6</v>
      </c>
      <c r="B372" s="20"/>
      <c r="D372" s="356">
        <f t="shared" si="14"/>
        <v>6</v>
      </c>
      <c r="E372" s="20"/>
      <c r="F372" s="20"/>
      <c r="G372" s="158"/>
      <c r="H372" s="158"/>
      <c r="I372" s="158"/>
      <c r="J372" s="158"/>
      <c r="K372" s="158"/>
      <c r="L372" s="158"/>
    </row>
    <row r="373" spans="1:12" ht="12">
      <c r="A373" s="356">
        <f>(A372+1)</f>
        <v>7</v>
      </c>
      <c r="B373" s="4"/>
      <c r="D373" s="356">
        <f>(D372+1)</f>
        <v>7</v>
      </c>
      <c r="E373" s="20"/>
      <c r="F373" s="20"/>
      <c r="G373" s="158"/>
      <c r="H373" s="158"/>
      <c r="I373" s="158"/>
      <c r="J373" s="158"/>
      <c r="K373" s="158"/>
      <c r="L373" s="158"/>
    </row>
    <row r="374" spans="1:12" ht="12">
      <c r="A374" s="356">
        <f>(A373+1)</f>
        <v>8</v>
      </c>
      <c r="B374" s="20"/>
      <c r="D374" s="356">
        <f>(D373+1)</f>
        <v>8</v>
      </c>
      <c r="E374" s="20"/>
      <c r="F374" s="20"/>
      <c r="G374" s="158"/>
      <c r="H374" s="158"/>
      <c r="I374" s="158"/>
      <c r="J374" s="158"/>
      <c r="K374" s="158"/>
      <c r="L374" s="158"/>
    </row>
    <row r="375" spans="1:12" ht="12">
      <c r="A375" s="356">
        <f t="shared" si="13"/>
        <v>9</v>
      </c>
      <c r="B375" s="20"/>
      <c r="D375" s="356">
        <f t="shared" si="14"/>
        <v>9</v>
      </c>
      <c r="E375" s="20"/>
      <c r="F375" s="20"/>
      <c r="G375" s="158"/>
      <c r="H375" s="158"/>
      <c r="I375" s="158"/>
      <c r="J375" s="158"/>
      <c r="K375" s="158"/>
      <c r="L375" s="158"/>
    </row>
    <row r="376" spans="1:12" ht="12">
      <c r="A376" s="356">
        <f t="shared" si="13"/>
        <v>10</v>
      </c>
      <c r="D376" s="356">
        <f t="shared" si="14"/>
        <v>10</v>
      </c>
      <c r="E376" s="20"/>
      <c r="F376" s="20"/>
      <c r="G376" s="158"/>
      <c r="H376" s="158"/>
      <c r="I376" s="158"/>
      <c r="J376" s="158"/>
      <c r="K376" s="158"/>
      <c r="L376" s="158"/>
    </row>
    <row r="377" spans="1:12" ht="12">
      <c r="A377" s="356">
        <f t="shared" si="13"/>
        <v>11</v>
      </c>
      <c r="D377" s="356">
        <f t="shared" si="14"/>
        <v>11</v>
      </c>
      <c r="E377" s="20"/>
      <c r="F377" s="20"/>
      <c r="G377" s="158"/>
      <c r="H377" s="158"/>
      <c r="I377" s="158"/>
      <c r="J377" s="158"/>
      <c r="K377" s="158"/>
      <c r="L377" s="158"/>
    </row>
    <row r="378" spans="1:12" ht="12">
      <c r="A378" s="356">
        <f t="shared" si="13"/>
        <v>12</v>
      </c>
      <c r="D378" s="356">
        <f t="shared" si="14"/>
        <v>12</v>
      </c>
      <c r="E378" s="20"/>
      <c r="F378" s="20"/>
      <c r="G378" s="158"/>
      <c r="H378" s="158"/>
      <c r="I378" s="158"/>
      <c r="J378" s="158"/>
      <c r="K378" s="158"/>
      <c r="L378" s="158"/>
    </row>
    <row r="379" spans="1:12" ht="12">
      <c r="A379" s="356">
        <f t="shared" si="13"/>
        <v>13</v>
      </c>
      <c r="B379" s="20"/>
      <c r="D379" s="356">
        <f t="shared" si="14"/>
        <v>13</v>
      </c>
      <c r="E379" s="20"/>
      <c r="F379" s="20"/>
      <c r="G379" s="158"/>
      <c r="H379" s="158"/>
      <c r="I379" s="158"/>
      <c r="J379" s="158"/>
      <c r="K379" s="158"/>
      <c r="L379" s="158"/>
    </row>
    <row r="380" spans="1:12" ht="12">
      <c r="A380" s="356">
        <f t="shared" si="13"/>
        <v>14</v>
      </c>
      <c r="B380" s="20" t="s">
        <v>460</v>
      </c>
      <c r="D380" s="356">
        <f t="shared" si="14"/>
        <v>14</v>
      </c>
      <c r="E380" s="20"/>
      <c r="F380" s="20"/>
      <c r="G380" s="158"/>
      <c r="H380" s="158"/>
      <c r="I380" s="158"/>
      <c r="J380" s="158"/>
      <c r="K380" s="158"/>
      <c r="L380" s="158"/>
    </row>
    <row r="381" spans="1:12" ht="12">
      <c r="A381" s="356">
        <f t="shared" si="13"/>
        <v>15</v>
      </c>
      <c r="B381" s="20"/>
      <c r="D381" s="356">
        <f t="shared" si="14"/>
        <v>15</v>
      </c>
      <c r="E381" s="20"/>
      <c r="F381" s="20"/>
      <c r="G381" s="158"/>
      <c r="H381" s="158"/>
      <c r="I381" s="158"/>
      <c r="J381" s="158"/>
      <c r="K381" s="158"/>
      <c r="L381" s="158"/>
    </row>
    <row r="382" spans="1:12" ht="12">
      <c r="A382" s="356">
        <f t="shared" si="13"/>
        <v>16</v>
      </c>
      <c r="B382" s="20"/>
      <c r="D382" s="356">
        <f t="shared" si="14"/>
        <v>16</v>
      </c>
      <c r="E382" s="20"/>
      <c r="F382" s="20"/>
      <c r="G382" s="158"/>
      <c r="H382" s="158"/>
      <c r="I382" s="158"/>
      <c r="J382" s="158"/>
      <c r="K382" s="158"/>
      <c r="L382" s="158"/>
    </row>
    <row r="383" spans="1:12" ht="12">
      <c r="A383" s="356">
        <f t="shared" si="13"/>
        <v>17</v>
      </c>
      <c r="B383" s="20"/>
      <c r="D383" s="356">
        <f t="shared" si="14"/>
        <v>17</v>
      </c>
      <c r="E383" s="20"/>
      <c r="F383" s="20"/>
      <c r="G383" s="158"/>
      <c r="H383" s="158"/>
      <c r="I383" s="158"/>
      <c r="J383" s="158"/>
      <c r="K383" s="158"/>
      <c r="L383" s="158"/>
    </row>
    <row r="384" spans="1:12" ht="12">
      <c r="A384" s="356">
        <f t="shared" si="13"/>
        <v>18</v>
      </c>
      <c r="B384" s="20"/>
      <c r="D384" s="356">
        <f t="shared" si="14"/>
        <v>18</v>
      </c>
      <c r="E384" s="20"/>
      <c r="F384" s="20"/>
      <c r="G384" s="158"/>
      <c r="H384" s="158"/>
      <c r="I384" s="158"/>
      <c r="J384" s="158"/>
      <c r="K384" s="158"/>
      <c r="L384" s="158"/>
    </row>
    <row r="385" spans="1:12" ht="12">
      <c r="A385" s="356">
        <f t="shared" si="13"/>
        <v>19</v>
      </c>
      <c r="B385" s="20"/>
      <c r="D385" s="356">
        <f t="shared" si="14"/>
        <v>19</v>
      </c>
      <c r="E385" s="20"/>
      <c r="F385" s="20"/>
      <c r="G385" s="158"/>
      <c r="H385" s="158"/>
      <c r="I385" s="158"/>
      <c r="J385" s="158"/>
      <c r="K385" s="158"/>
      <c r="L385" s="158"/>
    </row>
    <row r="386" spans="1:12" ht="12">
      <c r="A386" s="356">
        <f t="shared" si="13"/>
        <v>20</v>
      </c>
      <c r="B386" s="20"/>
      <c r="D386" s="356">
        <f t="shared" si="14"/>
        <v>20</v>
      </c>
      <c r="E386" s="20"/>
      <c r="F386" s="20"/>
      <c r="G386" s="158"/>
      <c r="H386" s="158"/>
      <c r="I386" s="158"/>
      <c r="J386" s="158"/>
      <c r="K386" s="158"/>
      <c r="L386" s="158"/>
    </row>
    <row r="387" spans="1:12" ht="12">
      <c r="A387" s="356">
        <f t="shared" si="13"/>
        <v>21</v>
      </c>
      <c r="B387" s="20"/>
      <c r="D387" s="356">
        <f t="shared" si="14"/>
        <v>21</v>
      </c>
      <c r="E387" s="20"/>
      <c r="F387" s="20"/>
      <c r="G387" s="158"/>
      <c r="H387" s="158"/>
      <c r="I387" s="158"/>
      <c r="J387" s="158"/>
      <c r="K387" s="158"/>
      <c r="L387" s="158"/>
    </row>
    <row r="388" spans="1:12" ht="12">
      <c r="A388" s="356">
        <f t="shared" si="13"/>
        <v>22</v>
      </c>
      <c r="B388" s="20"/>
      <c r="D388" s="356">
        <f t="shared" si="14"/>
        <v>22</v>
      </c>
      <c r="E388" s="20"/>
      <c r="F388" s="20"/>
      <c r="G388" s="158"/>
      <c r="H388" s="158"/>
      <c r="I388" s="158"/>
      <c r="J388" s="158"/>
      <c r="K388" s="158"/>
      <c r="L388" s="158"/>
    </row>
    <row r="389" spans="1:12" ht="12">
      <c r="A389" s="356">
        <f t="shared" si="13"/>
        <v>23</v>
      </c>
      <c r="B389" s="20"/>
      <c r="D389" s="356">
        <f t="shared" si="14"/>
        <v>23</v>
      </c>
      <c r="E389" s="20"/>
      <c r="F389" s="20"/>
      <c r="G389" s="158"/>
      <c r="H389" s="158"/>
      <c r="I389" s="158"/>
      <c r="J389" s="158"/>
      <c r="K389" s="158"/>
      <c r="L389" s="158"/>
    </row>
    <row r="390" spans="1:12" ht="12">
      <c r="A390" s="356">
        <f t="shared" si="13"/>
        <v>24</v>
      </c>
      <c r="B390" s="20"/>
      <c r="D390" s="356">
        <f t="shared" si="14"/>
        <v>24</v>
      </c>
      <c r="E390" s="20"/>
      <c r="F390" s="20"/>
      <c r="G390" s="158"/>
      <c r="H390" s="158"/>
      <c r="I390" s="158"/>
      <c r="J390" s="158"/>
      <c r="K390" s="158"/>
      <c r="L390" s="158"/>
    </row>
    <row r="391" spans="1:12" ht="12">
      <c r="A391" s="420"/>
      <c r="D391" s="420"/>
      <c r="E391" s="252" t="s">
        <v>1</v>
      </c>
      <c r="F391" s="252"/>
      <c r="G391" s="252"/>
      <c r="H391" s="15" t="s">
        <v>1</v>
      </c>
      <c r="I391" s="18"/>
      <c r="J391" s="252"/>
      <c r="K391" s="15"/>
      <c r="L391" s="18"/>
    </row>
    <row r="392" spans="1:12" ht="12">
      <c r="A392" s="356">
        <f>(A390+1)</f>
        <v>25</v>
      </c>
      <c r="B392" s="4" t="s">
        <v>461</v>
      </c>
      <c r="D392" s="356">
        <f>(D390+1)</f>
        <v>25</v>
      </c>
      <c r="G392" s="159">
        <f>SUM(G367:G390)</f>
        <v>11889063</v>
      </c>
      <c r="H392" s="160"/>
      <c r="I392" s="159">
        <f>SUM(I367:I390)</f>
        <v>7324984</v>
      </c>
      <c r="J392" s="159"/>
      <c r="K392" s="160"/>
      <c r="L392" s="159">
        <f>SUM(L367:L390)</f>
        <v>10756288</v>
      </c>
    </row>
    <row r="393" spans="1:12" ht="12">
      <c r="A393" s="356"/>
      <c r="B393" s="4"/>
      <c r="D393" s="356"/>
      <c r="E393" s="252" t="s">
        <v>1</v>
      </c>
      <c r="F393" s="252"/>
      <c r="G393" s="252"/>
      <c r="H393" s="15" t="s">
        <v>1</v>
      </c>
      <c r="I393" s="18"/>
      <c r="J393" s="252"/>
      <c r="K393" s="15"/>
      <c r="L393" s="18"/>
    </row>
    <row r="394" ht="12">
      <c r="D394" s="21"/>
    </row>
    <row r="395" ht="12">
      <c r="D395" s="21"/>
    </row>
    <row r="396" ht="12"/>
    <row r="397" spans="1:12" ht="12">
      <c r="A397" s="32" t="str">
        <f>$A$31</f>
        <v>Institution No.: GFC  </v>
      </c>
      <c r="B397" s="394"/>
      <c r="C397" s="394"/>
      <c r="D397" s="398"/>
      <c r="E397" s="394"/>
      <c r="F397" s="394"/>
      <c r="G397" s="394"/>
      <c r="H397" s="399"/>
      <c r="I397" s="400"/>
      <c r="J397" s="394"/>
      <c r="K397" s="399"/>
      <c r="L397" s="31" t="s">
        <v>241</v>
      </c>
    </row>
    <row r="398" spans="1:12" ht="12">
      <c r="A398" s="449" t="s">
        <v>462</v>
      </c>
      <c r="B398" s="449"/>
      <c r="C398" s="449"/>
      <c r="D398" s="449"/>
      <c r="E398" s="449"/>
      <c r="F398" s="449"/>
      <c r="G398" s="449"/>
      <c r="H398" s="449"/>
      <c r="I398" s="449"/>
      <c r="J398" s="449"/>
      <c r="K398" s="449"/>
      <c r="L398" s="449"/>
    </row>
    <row r="399" spans="1:12" ht="12">
      <c r="A399" s="32" t="str">
        <f>A362</f>
        <v>NAME:  University of Colorado -  Colorado Springs</v>
      </c>
      <c r="I399" s="19"/>
      <c r="K399" s="6"/>
      <c r="L399" s="34" t="str">
        <f>$L$2</f>
        <v>Date: 10/1/2010</v>
      </c>
    </row>
    <row r="400" spans="1:12" ht="12">
      <c r="A400" s="14" t="s">
        <v>1</v>
      </c>
      <c r="B400" s="14" t="s">
        <v>1</v>
      </c>
      <c r="C400" s="14" t="s">
        <v>1</v>
      </c>
      <c r="D400" s="14" t="s">
        <v>1</v>
      </c>
      <c r="E400" s="14" t="s">
        <v>1</v>
      </c>
      <c r="F400" s="14"/>
      <c r="G400" s="14"/>
      <c r="H400" s="15" t="s">
        <v>1</v>
      </c>
      <c r="I400" s="18" t="s">
        <v>1</v>
      </c>
      <c r="J400" s="14" t="s">
        <v>1</v>
      </c>
      <c r="K400" s="15" t="s">
        <v>1</v>
      </c>
      <c r="L400" s="18" t="s">
        <v>1</v>
      </c>
    </row>
    <row r="401" spans="1:12" ht="12">
      <c r="A401" s="35" t="s">
        <v>2</v>
      </c>
      <c r="D401" s="35" t="s">
        <v>2</v>
      </c>
      <c r="E401" s="1"/>
      <c r="F401" s="1"/>
      <c r="G401" s="3" t="s">
        <v>62</v>
      </c>
      <c r="H401" s="2"/>
      <c r="I401" s="3" t="s">
        <v>65</v>
      </c>
      <c r="J401" s="1"/>
      <c r="K401" s="2"/>
      <c r="L401" s="3" t="s">
        <v>70</v>
      </c>
    </row>
    <row r="402" spans="1:12" ht="12">
      <c r="A402" s="35" t="s">
        <v>4</v>
      </c>
      <c r="B402" s="36" t="s">
        <v>18</v>
      </c>
      <c r="D402" s="35" t="s">
        <v>4</v>
      </c>
      <c r="E402" s="1"/>
      <c r="F402" s="1"/>
      <c r="G402" s="3" t="s">
        <v>7</v>
      </c>
      <c r="H402" s="2"/>
      <c r="I402" s="3" t="s">
        <v>7</v>
      </c>
      <c r="J402" s="1"/>
      <c r="K402" s="2"/>
      <c r="L402" s="3" t="s">
        <v>8</v>
      </c>
    </row>
    <row r="403" spans="1:12" ht="12">
      <c r="A403" s="14" t="s">
        <v>1</v>
      </c>
      <c r="B403" s="14" t="s">
        <v>1</v>
      </c>
      <c r="C403" s="14" t="s">
        <v>1</v>
      </c>
      <c r="D403" s="14" t="s">
        <v>1</v>
      </c>
      <c r="E403" s="14" t="s">
        <v>1</v>
      </c>
      <c r="F403" s="14"/>
      <c r="G403" s="14"/>
      <c r="H403" s="15" t="s">
        <v>1</v>
      </c>
      <c r="I403" s="18" t="s">
        <v>1</v>
      </c>
      <c r="J403" s="14" t="s">
        <v>1</v>
      </c>
      <c r="K403" s="15" t="s">
        <v>1</v>
      </c>
      <c r="L403" s="18" t="s">
        <v>1</v>
      </c>
    </row>
    <row r="404" spans="1:12" ht="12">
      <c r="A404" s="5">
        <v>1</v>
      </c>
      <c r="B404" s="5" t="s">
        <v>463</v>
      </c>
      <c r="D404" s="5">
        <v>1</v>
      </c>
      <c r="G404" s="155">
        <v>6120042</v>
      </c>
      <c r="H404" s="155"/>
      <c r="I404" s="155">
        <v>2659699</v>
      </c>
      <c r="J404" s="155"/>
      <c r="K404" s="155"/>
      <c r="L404" s="155">
        <v>7252817</v>
      </c>
    </row>
    <row r="405" ht="12">
      <c r="D405" s="21"/>
    </row>
    <row r="406" ht="12">
      <c r="D406" s="21"/>
    </row>
    <row r="407" ht="12">
      <c r="D407" s="21"/>
    </row>
    <row r="408" ht="12">
      <c r="D408" s="21"/>
    </row>
    <row r="409" ht="12">
      <c r="D409" s="21"/>
    </row>
    <row r="410" ht="12">
      <c r="D410" s="21"/>
    </row>
    <row r="411" ht="12">
      <c r="D411" s="21"/>
    </row>
    <row r="412" ht="12">
      <c r="D412" s="21"/>
    </row>
    <row r="413" ht="12">
      <c r="D413" s="21"/>
    </row>
    <row r="414" ht="12">
      <c r="D414" s="21"/>
    </row>
    <row r="415" ht="12">
      <c r="D415" s="21"/>
    </row>
    <row r="416" ht="12">
      <c r="D416" s="21"/>
    </row>
    <row r="417" ht="12">
      <c r="D417" s="21"/>
    </row>
    <row r="418" ht="12">
      <c r="D418" s="21"/>
    </row>
    <row r="419" spans="2:5" ht="12.75">
      <c r="B419" s="40"/>
      <c r="C419" s="41"/>
      <c r="D419" s="41"/>
      <c r="E419" s="41"/>
    </row>
    <row r="420" spans="2:5" ht="12.75">
      <c r="B420" s="40"/>
      <c r="C420" s="41"/>
      <c r="D420" s="41"/>
      <c r="E420" s="41"/>
    </row>
    <row r="421" ht="12">
      <c r="D421" s="21"/>
    </row>
    <row r="422" ht="12">
      <c r="D422" s="21"/>
    </row>
    <row r="423" ht="12">
      <c r="D423" s="21"/>
    </row>
    <row r="424" ht="12">
      <c r="D424" s="21"/>
    </row>
    <row r="425" ht="12">
      <c r="D425" s="21"/>
    </row>
    <row r="426" ht="12">
      <c r="D426" s="21"/>
    </row>
    <row r="427" ht="12">
      <c r="D427" s="21"/>
    </row>
    <row r="428" ht="12">
      <c r="D428" s="21"/>
    </row>
    <row r="429" ht="12">
      <c r="D429" s="21"/>
    </row>
    <row r="430" ht="12">
      <c r="D430" s="21"/>
    </row>
    <row r="431" ht="12">
      <c r="D431" s="21"/>
    </row>
    <row r="432" ht="12">
      <c r="D432" s="21"/>
    </row>
    <row r="433" ht="12">
      <c r="D433" s="21"/>
    </row>
    <row r="434" spans="4:12" ht="12">
      <c r="D434" s="21"/>
      <c r="H434" s="6"/>
      <c r="I434" s="19"/>
      <c r="K434" s="6"/>
      <c r="L434" s="19"/>
    </row>
    <row r="435" spans="1:12" s="394" customFormat="1" ht="12">
      <c r="A435" s="32" t="str">
        <f>$A$31</f>
        <v>Institution No.: GFC  </v>
      </c>
      <c r="D435" s="398"/>
      <c r="H435" s="399"/>
      <c r="I435" s="400"/>
      <c r="K435" s="399"/>
      <c r="L435" s="31" t="s">
        <v>245</v>
      </c>
    </row>
    <row r="436" spans="1:12" s="394" customFormat="1" ht="12">
      <c r="A436" s="468" t="s">
        <v>246</v>
      </c>
      <c r="B436" s="468"/>
      <c r="C436" s="468"/>
      <c r="D436" s="468"/>
      <c r="E436" s="468"/>
      <c r="F436" s="468"/>
      <c r="G436" s="468"/>
      <c r="H436" s="468"/>
      <c r="I436" s="468"/>
      <c r="J436" s="468"/>
      <c r="K436" s="468"/>
      <c r="L436" s="468"/>
    </row>
    <row r="437" spans="1:12" ht="12">
      <c r="A437" s="32" t="str">
        <f>A399</f>
        <v>NAME:  University of Colorado -  Colorado Springs</v>
      </c>
      <c r="H437" s="421"/>
      <c r="I437" s="19"/>
      <c r="K437" s="6"/>
      <c r="L437" s="34" t="str">
        <f>$L$2</f>
        <v>Date: 10/1/2010</v>
      </c>
    </row>
    <row r="438" spans="1:12" ht="12">
      <c r="A438" s="14" t="s">
        <v>1</v>
      </c>
      <c r="B438" s="14" t="s">
        <v>1</v>
      </c>
      <c r="C438" s="14" t="s">
        <v>1</v>
      </c>
      <c r="D438" s="14" t="s">
        <v>1</v>
      </c>
      <c r="E438" s="14" t="s">
        <v>1</v>
      </c>
      <c r="F438" s="14"/>
      <c r="G438" s="14"/>
      <c r="H438" s="15" t="s">
        <v>1</v>
      </c>
      <c r="I438" s="18" t="s">
        <v>1</v>
      </c>
      <c r="J438" s="14" t="s">
        <v>1</v>
      </c>
      <c r="K438" s="15" t="s">
        <v>1</v>
      </c>
      <c r="L438" s="18" t="s">
        <v>1</v>
      </c>
    </row>
    <row r="439" spans="1:12" ht="12">
      <c r="A439" s="35" t="s">
        <v>2</v>
      </c>
      <c r="D439" s="35" t="s">
        <v>2</v>
      </c>
      <c r="E439" s="1"/>
      <c r="F439" s="2"/>
      <c r="G439" s="3" t="s">
        <v>62</v>
      </c>
      <c r="H439" s="2"/>
      <c r="I439" s="3" t="s">
        <v>65</v>
      </c>
      <c r="J439" s="1"/>
      <c r="K439" s="2"/>
      <c r="L439" s="3" t="s">
        <v>70</v>
      </c>
    </row>
    <row r="440" spans="1:12" ht="12">
      <c r="A440" s="35" t="s">
        <v>4</v>
      </c>
      <c r="B440" s="36" t="s">
        <v>18</v>
      </c>
      <c r="D440" s="35" t="s">
        <v>4</v>
      </c>
      <c r="E440" s="1"/>
      <c r="F440" s="2" t="s">
        <v>6</v>
      </c>
      <c r="G440" s="3" t="s">
        <v>7</v>
      </c>
      <c r="H440" s="2" t="s">
        <v>6</v>
      </c>
      <c r="I440" s="3" t="s">
        <v>7</v>
      </c>
      <c r="J440" s="1"/>
      <c r="K440" s="2" t="s">
        <v>6</v>
      </c>
      <c r="L440" s="3" t="s">
        <v>8</v>
      </c>
    </row>
    <row r="441" spans="1:12" ht="12">
      <c r="A441" s="14" t="s">
        <v>1</v>
      </c>
      <c r="B441" s="14" t="s">
        <v>1</v>
      </c>
      <c r="C441" s="14" t="s">
        <v>1</v>
      </c>
      <c r="D441" s="14" t="s">
        <v>1</v>
      </c>
      <c r="E441" s="14" t="s">
        <v>1</v>
      </c>
      <c r="F441" s="14"/>
      <c r="G441" s="14"/>
      <c r="H441" s="15" t="s">
        <v>1</v>
      </c>
      <c r="I441" s="18" t="s">
        <v>1</v>
      </c>
      <c r="J441" s="14" t="s">
        <v>1</v>
      </c>
      <c r="K441" s="15" t="s">
        <v>1</v>
      </c>
      <c r="L441" s="18" t="s">
        <v>1</v>
      </c>
    </row>
    <row r="442" spans="1:12" ht="12">
      <c r="A442" s="24">
        <v>1</v>
      </c>
      <c r="B442" s="4" t="s">
        <v>276</v>
      </c>
      <c r="D442" s="24">
        <v>1</v>
      </c>
      <c r="E442" s="20"/>
      <c r="F442" s="162">
        <v>358.67</v>
      </c>
      <c r="G442" s="163">
        <v>23398641</v>
      </c>
      <c r="H442" s="162">
        <f>443.96+22.37-H444</f>
        <v>386.08</v>
      </c>
      <c r="I442" s="163">
        <v>25270613</v>
      </c>
      <c r="J442" s="163"/>
      <c r="K442" s="162">
        <f>447.11+24.27-K444</f>
        <v>388.13</v>
      </c>
      <c r="L442" s="163">
        <f>23747706+61222+1233925</f>
        <v>25042853</v>
      </c>
    </row>
    <row r="443" spans="1:12" ht="12">
      <c r="A443" s="24">
        <v>2</v>
      </c>
      <c r="B443" s="4" t="s">
        <v>268</v>
      </c>
      <c r="D443" s="24">
        <v>2</v>
      </c>
      <c r="E443" s="20"/>
      <c r="F443" s="162"/>
      <c r="G443" s="163">
        <v>5990098</v>
      </c>
      <c r="H443" s="162"/>
      <c r="I443" s="163">
        <v>6838930</v>
      </c>
      <c r="J443" s="163"/>
      <c r="K443" s="162"/>
      <c r="L443" s="163">
        <f>6819410-264809</f>
        <v>6554601</v>
      </c>
    </row>
    <row r="444" spans="1:12" ht="12">
      <c r="A444" s="24">
        <v>3</v>
      </c>
      <c r="B444" s="4" t="s">
        <v>464</v>
      </c>
      <c r="D444" s="24">
        <v>3</v>
      </c>
      <c r="E444" s="20"/>
      <c r="F444" s="162">
        <v>75.55</v>
      </c>
      <c r="G444" s="163">
        <v>2509928</v>
      </c>
      <c r="H444" s="162">
        <v>80.25</v>
      </c>
      <c r="I444" s="163">
        <v>2338175</v>
      </c>
      <c r="J444" s="163"/>
      <c r="K444" s="162">
        <v>83.25</v>
      </c>
      <c r="L444" s="163">
        <f>1654168+264809</f>
        <v>1918977</v>
      </c>
    </row>
    <row r="445" spans="1:12" ht="12">
      <c r="A445" s="24">
        <v>4</v>
      </c>
      <c r="B445" s="4" t="s">
        <v>270</v>
      </c>
      <c r="D445" s="24">
        <v>4</v>
      </c>
      <c r="E445" s="20"/>
      <c r="F445" s="162">
        <f>SUM(F442:F444)</f>
        <v>434.22</v>
      </c>
      <c r="G445" s="164">
        <f aca="true" t="shared" si="15" ref="G445:L445">SUM(G442:G444)</f>
        <v>31898667</v>
      </c>
      <c r="H445" s="162">
        <f t="shared" si="15"/>
        <v>466.33</v>
      </c>
      <c r="I445" s="164">
        <f t="shared" si="15"/>
        <v>34447718</v>
      </c>
      <c r="J445" s="164"/>
      <c r="K445" s="162">
        <f t="shared" si="15"/>
        <v>471.38</v>
      </c>
      <c r="L445" s="164">
        <f t="shared" si="15"/>
        <v>33516431</v>
      </c>
    </row>
    <row r="446" spans="1:12" ht="12">
      <c r="A446" s="24">
        <v>5</v>
      </c>
      <c r="D446" s="24">
        <v>5</v>
      </c>
      <c r="E446" s="20"/>
      <c r="F446" s="162"/>
      <c r="G446" s="163"/>
      <c r="H446" s="162"/>
      <c r="I446" s="163"/>
      <c r="J446" s="159"/>
      <c r="K446" s="162"/>
      <c r="L446" s="163"/>
    </row>
    <row r="447" spans="1:12" ht="12">
      <c r="A447" s="24">
        <v>6</v>
      </c>
      <c r="B447" s="4" t="s">
        <v>252</v>
      </c>
      <c r="D447" s="24">
        <v>6</v>
      </c>
      <c r="E447" s="20"/>
      <c r="F447" s="162"/>
      <c r="G447" s="163"/>
      <c r="H447" s="162"/>
      <c r="I447" s="163"/>
      <c r="J447" s="163"/>
      <c r="K447" s="162"/>
      <c r="L447" s="163"/>
    </row>
    <row r="448" spans="1:12" ht="12">
      <c r="A448" s="24">
        <v>7</v>
      </c>
      <c r="B448" s="4" t="s">
        <v>253</v>
      </c>
      <c r="D448" s="24">
        <v>7</v>
      </c>
      <c r="E448" s="20"/>
      <c r="F448" s="162">
        <v>32.37</v>
      </c>
      <c r="G448" s="163">
        <v>1548980</v>
      </c>
      <c r="H448" s="162">
        <v>30.37</v>
      </c>
      <c r="I448" s="163">
        <v>1504604</v>
      </c>
      <c r="J448" s="163"/>
      <c r="K448" s="162">
        <v>15.5</v>
      </c>
      <c r="L448" s="163">
        <v>1638148</v>
      </c>
    </row>
    <row r="449" spans="1:12" ht="12">
      <c r="A449" s="24">
        <v>8</v>
      </c>
      <c r="B449" s="4" t="s">
        <v>254</v>
      </c>
      <c r="D449" s="24">
        <v>8</v>
      </c>
      <c r="E449" s="20"/>
      <c r="F449" s="162"/>
      <c r="G449" s="163">
        <v>436314</v>
      </c>
      <c r="H449" s="162"/>
      <c r="I449" s="163">
        <v>479543</v>
      </c>
      <c r="J449" s="163"/>
      <c r="K449" s="162"/>
      <c r="L449" s="163">
        <v>699981</v>
      </c>
    </row>
    <row r="450" spans="1:12" ht="12">
      <c r="A450" s="24">
        <v>9</v>
      </c>
      <c r="B450" s="4" t="s">
        <v>255</v>
      </c>
      <c r="D450" s="24">
        <v>9</v>
      </c>
      <c r="E450" s="20"/>
      <c r="F450" s="162">
        <f>SUM(F447:F449)</f>
        <v>32.37</v>
      </c>
      <c r="G450" s="163">
        <f>SUM(G447:G449)</f>
        <v>1985294</v>
      </c>
      <c r="H450" s="162">
        <f>SUM(H447:H449)</f>
        <v>30.37</v>
      </c>
      <c r="I450" s="163">
        <f>SUM(I447:I449)</f>
        <v>1984147</v>
      </c>
      <c r="J450" s="160"/>
      <c r="K450" s="162">
        <f>SUM(K447:K449)</f>
        <v>15.5</v>
      </c>
      <c r="L450" s="163">
        <f>SUM(L447:L449)</f>
        <v>2338129</v>
      </c>
    </row>
    <row r="451" spans="1:12" ht="12">
      <c r="A451" s="24">
        <v>10</v>
      </c>
      <c r="D451" s="24">
        <v>10</v>
      </c>
      <c r="E451" s="20"/>
      <c r="F451" s="162"/>
      <c r="G451" s="163"/>
      <c r="H451" s="165"/>
      <c r="I451" s="163"/>
      <c r="J451" s="159"/>
      <c r="K451" s="165"/>
      <c r="L451" s="163"/>
    </row>
    <row r="452" spans="1:12" ht="12">
      <c r="A452" s="24">
        <v>11</v>
      </c>
      <c r="B452" s="4" t="s">
        <v>256</v>
      </c>
      <c r="D452" s="24">
        <v>11</v>
      </c>
      <c r="F452" s="166">
        <f>SUM(F445+F450)</f>
        <v>466.59000000000003</v>
      </c>
      <c r="G452" s="159">
        <f>SUM(G445+G450)</f>
        <v>33883961</v>
      </c>
      <c r="H452" s="166">
        <f>SUM(H445+H450)</f>
        <v>496.7</v>
      </c>
      <c r="I452" s="159">
        <f>SUM(I445+I450)</f>
        <v>36431865</v>
      </c>
      <c r="J452" s="159"/>
      <c r="K452" s="166">
        <f>SUM(K445+K450)</f>
        <v>486.88</v>
      </c>
      <c r="L452" s="159">
        <f>SUM(L445+L450)</f>
        <v>35854560</v>
      </c>
    </row>
    <row r="453" spans="1:12" ht="12">
      <c r="A453" s="24">
        <v>12</v>
      </c>
      <c r="D453" s="24">
        <v>12</v>
      </c>
      <c r="F453" s="166"/>
      <c r="G453" s="159"/>
      <c r="H453" s="166"/>
      <c r="I453" s="159"/>
      <c r="J453" s="159"/>
      <c r="K453" s="166"/>
      <c r="L453" s="159"/>
    </row>
    <row r="454" spans="1:12" ht="12">
      <c r="A454" s="24">
        <v>13</v>
      </c>
      <c r="B454" s="4" t="s">
        <v>271</v>
      </c>
      <c r="D454" s="24">
        <v>13</v>
      </c>
      <c r="E454" s="20"/>
      <c r="F454" s="162"/>
      <c r="G454" s="163">
        <v>740741</v>
      </c>
      <c r="H454" s="162"/>
      <c r="I454" s="163">
        <v>807815</v>
      </c>
      <c r="J454" s="163"/>
      <c r="K454" s="162"/>
      <c r="L454" s="163">
        <f>334433+5030</f>
        <v>339463</v>
      </c>
    </row>
    <row r="455" spans="1:12" ht="12">
      <c r="A455" s="24">
        <v>14</v>
      </c>
      <c r="D455" s="24">
        <v>14</v>
      </c>
      <c r="E455" s="20"/>
      <c r="F455" s="162"/>
      <c r="G455" s="163"/>
      <c r="H455" s="162"/>
      <c r="I455" s="163"/>
      <c r="J455" s="163"/>
      <c r="K455" s="162"/>
      <c r="L455" s="163"/>
    </row>
    <row r="456" spans="1:12" ht="12">
      <c r="A456" s="24">
        <v>15</v>
      </c>
      <c r="B456" s="4" t="s">
        <v>258</v>
      </c>
      <c r="D456" s="24">
        <v>15</v>
      </c>
      <c r="E456" s="20"/>
      <c r="F456" s="162"/>
      <c r="G456" s="163">
        <v>443694</v>
      </c>
      <c r="H456" s="162"/>
      <c r="I456" s="163">
        <v>472122</v>
      </c>
      <c r="J456" s="163"/>
      <c r="K456" s="162"/>
      <c r="L456" s="163">
        <v>108879</v>
      </c>
    </row>
    <row r="457" spans="1:12" ht="12">
      <c r="A457" s="24">
        <v>16</v>
      </c>
      <c r="B457" s="4"/>
      <c r="D457" s="24">
        <v>16</v>
      </c>
      <c r="E457" s="20"/>
      <c r="F457" s="162"/>
      <c r="G457" s="163"/>
      <c r="H457" s="162"/>
      <c r="I457" s="163"/>
      <c r="J457" s="163"/>
      <c r="K457" s="162"/>
      <c r="L457" s="163"/>
    </row>
    <row r="458" spans="1:12" s="423" customFormat="1" ht="18.75" customHeight="1">
      <c r="A458" s="422">
        <v>17</v>
      </c>
      <c r="B458" s="424" t="s">
        <v>259</v>
      </c>
      <c r="D458" s="422">
        <v>17</v>
      </c>
      <c r="E458" s="425"/>
      <c r="F458" s="168"/>
      <c r="G458" s="169">
        <v>2148762</v>
      </c>
      <c r="H458" s="168"/>
      <c r="I458" s="169">
        <v>2455057</v>
      </c>
      <c r="J458" s="169"/>
      <c r="K458" s="168"/>
      <c r="L458" s="169">
        <f>3187296+133348</f>
        <v>3320644</v>
      </c>
    </row>
    <row r="459" spans="1:12" ht="12">
      <c r="A459" s="24">
        <v>18</v>
      </c>
      <c r="B459" s="426"/>
      <c r="D459" s="24">
        <v>18</v>
      </c>
      <c r="F459" s="162"/>
      <c r="G459" s="163"/>
      <c r="H459" s="162"/>
      <c r="I459" s="163"/>
      <c r="J459" s="163"/>
      <c r="K459" s="162"/>
      <c r="L459" s="163"/>
    </row>
    <row r="460" spans="1:12" ht="12">
      <c r="A460" s="24">
        <v>19</v>
      </c>
      <c r="B460" s="426" t="s">
        <v>465</v>
      </c>
      <c r="D460" s="24">
        <v>19</v>
      </c>
      <c r="F460" s="162"/>
      <c r="G460" s="163"/>
      <c r="H460" s="162"/>
      <c r="I460" s="163"/>
      <c r="J460" s="163"/>
      <c r="K460" s="162"/>
      <c r="L460" s="163">
        <v>5780</v>
      </c>
    </row>
    <row r="461" spans="1:12" ht="12">
      <c r="A461" s="24">
        <v>20</v>
      </c>
      <c r="B461" s="426"/>
      <c r="D461" s="24">
        <v>20</v>
      </c>
      <c r="F461" s="162"/>
      <c r="G461" s="163"/>
      <c r="H461" s="162"/>
      <c r="I461" s="163"/>
      <c r="J461" s="163"/>
      <c r="K461" s="162"/>
      <c r="L461" s="163"/>
    </row>
    <row r="462" spans="1:12" ht="12">
      <c r="A462" s="24">
        <v>21</v>
      </c>
      <c r="B462" s="4"/>
      <c r="D462" s="24">
        <v>21</v>
      </c>
      <c r="F462" s="162"/>
      <c r="G462" s="163"/>
      <c r="H462" s="162"/>
      <c r="I462" s="163"/>
      <c r="J462" s="163"/>
      <c r="K462" s="162"/>
      <c r="L462" s="163"/>
    </row>
    <row r="463" spans="1:12" ht="12">
      <c r="A463" s="24">
        <v>22</v>
      </c>
      <c r="B463" s="4"/>
      <c r="D463" s="24">
        <v>22</v>
      </c>
      <c r="F463" s="162"/>
      <c r="G463" s="163"/>
      <c r="H463" s="162"/>
      <c r="I463" s="163"/>
      <c r="J463" s="163"/>
      <c r="K463" s="162"/>
      <c r="L463" s="163"/>
    </row>
    <row r="464" spans="1:12" ht="12">
      <c r="A464" s="24">
        <v>23</v>
      </c>
      <c r="B464" s="4"/>
      <c r="D464" s="24">
        <v>23</v>
      </c>
      <c r="F464" s="162"/>
      <c r="G464" s="163"/>
      <c r="H464" s="162"/>
      <c r="I464" s="163"/>
      <c r="J464" s="163"/>
      <c r="K464" s="162"/>
      <c r="L464" s="163"/>
    </row>
    <row r="465" spans="1:12" ht="12">
      <c r="A465" s="24">
        <v>24</v>
      </c>
      <c r="B465" s="4"/>
      <c r="D465" s="24">
        <v>24</v>
      </c>
      <c r="F465" s="162"/>
      <c r="G465" s="163"/>
      <c r="H465" s="162"/>
      <c r="I465" s="163"/>
      <c r="J465" s="163"/>
      <c r="K465" s="162"/>
      <c r="L465" s="163"/>
    </row>
    <row r="466" spans="1:12" ht="12">
      <c r="A466" s="24"/>
      <c r="B466" s="4"/>
      <c r="D466" s="24"/>
      <c r="F466" s="162"/>
      <c r="G466" s="163"/>
      <c r="H466" s="162"/>
      <c r="I466" s="163"/>
      <c r="J466" s="163"/>
      <c r="K466" s="162"/>
      <c r="L466" s="163"/>
    </row>
    <row r="467" spans="1:12" ht="12">
      <c r="A467" s="24"/>
      <c r="D467" s="24"/>
      <c r="F467" s="162"/>
      <c r="G467" s="163"/>
      <c r="H467" s="162"/>
      <c r="I467" s="163"/>
      <c r="J467" s="163"/>
      <c r="K467" s="162"/>
      <c r="L467" s="163"/>
    </row>
    <row r="468" spans="1:12" ht="12">
      <c r="A468" s="24"/>
      <c r="D468" s="24"/>
      <c r="E468" s="252" t="s">
        <v>1</v>
      </c>
      <c r="F468" s="415"/>
      <c r="G468" s="252"/>
      <c r="H468" s="415"/>
      <c r="I468" s="18"/>
      <c r="J468" s="252"/>
      <c r="K468" s="415"/>
      <c r="L468" s="18"/>
    </row>
    <row r="469" spans="1:12" ht="12">
      <c r="A469" s="24">
        <v>25</v>
      </c>
      <c r="B469" s="4" t="s">
        <v>466</v>
      </c>
      <c r="D469" s="24">
        <v>25</v>
      </c>
      <c r="F469" s="166">
        <f>SUM(F452:F465)</f>
        <v>466.59000000000003</v>
      </c>
      <c r="G469" s="159">
        <f>SUM(G452:G465)</f>
        <v>37217158</v>
      </c>
      <c r="H469" s="166">
        <f>SUM(H452:H465)</f>
        <v>496.7</v>
      </c>
      <c r="I469" s="159">
        <f>SUM(I452:I465)</f>
        <v>40166859</v>
      </c>
      <c r="J469" s="170"/>
      <c r="K469" s="159">
        <f>SUM(K452:K465)</f>
        <v>486.88</v>
      </c>
      <c r="L469" s="159">
        <f>SUM(L452:L465)</f>
        <v>39629326</v>
      </c>
    </row>
    <row r="470" spans="5:12" ht="12">
      <c r="E470" s="252" t="s">
        <v>1</v>
      </c>
      <c r="F470" s="252"/>
      <c r="G470" s="252"/>
      <c r="H470" s="15"/>
      <c r="I470" s="18"/>
      <c r="J470" s="252"/>
      <c r="K470" s="15"/>
      <c r="L470" s="18"/>
    </row>
    <row r="471" spans="1:6" ht="12">
      <c r="A471" s="4"/>
      <c r="F471" s="5" t="s">
        <v>0</v>
      </c>
    </row>
    <row r="472" ht="12"/>
    <row r="473" spans="1:12" s="394" customFormat="1" ht="12">
      <c r="A473" s="32" t="str">
        <f>$A$31</f>
        <v>Institution No.: GFC  </v>
      </c>
      <c r="D473" s="398"/>
      <c r="H473" s="399"/>
      <c r="I473" s="400"/>
      <c r="K473" s="399"/>
      <c r="L473" s="31" t="s">
        <v>265</v>
      </c>
    </row>
    <row r="474" spans="1:12" s="394" customFormat="1" ht="12">
      <c r="A474" s="468" t="s">
        <v>266</v>
      </c>
      <c r="B474" s="468"/>
      <c r="C474" s="468"/>
      <c r="D474" s="468"/>
      <c r="E474" s="468"/>
      <c r="F474" s="468"/>
      <c r="G474" s="468"/>
      <c r="H474" s="468"/>
      <c r="I474" s="468"/>
      <c r="J474" s="468"/>
      <c r="K474" s="468"/>
      <c r="L474" s="468"/>
    </row>
    <row r="475" spans="1:12" ht="12">
      <c r="A475" s="32" t="str">
        <f>A437</f>
        <v>NAME:  University of Colorado -  Colorado Springs</v>
      </c>
      <c r="E475" s="419"/>
      <c r="F475" s="419"/>
      <c r="G475" s="419"/>
      <c r="H475" s="412"/>
      <c r="I475" s="413"/>
      <c r="K475" s="6"/>
      <c r="L475" s="34" t="str">
        <f>$L$2</f>
        <v>Date: 10/1/2010</v>
      </c>
    </row>
    <row r="476" spans="1:12" ht="12">
      <c r="A476" s="14" t="s">
        <v>1</v>
      </c>
      <c r="B476" s="14" t="s">
        <v>1</v>
      </c>
      <c r="C476" s="14" t="s">
        <v>1</v>
      </c>
      <c r="D476" s="14" t="s">
        <v>1</v>
      </c>
      <c r="E476" s="14" t="s">
        <v>1</v>
      </c>
      <c r="F476" s="14"/>
      <c r="G476" s="14"/>
      <c r="H476" s="15" t="s">
        <v>1</v>
      </c>
      <c r="I476" s="18" t="s">
        <v>1</v>
      </c>
      <c r="J476" s="14" t="s">
        <v>1</v>
      </c>
      <c r="K476" s="15" t="s">
        <v>1</v>
      </c>
      <c r="L476" s="18" t="s">
        <v>1</v>
      </c>
    </row>
    <row r="477" spans="1:12" ht="12">
      <c r="A477" s="35" t="s">
        <v>2</v>
      </c>
      <c r="D477" s="35" t="s">
        <v>2</v>
      </c>
      <c r="E477" s="1"/>
      <c r="F477" s="2"/>
      <c r="G477" s="3" t="s">
        <v>62</v>
      </c>
      <c r="H477" s="2"/>
      <c r="I477" s="3" t="s">
        <v>65</v>
      </c>
      <c r="J477" s="1"/>
      <c r="K477" s="2"/>
      <c r="L477" s="3" t="s">
        <v>70</v>
      </c>
    </row>
    <row r="478" spans="1:12" ht="12">
      <c r="A478" s="35" t="s">
        <v>4</v>
      </c>
      <c r="B478" s="36" t="s">
        <v>18</v>
      </c>
      <c r="D478" s="35" t="s">
        <v>4</v>
      </c>
      <c r="E478" s="1"/>
      <c r="F478" s="2" t="s">
        <v>6</v>
      </c>
      <c r="G478" s="3" t="s">
        <v>7</v>
      </c>
      <c r="H478" s="2" t="s">
        <v>6</v>
      </c>
      <c r="I478" s="3" t="s">
        <v>7</v>
      </c>
      <c r="J478" s="1"/>
      <c r="K478" s="2" t="s">
        <v>6</v>
      </c>
      <c r="L478" s="3" t="s">
        <v>8</v>
      </c>
    </row>
    <row r="479" spans="1:12" ht="12">
      <c r="A479" s="14" t="s">
        <v>1</v>
      </c>
      <c r="B479" s="14" t="s">
        <v>1</v>
      </c>
      <c r="C479" s="14" t="s">
        <v>1</v>
      </c>
      <c r="D479" s="14" t="s">
        <v>1</v>
      </c>
      <c r="E479" s="14" t="s">
        <v>1</v>
      </c>
      <c r="F479" s="14"/>
      <c r="G479" s="14"/>
      <c r="H479" s="15" t="s">
        <v>1</v>
      </c>
      <c r="I479" s="18" t="s">
        <v>1</v>
      </c>
      <c r="J479" s="14" t="s">
        <v>1</v>
      </c>
      <c r="K479" s="15" t="s">
        <v>1</v>
      </c>
      <c r="L479" s="18" t="s">
        <v>1</v>
      </c>
    </row>
    <row r="480" spans="1:12" ht="12">
      <c r="A480" s="24">
        <v>1</v>
      </c>
      <c r="B480" s="4" t="s">
        <v>276</v>
      </c>
      <c r="D480" s="24">
        <v>1</v>
      </c>
      <c r="E480" s="20"/>
      <c r="F480" s="427">
        <v>1.75</v>
      </c>
      <c r="G480" s="125">
        <v>178701</v>
      </c>
      <c r="H480" s="427">
        <f>1+1.71</f>
        <v>2.71</v>
      </c>
      <c r="I480" s="163">
        <v>134770</v>
      </c>
      <c r="J480" s="428"/>
      <c r="K480" s="427">
        <v>1.73</v>
      </c>
      <c r="L480" s="163">
        <v>103673</v>
      </c>
    </row>
    <row r="481" spans="1:12" ht="12">
      <c r="A481" s="24">
        <v>2</v>
      </c>
      <c r="B481" s="4" t="s">
        <v>268</v>
      </c>
      <c r="D481" s="24">
        <v>2</v>
      </c>
      <c r="E481" s="20"/>
      <c r="F481" s="427"/>
      <c r="G481" s="125">
        <v>-2441</v>
      </c>
      <c r="H481" s="427"/>
      <c r="I481" s="163">
        <v>90618</v>
      </c>
      <c r="J481" s="428"/>
      <c r="K481" s="427"/>
      <c r="L481" s="163">
        <v>46771</v>
      </c>
    </row>
    <row r="482" spans="1:12" ht="12">
      <c r="A482" s="24">
        <v>3</v>
      </c>
      <c r="B482" s="4" t="s">
        <v>269</v>
      </c>
      <c r="D482" s="24">
        <v>3</v>
      </c>
      <c r="E482" s="20"/>
      <c r="F482" s="427">
        <v>0</v>
      </c>
      <c r="G482" s="125">
        <v>736</v>
      </c>
      <c r="H482" s="427"/>
      <c r="I482" s="163">
        <v>879</v>
      </c>
      <c r="J482" s="428"/>
      <c r="K482" s="427"/>
      <c r="L482" s="163"/>
    </row>
    <row r="483" spans="1:12" ht="12">
      <c r="A483" s="24">
        <v>4</v>
      </c>
      <c r="B483" s="4" t="s">
        <v>270</v>
      </c>
      <c r="D483" s="24">
        <v>4</v>
      </c>
      <c r="E483" s="20"/>
      <c r="F483" s="427">
        <f>SUM(F480:F482)</f>
        <v>1.75</v>
      </c>
      <c r="G483" s="125">
        <f>SUM(G480:G482)</f>
        <v>176996</v>
      </c>
      <c r="H483" s="427">
        <f>SUM(H480:H482)</f>
        <v>2.71</v>
      </c>
      <c r="I483" s="163">
        <f>SUM(I480:I482)</f>
        <v>226267</v>
      </c>
      <c r="J483" s="25"/>
      <c r="K483" s="427">
        <f>SUM(K480:K482)</f>
        <v>1.73</v>
      </c>
      <c r="L483" s="163">
        <f>SUM(L480:L482)</f>
        <v>150444</v>
      </c>
    </row>
    <row r="484" spans="1:12" ht="12">
      <c r="A484" s="24">
        <v>5</v>
      </c>
      <c r="D484" s="24">
        <v>5</v>
      </c>
      <c r="E484" s="20"/>
      <c r="F484" s="427"/>
      <c r="G484" s="125"/>
      <c r="H484" s="427"/>
      <c r="I484" s="163"/>
      <c r="J484" s="25"/>
      <c r="K484" s="427"/>
      <c r="L484" s="163"/>
    </row>
    <row r="485" spans="1:12" ht="12">
      <c r="A485" s="24">
        <v>6</v>
      </c>
      <c r="B485" s="4" t="s">
        <v>252</v>
      </c>
      <c r="D485" s="24">
        <v>6</v>
      </c>
      <c r="E485" s="20"/>
      <c r="F485" s="427">
        <v>0</v>
      </c>
      <c r="G485" s="125"/>
      <c r="H485" s="427"/>
      <c r="I485" s="163"/>
      <c r="J485" s="428"/>
      <c r="K485" s="427"/>
      <c r="L485" s="163"/>
    </row>
    <row r="486" spans="1:12" ht="12">
      <c r="A486" s="24">
        <v>7</v>
      </c>
      <c r="B486" s="4" t="s">
        <v>253</v>
      </c>
      <c r="D486" s="24">
        <v>7</v>
      </c>
      <c r="E486" s="20"/>
      <c r="F486" s="427">
        <v>0</v>
      </c>
      <c r="G486" s="125">
        <v>370</v>
      </c>
      <c r="H486" s="427"/>
      <c r="I486" s="163">
        <v>0</v>
      </c>
      <c r="J486" s="428"/>
      <c r="K486" s="427"/>
      <c r="L486" s="163"/>
    </row>
    <row r="487" spans="1:12" ht="12">
      <c r="A487" s="24">
        <v>8</v>
      </c>
      <c r="B487" s="4" t="s">
        <v>254</v>
      </c>
      <c r="D487" s="24">
        <v>8</v>
      </c>
      <c r="E487" s="20"/>
      <c r="F487" s="427"/>
      <c r="G487" s="125">
        <v>-2117</v>
      </c>
      <c r="H487" s="427"/>
      <c r="I487" s="163">
        <v>-1299</v>
      </c>
      <c r="J487" s="428"/>
      <c r="K487" s="427"/>
      <c r="L487" s="163">
        <v>13262</v>
      </c>
    </row>
    <row r="488" spans="1:12" ht="12">
      <c r="A488" s="24">
        <v>9</v>
      </c>
      <c r="B488" s="4" t="s">
        <v>255</v>
      </c>
      <c r="D488" s="24">
        <v>9</v>
      </c>
      <c r="E488" s="20"/>
      <c r="F488" s="427">
        <f>SUM(F486:F487)</f>
        <v>0</v>
      </c>
      <c r="G488" s="125">
        <f>SUM(G486:G487)</f>
        <v>-1747</v>
      </c>
      <c r="H488" s="427">
        <f>SUM(H486:H487)</f>
        <v>0</v>
      </c>
      <c r="I488" s="125">
        <f>SUM(I486:I487)</f>
        <v>-1299</v>
      </c>
      <c r="J488" s="27"/>
      <c r="K488" s="427">
        <f>SUM(K486:K487)</f>
        <v>0</v>
      </c>
      <c r="L488" s="125">
        <f>SUM(L486:L487)</f>
        <v>13262</v>
      </c>
    </row>
    <row r="489" spans="1:12" ht="12">
      <c r="A489" s="24">
        <v>10</v>
      </c>
      <c r="D489" s="24">
        <v>10</v>
      </c>
      <c r="E489" s="20"/>
      <c r="F489" s="427"/>
      <c r="G489" s="125"/>
      <c r="H489" s="409"/>
      <c r="I489" s="163"/>
      <c r="J489" s="25"/>
      <c r="K489" s="409"/>
      <c r="L489" s="163"/>
    </row>
    <row r="490" spans="1:12" ht="12">
      <c r="A490" s="24">
        <v>11</v>
      </c>
      <c r="B490" s="4" t="s">
        <v>256</v>
      </c>
      <c r="D490" s="24">
        <v>11</v>
      </c>
      <c r="F490" s="429">
        <f>SUM(F483+F488)</f>
        <v>1.75</v>
      </c>
      <c r="G490" s="122">
        <f>SUM(G483+G488)</f>
        <v>175249</v>
      </c>
      <c r="H490" s="429">
        <f>SUM(H483+H488)</f>
        <v>2.71</v>
      </c>
      <c r="I490" s="159">
        <f>SUM(I483+I488)</f>
        <v>224968</v>
      </c>
      <c r="J490" s="25"/>
      <c r="K490" s="429">
        <f>SUM(K483+K488)</f>
        <v>1.73</v>
      </c>
      <c r="L490" s="159">
        <f>SUM(L483+L488)</f>
        <v>163706</v>
      </c>
    </row>
    <row r="491" spans="1:12" ht="12">
      <c r="A491" s="24">
        <v>12</v>
      </c>
      <c r="D491" s="24">
        <v>12</v>
      </c>
      <c r="F491" s="429"/>
      <c r="G491" s="122"/>
      <c r="H491" s="429"/>
      <c r="I491" s="159"/>
      <c r="J491" s="25"/>
      <c r="K491" s="429"/>
      <c r="L491" s="159"/>
    </row>
    <row r="492" spans="1:12" ht="12">
      <c r="A492" s="24">
        <v>13</v>
      </c>
      <c r="B492" s="4" t="s">
        <v>271</v>
      </c>
      <c r="D492" s="24">
        <v>13</v>
      </c>
      <c r="E492" s="20"/>
      <c r="F492" s="427"/>
      <c r="G492" s="125">
        <v>26087</v>
      </c>
      <c r="H492" s="427"/>
      <c r="I492" s="163">
        <v>45801</v>
      </c>
      <c r="J492" s="428"/>
      <c r="K492" s="427"/>
      <c r="L492" s="163">
        <v>725</v>
      </c>
    </row>
    <row r="493" spans="1:12" ht="12">
      <c r="A493" s="24">
        <v>14</v>
      </c>
      <c r="D493" s="24">
        <v>14</v>
      </c>
      <c r="E493" s="20"/>
      <c r="F493" s="427"/>
      <c r="G493" s="125"/>
      <c r="H493" s="427"/>
      <c r="I493" s="163"/>
      <c r="J493" s="428"/>
      <c r="K493" s="427"/>
      <c r="L493" s="163"/>
    </row>
    <row r="494" spans="1:12" ht="12">
      <c r="A494" s="24">
        <v>15</v>
      </c>
      <c r="B494" s="4" t="s">
        <v>258</v>
      </c>
      <c r="D494" s="24">
        <v>15</v>
      </c>
      <c r="E494" s="20"/>
      <c r="F494" s="427"/>
      <c r="G494" s="125">
        <v>17430</v>
      </c>
      <c r="H494" s="427"/>
      <c r="I494" s="163">
        <v>17752</v>
      </c>
      <c r="J494" s="428"/>
      <c r="K494" s="427"/>
      <c r="L494" s="163">
        <v>0</v>
      </c>
    </row>
    <row r="495" spans="1:12" ht="12">
      <c r="A495" s="24">
        <v>16</v>
      </c>
      <c r="B495" s="4" t="s">
        <v>259</v>
      </c>
      <c r="D495" s="24">
        <v>16</v>
      </c>
      <c r="E495" s="20"/>
      <c r="F495" s="427"/>
      <c r="G495" s="125">
        <v>68210</v>
      </c>
      <c r="H495" s="427"/>
      <c r="I495" s="163">
        <v>86017</v>
      </c>
      <c r="J495" s="428"/>
      <c r="K495" s="427"/>
      <c r="L495" s="163">
        <f>-79301</f>
        <v>-79301</v>
      </c>
    </row>
    <row r="496" spans="1:12" ht="12">
      <c r="A496" s="24"/>
      <c r="B496" s="4"/>
      <c r="D496" s="24"/>
      <c r="F496" s="427"/>
      <c r="G496" s="125"/>
      <c r="H496" s="427"/>
      <c r="I496" s="163"/>
      <c r="J496" s="428"/>
      <c r="K496" s="427"/>
      <c r="L496" s="163"/>
    </row>
    <row r="497" spans="1:12" ht="12">
      <c r="A497" s="24">
        <v>17</v>
      </c>
      <c r="B497" s="4" t="s">
        <v>278</v>
      </c>
      <c r="D497" s="24">
        <v>17</v>
      </c>
      <c r="F497" s="427"/>
      <c r="G497" s="125" t="s">
        <v>0</v>
      </c>
      <c r="H497" s="427"/>
      <c r="I497" s="163"/>
      <c r="J497" s="428"/>
      <c r="K497" s="427"/>
      <c r="L497" s="163"/>
    </row>
    <row r="498" spans="1:12" ht="12">
      <c r="A498" s="24">
        <v>18</v>
      </c>
      <c r="B498" s="4"/>
      <c r="D498" s="24">
        <v>18</v>
      </c>
      <c r="F498" s="427"/>
      <c r="G498" s="125"/>
      <c r="H498" s="427"/>
      <c r="I498" s="158"/>
      <c r="J498" s="20"/>
      <c r="K498" s="427"/>
      <c r="L498" s="158"/>
    </row>
    <row r="499" spans="1:12" ht="12">
      <c r="A499" s="24">
        <v>19</v>
      </c>
      <c r="B499" s="4"/>
      <c r="D499" s="24">
        <v>19</v>
      </c>
      <c r="F499" s="427"/>
      <c r="G499" s="125"/>
      <c r="H499" s="427"/>
      <c r="I499" s="158"/>
      <c r="J499" s="20"/>
      <c r="K499" s="427"/>
      <c r="L499" s="158"/>
    </row>
    <row r="500" spans="1:12" ht="12">
      <c r="A500" s="24">
        <v>20</v>
      </c>
      <c r="B500" s="4"/>
      <c r="D500" s="24">
        <v>20</v>
      </c>
      <c r="F500" s="427"/>
      <c r="G500" s="125"/>
      <c r="H500" s="427"/>
      <c r="I500" s="158"/>
      <c r="J500" s="20"/>
      <c r="K500" s="427"/>
      <c r="L500" s="158"/>
    </row>
    <row r="501" spans="1:12" ht="12">
      <c r="A501" s="24">
        <v>21</v>
      </c>
      <c r="B501" s="4"/>
      <c r="D501" s="24">
        <v>21</v>
      </c>
      <c r="F501" s="427"/>
      <c r="G501" s="125"/>
      <c r="H501" s="427"/>
      <c r="I501" s="158"/>
      <c r="J501" s="20"/>
      <c r="K501" s="427"/>
      <c r="L501" s="158"/>
    </row>
    <row r="502" spans="1:12" ht="12">
      <c r="A502" s="24">
        <v>22</v>
      </c>
      <c r="B502" s="4"/>
      <c r="D502" s="24">
        <v>22</v>
      </c>
      <c r="F502" s="427"/>
      <c r="G502" s="125"/>
      <c r="H502" s="427"/>
      <c r="I502" s="158"/>
      <c r="J502" s="20"/>
      <c r="K502" s="427"/>
      <c r="L502" s="158"/>
    </row>
    <row r="503" spans="1:12" ht="12">
      <c r="A503" s="24">
        <v>23</v>
      </c>
      <c r="B503" s="4"/>
      <c r="D503" s="24">
        <v>23</v>
      </c>
      <c r="F503" s="427"/>
      <c r="G503" s="125"/>
      <c r="H503" s="427"/>
      <c r="I503" s="158"/>
      <c r="J503" s="20"/>
      <c r="K503" s="427"/>
      <c r="L503" s="158"/>
    </row>
    <row r="504" spans="1:12" ht="12">
      <c r="A504" s="24">
        <v>24</v>
      </c>
      <c r="B504" s="4"/>
      <c r="D504" s="24">
        <v>24</v>
      </c>
      <c r="F504" s="427"/>
      <c r="G504" s="125"/>
      <c r="H504" s="427"/>
      <c r="I504" s="158"/>
      <c r="J504" s="20"/>
      <c r="K504" s="427"/>
      <c r="L504" s="158"/>
    </row>
    <row r="505" spans="1:12" ht="12">
      <c r="A505" s="24"/>
      <c r="D505" s="24"/>
      <c r="E505" s="430" t="s">
        <v>467</v>
      </c>
      <c r="F505" s="431"/>
      <c r="G505" s="20"/>
      <c r="H505" s="431"/>
      <c r="I505" s="23"/>
      <c r="J505" s="20"/>
      <c r="K505" s="431"/>
      <c r="L505" s="18" t="s">
        <v>1</v>
      </c>
    </row>
    <row r="506" spans="1:12" ht="12">
      <c r="A506" s="24">
        <v>25</v>
      </c>
      <c r="B506" s="4" t="s">
        <v>468</v>
      </c>
      <c r="D506" s="24">
        <v>25</v>
      </c>
      <c r="F506" s="429">
        <f>SUM(F490:F504)</f>
        <v>1.75</v>
      </c>
      <c r="G506" s="122">
        <f>SUM(G490:G504)</f>
        <v>286976</v>
      </c>
      <c r="H506" s="429">
        <f>SUM(H490:H504)</f>
        <v>2.71</v>
      </c>
      <c r="I506" s="122">
        <f>SUM(I490:I504)</f>
        <v>374538</v>
      </c>
      <c r="J506" s="25"/>
      <c r="K506" s="429">
        <f>SUM(K490:K504)</f>
        <v>1.73</v>
      </c>
      <c r="L506" s="122">
        <f>SUM(L490:L504)</f>
        <v>85130</v>
      </c>
    </row>
    <row r="507" spans="4:12" ht="12">
      <c r="D507" s="21"/>
      <c r="E507" s="252" t="s">
        <v>1</v>
      </c>
      <c r="F507" s="252"/>
      <c r="G507" s="252"/>
      <c r="H507" s="15" t="s">
        <v>1</v>
      </c>
      <c r="I507" s="18" t="s">
        <v>1</v>
      </c>
      <c r="J507" s="252" t="s">
        <v>1</v>
      </c>
      <c r="K507" s="15" t="s">
        <v>1</v>
      </c>
      <c r="L507" s="18" t="s">
        <v>1</v>
      </c>
    </row>
    <row r="508" spans="1:12" ht="12">
      <c r="A508" s="4"/>
      <c r="I508" s="19"/>
      <c r="L508" s="19"/>
    </row>
    <row r="509" spans="9:12" ht="12">
      <c r="I509" s="19"/>
      <c r="L509" s="19"/>
    </row>
    <row r="510" spans="1:12" s="394" customFormat="1" ht="12">
      <c r="A510" s="32" t="str">
        <f>$A$31</f>
        <v>Institution No.: GFC  </v>
      </c>
      <c r="D510" s="398"/>
      <c r="H510" s="399"/>
      <c r="I510" s="400"/>
      <c r="K510" s="399"/>
      <c r="L510" s="31" t="s">
        <v>274</v>
      </c>
    </row>
    <row r="511" spans="1:12" s="394" customFormat="1" ht="12">
      <c r="A511" s="468" t="s">
        <v>275</v>
      </c>
      <c r="B511" s="468"/>
      <c r="C511" s="468"/>
      <c r="D511" s="468"/>
      <c r="E511" s="468"/>
      <c r="F511" s="468"/>
      <c r="G511" s="468"/>
      <c r="H511" s="468"/>
      <c r="I511" s="468"/>
      <c r="J511" s="468"/>
      <c r="K511" s="468"/>
      <c r="L511" s="468"/>
    </row>
    <row r="512" spans="1:12" ht="12">
      <c r="A512" s="32" t="str">
        <f>A475</f>
        <v>NAME:  University of Colorado -  Colorado Springs</v>
      </c>
      <c r="H512" s="421"/>
      <c r="I512" s="413"/>
      <c r="K512" s="6"/>
      <c r="L512" s="34" t="str">
        <f>$L$2</f>
        <v>Date: 10/1/2010</v>
      </c>
    </row>
    <row r="513" spans="1:12" ht="12">
      <c r="A513" s="14" t="s">
        <v>1</v>
      </c>
      <c r="B513" s="14" t="s">
        <v>1</v>
      </c>
      <c r="C513" s="14" t="s">
        <v>1</v>
      </c>
      <c r="D513" s="14" t="s">
        <v>1</v>
      </c>
      <c r="E513" s="14" t="s">
        <v>1</v>
      </c>
      <c r="F513" s="14"/>
      <c r="G513" s="14"/>
      <c r="H513" s="15" t="s">
        <v>1</v>
      </c>
      <c r="I513" s="18" t="s">
        <v>1</v>
      </c>
      <c r="J513" s="14" t="s">
        <v>1</v>
      </c>
      <c r="K513" s="15" t="s">
        <v>1</v>
      </c>
      <c r="L513" s="18" t="s">
        <v>1</v>
      </c>
    </row>
    <row r="514" spans="1:12" ht="12">
      <c r="A514" s="35" t="s">
        <v>2</v>
      </c>
      <c r="D514" s="35" t="s">
        <v>2</v>
      </c>
      <c r="E514" s="1"/>
      <c r="F514" s="2"/>
      <c r="G514" s="3" t="s">
        <v>62</v>
      </c>
      <c r="H514" s="2"/>
      <c r="I514" s="3" t="s">
        <v>65</v>
      </c>
      <c r="J514" s="1"/>
      <c r="K514" s="2"/>
      <c r="L514" s="3" t="s">
        <v>70</v>
      </c>
    </row>
    <row r="515" spans="1:12" ht="12">
      <c r="A515" s="35" t="s">
        <v>4</v>
      </c>
      <c r="B515" s="36" t="s">
        <v>18</v>
      </c>
      <c r="D515" s="35" t="s">
        <v>4</v>
      </c>
      <c r="E515" s="1"/>
      <c r="F515" s="2" t="s">
        <v>6</v>
      </c>
      <c r="G515" s="3" t="s">
        <v>7</v>
      </c>
      <c r="H515" s="2" t="s">
        <v>6</v>
      </c>
      <c r="I515" s="3" t="s">
        <v>7</v>
      </c>
      <c r="J515" s="1"/>
      <c r="K515" s="2" t="s">
        <v>6</v>
      </c>
      <c r="L515" s="3" t="s">
        <v>8</v>
      </c>
    </row>
    <row r="516" spans="1:12" ht="12">
      <c r="A516" s="14" t="s">
        <v>1</v>
      </c>
      <c r="B516" s="14" t="s">
        <v>1</v>
      </c>
      <c r="C516" s="14" t="s">
        <v>1</v>
      </c>
      <c r="D516" s="14" t="s">
        <v>1</v>
      </c>
      <c r="E516" s="14" t="s">
        <v>1</v>
      </c>
      <c r="F516" s="14"/>
      <c r="G516" s="14"/>
      <c r="H516" s="15" t="s">
        <v>1</v>
      </c>
      <c r="I516" s="18" t="s">
        <v>1</v>
      </c>
      <c r="J516" s="14" t="s">
        <v>1</v>
      </c>
      <c r="K516" s="15" t="s">
        <v>1</v>
      </c>
      <c r="L516" s="18" t="s">
        <v>1</v>
      </c>
    </row>
    <row r="517" spans="1:12" ht="12">
      <c r="A517" s="24">
        <v>1</v>
      </c>
      <c r="B517" s="4" t="s">
        <v>276</v>
      </c>
      <c r="D517" s="24">
        <v>1</v>
      </c>
      <c r="E517" s="20"/>
      <c r="F517" s="124">
        <v>0</v>
      </c>
      <c r="G517" s="125">
        <v>-1780</v>
      </c>
      <c r="H517" s="176"/>
      <c r="I517" s="125">
        <f>2778+176-1</f>
        <v>2953</v>
      </c>
      <c r="J517" s="428"/>
      <c r="K517" s="124"/>
      <c r="L517" s="163"/>
    </row>
    <row r="518" spans="1:12" ht="12">
      <c r="A518" s="24">
        <v>2</v>
      </c>
      <c r="B518" s="4" t="s">
        <v>268</v>
      </c>
      <c r="D518" s="24">
        <v>2</v>
      </c>
      <c r="E518" s="20"/>
      <c r="F518" s="124"/>
      <c r="G518" s="125">
        <v>55034</v>
      </c>
      <c r="H518" s="176"/>
      <c r="I518" s="125">
        <v>-3041</v>
      </c>
      <c r="J518" s="428"/>
      <c r="K518" s="124"/>
      <c r="L518" s="125"/>
    </row>
    <row r="519" spans="1:12" ht="12">
      <c r="A519" s="24">
        <v>3</v>
      </c>
      <c r="D519" s="24">
        <v>3</v>
      </c>
      <c r="E519" s="20"/>
      <c r="F519" s="124"/>
      <c r="G519" s="125"/>
      <c r="H519" s="176"/>
      <c r="I519" s="125"/>
      <c r="J519" s="428"/>
      <c r="K519" s="124"/>
      <c r="L519" s="125"/>
    </row>
    <row r="520" spans="1:12" ht="12">
      <c r="A520" s="24">
        <v>4</v>
      </c>
      <c r="B520" s="4" t="s">
        <v>270</v>
      </c>
      <c r="D520" s="24">
        <v>4</v>
      </c>
      <c r="E520" s="20"/>
      <c r="F520" s="124">
        <v>0</v>
      </c>
      <c r="G520" s="125">
        <f>SUM(G517:G519)</f>
        <v>53254</v>
      </c>
      <c r="H520" s="176">
        <f>SUM(H517:H519)</f>
        <v>0</v>
      </c>
      <c r="I520" s="125">
        <f>SUM(I517:I519)</f>
        <v>-88</v>
      </c>
      <c r="J520" s="25"/>
      <c r="K520" s="124">
        <f>SUM(K517:K519)</f>
        <v>0</v>
      </c>
      <c r="L520" s="125">
        <f>SUM(L517:L519)</f>
        <v>0</v>
      </c>
    </row>
    <row r="521" spans="1:12" ht="12">
      <c r="A521" s="24">
        <v>5</v>
      </c>
      <c r="D521" s="24">
        <v>5</v>
      </c>
      <c r="E521" s="20"/>
      <c r="F521" s="124"/>
      <c r="G521" s="125"/>
      <c r="H521" s="176"/>
      <c r="I521" s="125"/>
      <c r="J521" s="25"/>
      <c r="K521" s="124"/>
      <c r="L521" s="125"/>
    </row>
    <row r="522" spans="1:12" ht="12">
      <c r="A522" s="24">
        <v>6</v>
      </c>
      <c r="D522" s="24">
        <v>6</v>
      </c>
      <c r="E522" s="20"/>
      <c r="F522" s="124"/>
      <c r="G522" s="125"/>
      <c r="H522" s="176"/>
      <c r="I522" s="125"/>
      <c r="J522" s="25"/>
      <c r="K522" s="124"/>
      <c r="L522" s="125"/>
    </row>
    <row r="523" spans="1:12" ht="12">
      <c r="A523" s="24">
        <v>7</v>
      </c>
      <c r="B523" s="4" t="s">
        <v>253</v>
      </c>
      <c r="D523" s="24">
        <v>7</v>
      </c>
      <c r="E523" s="20"/>
      <c r="F523" s="124">
        <v>0</v>
      </c>
      <c r="G523" s="125"/>
      <c r="H523" s="176"/>
      <c r="I523" s="125">
        <v>0</v>
      </c>
      <c r="J523" s="428"/>
      <c r="K523" s="124"/>
      <c r="L523" s="125"/>
    </row>
    <row r="524" spans="1:12" ht="12">
      <c r="A524" s="24">
        <v>8</v>
      </c>
      <c r="B524" s="4" t="s">
        <v>254</v>
      </c>
      <c r="D524" s="24">
        <v>8</v>
      </c>
      <c r="E524" s="20"/>
      <c r="F524" s="124">
        <v>0</v>
      </c>
      <c r="G524" s="125">
        <v>507</v>
      </c>
      <c r="H524" s="176"/>
      <c r="I524" s="125">
        <v>1794</v>
      </c>
      <c r="J524" s="428"/>
      <c r="K524" s="124"/>
      <c r="L524" s="125"/>
    </row>
    <row r="525" spans="1:13" ht="12">
      <c r="A525" s="24">
        <v>9</v>
      </c>
      <c r="B525" s="4" t="s">
        <v>255</v>
      </c>
      <c r="D525" s="24">
        <v>9</v>
      </c>
      <c r="E525" s="20"/>
      <c r="F525" s="124">
        <f>SUM(F523:F524)</f>
        <v>0</v>
      </c>
      <c r="G525" s="125">
        <f>SUM(G523:G524)</f>
        <v>507</v>
      </c>
      <c r="H525" s="176">
        <f>SUM(H523:H524)</f>
        <v>0</v>
      </c>
      <c r="I525" s="125">
        <f>SUM(I523:I524)</f>
        <v>1794</v>
      </c>
      <c r="J525" s="27"/>
      <c r="K525" s="124">
        <f>SUM(K523:K524)</f>
        <v>0</v>
      </c>
      <c r="L525" s="125">
        <f>SUM(L523:L524)</f>
        <v>0</v>
      </c>
      <c r="M525" s="5" t="s">
        <v>0</v>
      </c>
    </row>
    <row r="526" spans="1:12" ht="12">
      <c r="A526" s="24">
        <v>10</v>
      </c>
      <c r="D526" s="24">
        <v>10</v>
      </c>
      <c r="E526" s="20"/>
      <c r="F526" s="124"/>
      <c r="G526" s="125"/>
      <c r="H526" s="176"/>
      <c r="I526" s="125"/>
      <c r="J526" s="25"/>
      <c r="K526" s="124"/>
      <c r="L526" s="125"/>
    </row>
    <row r="527" spans="1:12" ht="12">
      <c r="A527" s="24">
        <v>11</v>
      </c>
      <c r="B527" s="4" t="s">
        <v>256</v>
      </c>
      <c r="D527" s="24">
        <v>11</v>
      </c>
      <c r="F527" s="121">
        <v>0</v>
      </c>
      <c r="G527" s="122">
        <f>SUM(G520,G525)</f>
        <v>53761</v>
      </c>
      <c r="H527" s="121">
        <f>SUM(H520,H525)</f>
        <v>0</v>
      </c>
      <c r="I527" s="122">
        <f>SUM(I520,I525)</f>
        <v>1706</v>
      </c>
      <c r="J527" s="27"/>
      <c r="K527" s="121">
        <f>SUM(K520,K525)</f>
        <v>0</v>
      </c>
      <c r="L527" s="122">
        <f>SUM(L525,L520)</f>
        <v>0</v>
      </c>
    </row>
    <row r="528" spans="1:12" ht="12">
      <c r="A528" s="24">
        <v>12</v>
      </c>
      <c r="D528" s="24">
        <v>12</v>
      </c>
      <c r="F528" s="121"/>
      <c r="G528" s="122"/>
      <c r="H528" s="177"/>
      <c r="I528" s="122"/>
      <c r="J528" s="25"/>
      <c r="K528" s="121"/>
      <c r="L528" s="122"/>
    </row>
    <row r="529" spans="1:12" ht="12">
      <c r="A529" s="24">
        <v>13</v>
      </c>
      <c r="B529" s="4" t="s">
        <v>277</v>
      </c>
      <c r="D529" s="24">
        <v>13</v>
      </c>
      <c r="E529" s="20"/>
      <c r="F529" s="124"/>
      <c r="G529" s="125"/>
      <c r="H529" s="176"/>
      <c r="I529" s="125">
        <v>200</v>
      </c>
      <c r="J529" s="428"/>
      <c r="K529" s="124"/>
      <c r="L529" s="125"/>
    </row>
    <row r="530" spans="1:12" ht="12">
      <c r="A530" s="24">
        <v>14</v>
      </c>
      <c r="D530" s="24">
        <v>14</v>
      </c>
      <c r="E530" s="20"/>
      <c r="F530" s="124"/>
      <c r="G530" s="125"/>
      <c r="H530" s="176"/>
      <c r="I530" s="125"/>
      <c r="J530" s="428"/>
      <c r="K530" s="124"/>
      <c r="L530" s="125"/>
    </row>
    <row r="531" spans="1:12" ht="12">
      <c r="A531" s="24">
        <v>15</v>
      </c>
      <c r="B531" s="4" t="s">
        <v>258</v>
      </c>
      <c r="D531" s="24">
        <v>15</v>
      </c>
      <c r="E531" s="20"/>
      <c r="F531" s="124"/>
      <c r="G531" s="125">
        <v>478</v>
      </c>
      <c r="H531" s="176"/>
      <c r="I531" s="125"/>
      <c r="J531" s="428"/>
      <c r="K531" s="124"/>
      <c r="L531" s="125"/>
    </row>
    <row r="532" spans="1:12" ht="12">
      <c r="A532" s="24">
        <v>16</v>
      </c>
      <c r="B532" s="4" t="s">
        <v>259</v>
      </c>
      <c r="D532" s="24">
        <v>16</v>
      </c>
      <c r="E532" s="20"/>
      <c r="F532" s="124"/>
      <c r="G532" s="125">
        <v>1713</v>
      </c>
      <c r="H532" s="176"/>
      <c r="I532" s="125">
        <v>1063</v>
      </c>
      <c r="J532" s="428"/>
      <c r="K532" s="124"/>
      <c r="L532" s="125"/>
    </row>
    <row r="533" spans="1:12" ht="12">
      <c r="A533" s="24"/>
      <c r="B533" s="4"/>
      <c r="D533" s="24"/>
      <c r="E533" s="20"/>
      <c r="F533" s="124"/>
      <c r="G533" s="125"/>
      <c r="H533" s="176"/>
      <c r="I533" s="125"/>
      <c r="J533" s="428"/>
      <c r="K533" s="124"/>
      <c r="L533" s="125"/>
    </row>
    <row r="534" spans="1:12" ht="12">
      <c r="A534" s="24">
        <v>17</v>
      </c>
      <c r="B534" s="4" t="s">
        <v>278</v>
      </c>
      <c r="D534" s="24">
        <v>17</v>
      </c>
      <c r="E534" s="20"/>
      <c r="F534" s="124"/>
      <c r="G534" s="125"/>
      <c r="H534" s="176"/>
      <c r="I534" s="125"/>
      <c r="J534" s="428"/>
      <c r="K534" s="124"/>
      <c r="L534" s="125"/>
    </row>
    <row r="535" spans="1:12" ht="12">
      <c r="A535" s="24">
        <v>18</v>
      </c>
      <c r="B535" s="4"/>
      <c r="D535" s="24">
        <v>18</v>
      </c>
      <c r="E535" s="20"/>
      <c r="F535" s="124"/>
      <c r="G535" s="125"/>
      <c r="H535" s="176"/>
      <c r="I535" s="125"/>
      <c r="J535" s="428"/>
      <c r="K535" s="124"/>
      <c r="L535" s="125"/>
    </row>
    <row r="536" spans="1:12" ht="12">
      <c r="A536" s="24">
        <v>19</v>
      </c>
      <c r="B536" s="4"/>
      <c r="D536" s="24">
        <v>19</v>
      </c>
      <c r="E536" s="20"/>
      <c r="F536" s="124"/>
      <c r="G536" s="125"/>
      <c r="H536" s="176"/>
      <c r="I536" s="125"/>
      <c r="J536" s="428"/>
      <c r="K536" s="124"/>
      <c r="L536" s="125"/>
    </row>
    <row r="537" spans="1:12" ht="12">
      <c r="A537" s="24">
        <v>20</v>
      </c>
      <c r="B537" s="4"/>
      <c r="D537" s="24">
        <v>20</v>
      </c>
      <c r="E537" s="20"/>
      <c r="F537" s="124"/>
      <c r="G537" s="125"/>
      <c r="H537" s="176"/>
      <c r="I537" s="125"/>
      <c r="J537" s="428"/>
      <c r="K537" s="124"/>
      <c r="L537" s="125"/>
    </row>
    <row r="538" spans="1:12" ht="12">
      <c r="A538" s="24">
        <v>21</v>
      </c>
      <c r="B538" s="4"/>
      <c r="D538" s="24">
        <v>21</v>
      </c>
      <c r="E538" s="20"/>
      <c r="F538" s="124"/>
      <c r="G538" s="125"/>
      <c r="H538" s="176"/>
      <c r="I538" s="125"/>
      <c r="J538" s="428"/>
      <c r="K538" s="124"/>
      <c r="L538" s="125"/>
    </row>
    <row r="539" spans="1:12" ht="12">
      <c r="A539" s="24">
        <v>22</v>
      </c>
      <c r="B539" s="4"/>
      <c r="D539" s="24">
        <v>22</v>
      </c>
      <c r="E539" s="20"/>
      <c r="F539" s="124"/>
      <c r="G539" s="125"/>
      <c r="H539" s="176"/>
      <c r="I539" s="125"/>
      <c r="J539" s="428"/>
      <c r="K539" s="124"/>
      <c r="L539" s="125"/>
    </row>
    <row r="540" spans="1:12" ht="12">
      <c r="A540" s="24">
        <v>23</v>
      </c>
      <c r="B540" s="4"/>
      <c r="D540" s="24">
        <v>23</v>
      </c>
      <c r="E540" s="20"/>
      <c r="F540" s="124"/>
      <c r="G540" s="125"/>
      <c r="H540" s="176"/>
      <c r="I540" s="125"/>
      <c r="J540" s="428"/>
      <c r="K540" s="124"/>
      <c r="L540" s="125"/>
    </row>
    <row r="541" spans="1:12" ht="12">
      <c r="A541" s="24">
        <v>24</v>
      </c>
      <c r="B541" s="4"/>
      <c r="D541" s="24">
        <v>24</v>
      </c>
      <c r="E541" s="20"/>
      <c r="F541" s="124"/>
      <c r="G541" s="125"/>
      <c r="H541" s="176"/>
      <c r="I541" s="125"/>
      <c r="J541" s="428"/>
      <c r="K541" s="124"/>
      <c r="L541" s="125"/>
    </row>
    <row r="542" spans="4:12" ht="12">
      <c r="D542" s="21"/>
      <c r="E542" s="252" t="s">
        <v>1</v>
      </c>
      <c r="F542" s="415"/>
      <c r="G542" s="252"/>
      <c r="H542" s="18" t="s">
        <v>1</v>
      </c>
      <c r="I542" s="18" t="s">
        <v>1</v>
      </c>
      <c r="J542" s="252" t="s">
        <v>1</v>
      </c>
      <c r="K542" s="18" t="s">
        <v>1</v>
      </c>
      <c r="L542" s="18" t="s">
        <v>1</v>
      </c>
    </row>
    <row r="543" spans="1:12" ht="12">
      <c r="A543" s="24">
        <v>25</v>
      </c>
      <c r="B543" s="4" t="s">
        <v>469</v>
      </c>
      <c r="D543" s="24">
        <v>25</v>
      </c>
      <c r="F543" s="121">
        <f>SUM(F527:F541)</f>
        <v>0</v>
      </c>
      <c r="G543" s="122">
        <f>SUM(G527:G541)</f>
        <v>55952</v>
      </c>
      <c r="H543" s="121">
        <f>SUM(H527:H541)</f>
        <v>0</v>
      </c>
      <c r="I543" s="122">
        <f>SUM(I527:I541)</f>
        <v>2969</v>
      </c>
      <c r="J543" s="122"/>
      <c r="K543" s="121">
        <f>SUM(K527:K541)</f>
        <v>0</v>
      </c>
      <c r="L543" s="121">
        <f>SUM(L527:L541)</f>
        <v>0</v>
      </c>
    </row>
    <row r="544" spans="4:12" ht="12">
      <c r="D544" s="21"/>
      <c r="E544" s="252" t="s">
        <v>1</v>
      </c>
      <c r="F544" s="252"/>
      <c r="G544" s="252"/>
      <c r="H544" s="15" t="s">
        <v>1</v>
      </c>
      <c r="I544" s="18" t="s">
        <v>1</v>
      </c>
      <c r="J544" s="252" t="s">
        <v>1</v>
      </c>
      <c r="K544" s="15" t="s">
        <v>1</v>
      </c>
      <c r="L544" s="18" t="s">
        <v>1</v>
      </c>
    </row>
    <row r="545" spans="1:12" ht="12">
      <c r="A545" s="4"/>
      <c r="I545" s="19"/>
      <c r="L545" s="19"/>
    </row>
    <row r="546" spans="9:12" ht="12">
      <c r="I546" s="19"/>
      <c r="L546" s="19"/>
    </row>
    <row r="547" spans="1:12" s="394" customFormat="1" ht="12">
      <c r="A547" s="32" t="str">
        <f>$A$31</f>
        <v>Institution No.: GFC  </v>
      </c>
      <c r="D547" s="398"/>
      <c r="H547" s="399"/>
      <c r="I547" s="400"/>
      <c r="K547" s="399"/>
      <c r="L547" s="31" t="s">
        <v>281</v>
      </c>
    </row>
    <row r="548" spans="1:12" s="394" customFormat="1" ht="12">
      <c r="A548" s="468" t="s">
        <v>282</v>
      </c>
      <c r="B548" s="468"/>
      <c r="C548" s="468"/>
      <c r="D548" s="468"/>
      <c r="E548" s="468"/>
      <c r="F548" s="468"/>
      <c r="G548" s="468"/>
      <c r="H548" s="468"/>
      <c r="I548" s="468"/>
      <c r="J548" s="468"/>
      <c r="K548" s="468"/>
      <c r="L548" s="468"/>
    </row>
    <row r="549" spans="1:12" ht="12">
      <c r="A549" s="32" t="str">
        <f>A512</f>
        <v>NAME:  University of Colorado -  Colorado Springs</v>
      </c>
      <c r="H549" s="421"/>
      <c r="I549" s="413"/>
      <c r="K549" s="6"/>
      <c r="L549" s="34" t="str">
        <f>$L$2</f>
        <v>Date: 10/1/2010</v>
      </c>
    </row>
    <row r="550" spans="1:12" ht="12">
      <c r="A550" s="14" t="s">
        <v>1</v>
      </c>
      <c r="B550" s="14" t="s">
        <v>1</v>
      </c>
      <c r="C550" s="14" t="s">
        <v>1</v>
      </c>
      <c r="D550" s="14" t="s">
        <v>1</v>
      </c>
      <c r="E550" s="14" t="s">
        <v>1</v>
      </c>
      <c r="F550" s="14"/>
      <c r="G550" s="14"/>
      <c r="H550" s="15" t="s">
        <v>1</v>
      </c>
      <c r="I550" s="18" t="s">
        <v>1</v>
      </c>
      <c r="J550" s="14" t="s">
        <v>1</v>
      </c>
      <c r="K550" s="15" t="s">
        <v>1</v>
      </c>
      <c r="L550" s="18" t="s">
        <v>1</v>
      </c>
    </row>
    <row r="551" spans="1:12" ht="12">
      <c r="A551" s="35" t="s">
        <v>2</v>
      </c>
      <c r="D551" s="35" t="s">
        <v>2</v>
      </c>
      <c r="E551" s="1"/>
      <c r="F551" s="2"/>
      <c r="G551" s="3" t="s">
        <v>62</v>
      </c>
      <c r="H551" s="2"/>
      <c r="I551" s="3" t="s">
        <v>65</v>
      </c>
      <c r="J551" s="1"/>
      <c r="K551" s="2"/>
      <c r="L551" s="3" t="s">
        <v>70</v>
      </c>
    </row>
    <row r="552" spans="1:12" ht="12">
      <c r="A552" s="35" t="s">
        <v>4</v>
      </c>
      <c r="B552" s="36" t="s">
        <v>18</v>
      </c>
      <c r="D552" s="35" t="s">
        <v>4</v>
      </c>
      <c r="E552" s="1"/>
      <c r="F552" s="2" t="s">
        <v>6</v>
      </c>
      <c r="G552" s="3" t="s">
        <v>7</v>
      </c>
      <c r="H552" s="2" t="s">
        <v>6</v>
      </c>
      <c r="I552" s="3" t="s">
        <v>7</v>
      </c>
      <c r="J552" s="1"/>
      <c r="K552" s="2" t="s">
        <v>6</v>
      </c>
      <c r="L552" s="3" t="s">
        <v>8</v>
      </c>
    </row>
    <row r="553" spans="1:12" ht="12">
      <c r="A553" s="14" t="s">
        <v>1</v>
      </c>
      <c r="B553" s="14" t="s">
        <v>1</v>
      </c>
      <c r="C553" s="14" t="s">
        <v>1</v>
      </c>
      <c r="D553" s="14" t="s">
        <v>1</v>
      </c>
      <c r="E553" s="14" t="s">
        <v>1</v>
      </c>
      <c r="F553" s="14"/>
      <c r="G553" s="14"/>
      <c r="H553" s="15" t="s">
        <v>1</v>
      </c>
      <c r="I553" s="18" t="s">
        <v>1</v>
      </c>
      <c r="J553" s="14" t="s">
        <v>1</v>
      </c>
      <c r="K553" s="432" t="s">
        <v>1</v>
      </c>
      <c r="L553" s="18" t="s">
        <v>1</v>
      </c>
    </row>
    <row r="554" spans="1:12" ht="12">
      <c r="A554" s="24">
        <v>1</v>
      </c>
      <c r="B554" s="4" t="s">
        <v>276</v>
      </c>
      <c r="D554" s="24">
        <v>1</v>
      </c>
      <c r="E554" s="20"/>
      <c r="F554" s="124">
        <v>35.2</v>
      </c>
      <c r="G554" s="163">
        <v>2904328</v>
      </c>
      <c r="H554" s="179">
        <f>10.7+26.9</f>
        <v>37.599999999999994</v>
      </c>
      <c r="I554" s="163">
        <f>2975183+6365</f>
        <v>2981548</v>
      </c>
      <c r="J554" s="428"/>
      <c r="K554" s="179">
        <f>10.9+25.12</f>
        <v>36.02</v>
      </c>
      <c r="L554" s="163">
        <f>843748+2125223</f>
        <v>2968971</v>
      </c>
    </row>
    <row r="555" spans="1:12" ht="12">
      <c r="A555" s="24">
        <v>2</v>
      </c>
      <c r="B555" s="4" t="s">
        <v>268</v>
      </c>
      <c r="D555" s="24">
        <v>2</v>
      </c>
      <c r="E555" s="20"/>
      <c r="F555" s="124"/>
      <c r="G555" s="163">
        <v>684984</v>
      </c>
      <c r="H555" s="179"/>
      <c r="I555" s="163">
        <f>781678+817</f>
        <v>782495</v>
      </c>
      <c r="J555" s="428"/>
      <c r="K555" s="179"/>
      <c r="L555" s="163">
        <v>755162</v>
      </c>
    </row>
    <row r="556" spans="1:12" ht="12">
      <c r="A556" s="24">
        <v>3</v>
      </c>
      <c r="D556" s="24">
        <v>3</v>
      </c>
      <c r="E556" s="20"/>
      <c r="F556" s="124"/>
      <c r="G556" s="163"/>
      <c r="H556" s="179"/>
      <c r="I556" s="163"/>
      <c r="J556" s="428"/>
      <c r="K556" s="179"/>
      <c r="L556" s="163"/>
    </row>
    <row r="557" spans="1:12" ht="12">
      <c r="A557" s="24">
        <v>4</v>
      </c>
      <c r="B557" s="4" t="s">
        <v>270</v>
      </c>
      <c r="D557" s="24">
        <v>4</v>
      </c>
      <c r="E557" s="20"/>
      <c r="F557" s="124">
        <f>SUM(F554:F556)</f>
        <v>35.2</v>
      </c>
      <c r="G557" s="163">
        <f>SUM(G554:G556)</f>
        <v>3589312</v>
      </c>
      <c r="H557" s="179">
        <f>SUM(H554:H556)</f>
        <v>37.599999999999994</v>
      </c>
      <c r="I557" s="163">
        <f>SUM(I554:I556)</f>
        <v>3764043</v>
      </c>
      <c r="J557" s="25"/>
      <c r="K557" s="179">
        <f>SUM(K554:K556)</f>
        <v>36.02</v>
      </c>
      <c r="L557" s="163">
        <f>SUM(L554:L556)</f>
        <v>3724133</v>
      </c>
    </row>
    <row r="558" spans="1:12" ht="12">
      <c r="A558" s="24">
        <v>5</v>
      </c>
      <c r="D558" s="24">
        <v>5</v>
      </c>
      <c r="E558" s="20"/>
      <c r="F558" s="124"/>
      <c r="G558" s="163"/>
      <c r="H558" s="179"/>
      <c r="I558" s="163"/>
      <c r="J558" s="25"/>
      <c r="K558" s="179"/>
      <c r="L558" s="163"/>
    </row>
    <row r="559" spans="1:12" ht="12">
      <c r="A559" s="24">
        <v>6</v>
      </c>
      <c r="D559" s="24">
        <v>6</v>
      </c>
      <c r="E559" s="20"/>
      <c r="F559" s="124"/>
      <c r="G559" s="163"/>
      <c r="H559" s="179"/>
      <c r="I559" s="163"/>
      <c r="J559" s="25"/>
      <c r="K559" s="179"/>
      <c r="L559" s="163"/>
    </row>
    <row r="560" spans="1:12" ht="12">
      <c r="A560" s="24">
        <v>7</v>
      </c>
      <c r="B560" s="4" t="s">
        <v>253</v>
      </c>
      <c r="D560" s="24">
        <v>7</v>
      </c>
      <c r="E560" s="20"/>
      <c r="F560" s="124">
        <v>40.99</v>
      </c>
      <c r="G560" s="163">
        <v>1891277</v>
      </c>
      <c r="H560" s="179">
        <v>39.72</v>
      </c>
      <c r="I560" s="163">
        <v>1859008</v>
      </c>
      <c r="J560" s="428"/>
      <c r="K560" s="179">
        <v>39.55</v>
      </c>
      <c r="L560" s="163">
        <v>1943014</v>
      </c>
    </row>
    <row r="561" spans="1:12" ht="12">
      <c r="A561" s="24">
        <v>8</v>
      </c>
      <c r="B561" s="4" t="s">
        <v>254</v>
      </c>
      <c r="D561" s="24">
        <v>8</v>
      </c>
      <c r="E561" s="20"/>
      <c r="F561" s="124"/>
      <c r="G561" s="163">
        <v>522515</v>
      </c>
      <c r="H561" s="179"/>
      <c r="I561" s="163">
        <v>532343</v>
      </c>
      <c r="J561" s="428"/>
      <c r="K561" s="179"/>
      <c r="L561" s="163">
        <v>507443</v>
      </c>
    </row>
    <row r="562" spans="1:12" ht="12">
      <c r="A562" s="24">
        <v>9</v>
      </c>
      <c r="B562" s="4" t="s">
        <v>255</v>
      </c>
      <c r="D562" s="24">
        <v>9</v>
      </c>
      <c r="E562" s="20"/>
      <c r="F562" s="124">
        <f>SUM(F560:F561)</f>
        <v>40.99</v>
      </c>
      <c r="G562" s="163">
        <f>SUM(G560:G561)</f>
        <v>2413792</v>
      </c>
      <c r="H562" s="179">
        <f>SUM(H560:H561)</f>
        <v>39.72</v>
      </c>
      <c r="I562" s="163">
        <f>SUM(I560:I561)</f>
        <v>2391351</v>
      </c>
      <c r="J562" s="25"/>
      <c r="K562" s="179">
        <f>SUM(K560:K561)</f>
        <v>39.55</v>
      </c>
      <c r="L562" s="163">
        <f>SUM(L560:L561)</f>
        <v>2450457</v>
      </c>
    </row>
    <row r="563" spans="1:12" ht="12">
      <c r="A563" s="24">
        <v>10</v>
      </c>
      <c r="D563" s="24">
        <v>10</v>
      </c>
      <c r="E563" s="20"/>
      <c r="F563" s="124"/>
      <c r="G563" s="163"/>
      <c r="H563" s="179"/>
      <c r="I563" s="163"/>
      <c r="J563" s="25"/>
      <c r="K563" s="179"/>
      <c r="L563" s="163"/>
    </row>
    <row r="564" spans="1:12" ht="12">
      <c r="A564" s="24">
        <v>11</v>
      </c>
      <c r="B564" s="4" t="s">
        <v>256</v>
      </c>
      <c r="D564" s="24">
        <v>11</v>
      </c>
      <c r="F564" s="121">
        <f>SUM(F557,F562)</f>
        <v>76.19</v>
      </c>
      <c r="G564" s="122">
        <f>SUM(G557,G562)</f>
        <v>6003104</v>
      </c>
      <c r="H564" s="121">
        <f>SUM(H557,H562)</f>
        <v>77.32</v>
      </c>
      <c r="I564" s="122">
        <f>SUM(I557,I562)</f>
        <v>6155394</v>
      </c>
      <c r="J564" s="121"/>
      <c r="K564" s="121">
        <f>SUM(K557,K562)</f>
        <v>75.57</v>
      </c>
      <c r="L564" s="122">
        <f>SUM(L557,L562)</f>
        <v>6174590</v>
      </c>
    </row>
    <row r="565" spans="1:12" ht="12">
      <c r="A565" s="24">
        <v>12</v>
      </c>
      <c r="D565" s="24">
        <v>12</v>
      </c>
      <c r="F565" s="121"/>
      <c r="G565" s="159"/>
      <c r="H565" s="180"/>
      <c r="I565" s="159"/>
      <c r="J565" s="25"/>
      <c r="K565" s="180"/>
      <c r="L565" s="159"/>
    </row>
    <row r="566" spans="1:12" ht="12">
      <c r="A566" s="24">
        <v>13</v>
      </c>
      <c r="B566" s="4" t="s">
        <v>277</v>
      </c>
      <c r="D566" s="24">
        <v>13</v>
      </c>
      <c r="E566" s="20"/>
      <c r="F566" s="124"/>
      <c r="G566" s="163">
        <v>328077</v>
      </c>
      <c r="H566" s="179"/>
      <c r="I566" s="163">
        <v>331719</v>
      </c>
      <c r="J566" s="428"/>
      <c r="K566" s="179"/>
      <c r="L566" s="163">
        <f>311044+2990</f>
        <v>314034</v>
      </c>
    </row>
    <row r="567" spans="1:12" ht="12">
      <c r="A567" s="24">
        <v>14</v>
      </c>
      <c r="D567" s="24">
        <v>14</v>
      </c>
      <c r="E567" s="20"/>
      <c r="F567" s="124"/>
      <c r="G567" s="163"/>
      <c r="H567" s="179"/>
      <c r="I567" s="163"/>
      <c r="J567" s="428"/>
      <c r="K567" s="179"/>
      <c r="L567" s="163"/>
    </row>
    <row r="568" spans="1:12" ht="12">
      <c r="A568" s="24">
        <v>15</v>
      </c>
      <c r="B568" s="4" t="s">
        <v>258</v>
      </c>
      <c r="D568" s="24">
        <v>15</v>
      </c>
      <c r="E568" s="20"/>
      <c r="F568" s="124"/>
      <c r="G568" s="163">
        <v>71195</v>
      </c>
      <c r="H568" s="179"/>
      <c r="I568" s="163">
        <v>50685</v>
      </c>
      <c r="J568" s="428"/>
      <c r="K568" s="179"/>
      <c r="L568" s="163">
        <v>36619</v>
      </c>
    </row>
    <row r="569" spans="1:12" ht="12">
      <c r="A569" s="24">
        <v>16</v>
      </c>
      <c r="B569" s="4" t="s">
        <v>259</v>
      </c>
      <c r="D569" s="24">
        <v>16</v>
      </c>
      <c r="E569" s="20"/>
      <c r="F569" s="124"/>
      <c r="G569" s="163">
        <v>1236066</v>
      </c>
      <c r="H569" s="179"/>
      <c r="I569" s="163">
        <v>1791019</v>
      </c>
      <c r="J569" s="428"/>
      <c r="K569" s="179"/>
      <c r="L569" s="163">
        <f>1398272+111894</f>
        <v>1510166</v>
      </c>
    </row>
    <row r="570" spans="1:12" ht="12">
      <c r="A570" s="24"/>
      <c r="B570" s="4"/>
      <c r="D570" s="24"/>
      <c r="E570" s="20"/>
      <c r="F570" s="124"/>
      <c r="G570" s="163"/>
      <c r="H570" s="179"/>
      <c r="I570" s="163"/>
      <c r="J570" s="428"/>
      <c r="K570" s="179"/>
      <c r="L570" s="163"/>
    </row>
    <row r="571" spans="1:12" ht="12">
      <c r="A571" s="24">
        <v>17</v>
      </c>
      <c r="B571" s="4" t="s">
        <v>278</v>
      </c>
      <c r="D571" s="24">
        <v>17</v>
      </c>
      <c r="E571" s="20"/>
      <c r="F571" s="124"/>
      <c r="G571" s="163"/>
      <c r="H571" s="179"/>
      <c r="I571" s="163"/>
      <c r="J571" s="428"/>
      <c r="K571" s="179"/>
      <c r="L571" s="163">
        <v>41485</v>
      </c>
    </row>
    <row r="572" spans="1:12" ht="12">
      <c r="A572" s="24">
        <v>18</v>
      </c>
      <c r="B572" s="4" t="s">
        <v>470</v>
      </c>
      <c r="D572" s="24">
        <v>18</v>
      </c>
      <c r="E572" s="20"/>
      <c r="F572" s="124"/>
      <c r="G572" s="163">
        <v>276278</v>
      </c>
      <c r="H572" s="179"/>
      <c r="I572" s="163">
        <v>310566</v>
      </c>
      <c r="J572" s="428"/>
      <c r="K572" s="179"/>
      <c r="L572" s="163">
        <f>22071+162775</f>
        <v>184846</v>
      </c>
    </row>
    <row r="573" spans="1:12" ht="12">
      <c r="A573" s="24">
        <v>19</v>
      </c>
      <c r="B573" s="4" t="s">
        <v>284</v>
      </c>
      <c r="D573" s="24">
        <v>19</v>
      </c>
      <c r="E573" s="20"/>
      <c r="F573" s="124"/>
      <c r="G573" s="163"/>
      <c r="H573" s="179"/>
      <c r="I573" s="163"/>
      <c r="J573" s="428"/>
      <c r="K573" s="179"/>
      <c r="L573" s="163"/>
    </row>
    <row r="574" spans="1:12" ht="12">
      <c r="A574" s="24">
        <v>20</v>
      </c>
      <c r="B574" s="4" t="s">
        <v>285</v>
      </c>
      <c r="D574" s="24">
        <v>20</v>
      </c>
      <c r="E574" s="20"/>
      <c r="F574" s="124"/>
      <c r="G574" s="163"/>
      <c r="H574" s="179"/>
      <c r="I574" s="163"/>
      <c r="J574" s="428"/>
      <c r="K574" s="179"/>
      <c r="L574" s="163"/>
    </row>
    <row r="575" spans="1:12" ht="12">
      <c r="A575" s="24">
        <v>21</v>
      </c>
      <c r="B575" s="4"/>
      <c r="D575" s="24">
        <v>21</v>
      </c>
      <c r="E575" s="20"/>
      <c r="F575" s="124"/>
      <c r="G575" s="163"/>
      <c r="H575" s="179"/>
      <c r="I575" s="163"/>
      <c r="J575" s="428"/>
      <c r="K575" s="179"/>
      <c r="L575" s="163"/>
    </row>
    <row r="576" spans="1:12" ht="12">
      <c r="A576" s="24">
        <v>22</v>
      </c>
      <c r="B576" s="4"/>
      <c r="D576" s="24">
        <v>22</v>
      </c>
      <c r="E576" s="20"/>
      <c r="F576" s="124"/>
      <c r="G576" s="163"/>
      <c r="H576" s="179"/>
      <c r="I576" s="163"/>
      <c r="J576" s="428"/>
      <c r="K576" s="179"/>
      <c r="L576" s="163"/>
    </row>
    <row r="577" spans="1:12" ht="12">
      <c r="A577" s="24">
        <v>23</v>
      </c>
      <c r="B577" s="4"/>
      <c r="D577" s="24">
        <v>23</v>
      </c>
      <c r="E577" s="20"/>
      <c r="F577" s="124"/>
      <c r="G577" s="163"/>
      <c r="H577" s="179"/>
      <c r="I577" s="163"/>
      <c r="J577" s="428"/>
      <c r="K577" s="179"/>
      <c r="L577" s="163"/>
    </row>
    <row r="578" spans="1:12" ht="12">
      <c r="A578" s="24">
        <v>24</v>
      </c>
      <c r="B578" s="4"/>
      <c r="D578" s="24">
        <v>24</v>
      </c>
      <c r="E578" s="20"/>
      <c r="F578" s="124"/>
      <c r="G578" s="163"/>
      <c r="H578" s="179"/>
      <c r="I578" s="163"/>
      <c r="J578" s="428"/>
      <c r="K578" s="179"/>
      <c r="L578" s="163"/>
    </row>
    <row r="579" spans="4:12" ht="12">
      <c r="D579" s="21"/>
      <c r="E579" s="252" t="s">
        <v>1</v>
      </c>
      <c r="F579" s="415"/>
      <c r="G579" s="252"/>
      <c r="H579" s="432" t="s">
        <v>1</v>
      </c>
      <c r="I579" s="18" t="s">
        <v>1</v>
      </c>
      <c r="J579" s="252" t="s">
        <v>1</v>
      </c>
      <c r="K579" s="432" t="s">
        <v>1</v>
      </c>
      <c r="L579" s="18" t="s">
        <v>1</v>
      </c>
    </row>
    <row r="580" spans="1:12" ht="12">
      <c r="A580" s="24">
        <v>25</v>
      </c>
      <c r="B580" s="4" t="s">
        <v>471</v>
      </c>
      <c r="D580" s="24">
        <v>25</v>
      </c>
      <c r="F580" s="411">
        <f>SUM(F564:F578)</f>
        <v>76.19</v>
      </c>
      <c r="G580" s="433">
        <f>SUM(G564:G578)</f>
        <v>7914720</v>
      </c>
      <c r="H580" s="411">
        <f>SUM(H564:H578)</f>
        <v>77.32</v>
      </c>
      <c r="I580" s="433">
        <f>SUM(I564:I578)</f>
        <v>8639383</v>
      </c>
      <c r="J580" s="411"/>
      <c r="K580" s="411">
        <f>SUM(K564:K578)</f>
        <v>75.57</v>
      </c>
      <c r="L580" s="433">
        <f>SUM(L564:L578)</f>
        <v>8261740</v>
      </c>
    </row>
    <row r="581" spans="4:12" ht="12">
      <c r="D581" s="21"/>
      <c r="E581" s="252" t="s">
        <v>1</v>
      </c>
      <c r="F581" s="252"/>
      <c r="G581" s="252"/>
      <c r="H581" s="15"/>
      <c r="I581" s="18"/>
      <c r="J581" s="252"/>
      <c r="K581" s="15"/>
      <c r="L581" s="18"/>
    </row>
    <row r="582" ht="12">
      <c r="A582" s="4"/>
    </row>
    <row r="583" ht="12"/>
    <row r="584" spans="1:12" s="394" customFormat="1" ht="12">
      <c r="A584" s="32" t="str">
        <f>$A$31</f>
        <v>Institution No.: GFC  </v>
      </c>
      <c r="D584" s="398"/>
      <c r="H584" s="399"/>
      <c r="I584" s="400"/>
      <c r="K584" s="399"/>
      <c r="L584" s="31" t="s">
        <v>287</v>
      </c>
    </row>
    <row r="585" spans="1:12" s="394" customFormat="1" ht="12">
      <c r="A585" s="468" t="s">
        <v>288</v>
      </c>
      <c r="B585" s="468"/>
      <c r="C585" s="468"/>
      <c r="D585" s="468"/>
      <c r="E585" s="468"/>
      <c r="F585" s="468"/>
      <c r="G585" s="468"/>
      <c r="H585" s="468"/>
      <c r="I585" s="468"/>
      <c r="J585" s="468"/>
      <c r="K585" s="468"/>
      <c r="L585" s="468"/>
    </row>
    <row r="586" spans="1:12" ht="12">
      <c r="A586" s="32" t="str">
        <f>A549</f>
        <v>NAME:  University of Colorado -  Colorado Springs</v>
      </c>
      <c r="H586" s="421"/>
      <c r="I586" s="413"/>
      <c r="K586" s="6"/>
      <c r="L586" s="34" t="str">
        <f>$L$2</f>
        <v>Date: 10/1/2010</v>
      </c>
    </row>
    <row r="587" spans="1:12" ht="12">
      <c r="A587" s="14" t="s">
        <v>1</v>
      </c>
      <c r="B587" s="14" t="s">
        <v>1</v>
      </c>
      <c r="C587" s="14" t="s">
        <v>1</v>
      </c>
      <c r="D587" s="14" t="s">
        <v>1</v>
      </c>
      <c r="E587" s="14" t="s">
        <v>1</v>
      </c>
      <c r="F587" s="14"/>
      <c r="G587" s="14"/>
      <c r="H587" s="15" t="s">
        <v>1</v>
      </c>
      <c r="I587" s="18" t="s">
        <v>1</v>
      </c>
      <c r="J587" s="14" t="s">
        <v>1</v>
      </c>
      <c r="K587" s="15" t="s">
        <v>1</v>
      </c>
      <c r="L587" s="18" t="s">
        <v>1</v>
      </c>
    </row>
    <row r="588" spans="1:12" ht="12">
      <c r="A588" s="35" t="s">
        <v>2</v>
      </c>
      <c r="D588" s="35" t="s">
        <v>2</v>
      </c>
      <c r="E588" s="1"/>
      <c r="F588" s="2"/>
      <c r="G588" s="3" t="s">
        <v>62</v>
      </c>
      <c r="H588" s="2"/>
      <c r="I588" s="3" t="s">
        <v>65</v>
      </c>
      <c r="J588" s="1"/>
      <c r="K588" s="2"/>
      <c r="L588" s="3" t="s">
        <v>70</v>
      </c>
    </row>
    <row r="589" spans="1:12" ht="12">
      <c r="A589" s="35" t="s">
        <v>4</v>
      </c>
      <c r="B589" s="36" t="s">
        <v>18</v>
      </c>
      <c r="D589" s="35" t="s">
        <v>4</v>
      </c>
      <c r="E589" s="1"/>
      <c r="F589" s="2" t="s">
        <v>6</v>
      </c>
      <c r="G589" s="3" t="s">
        <v>7</v>
      </c>
      <c r="H589" s="2" t="s">
        <v>6</v>
      </c>
      <c r="I589" s="3" t="s">
        <v>7</v>
      </c>
      <c r="J589" s="1"/>
      <c r="K589" s="2" t="s">
        <v>6</v>
      </c>
      <c r="L589" s="3" t="s">
        <v>8</v>
      </c>
    </row>
    <row r="590" spans="1:12" ht="12">
      <c r="A590" s="14" t="s">
        <v>1</v>
      </c>
      <c r="B590" s="14" t="s">
        <v>1</v>
      </c>
      <c r="C590" s="14" t="s">
        <v>1</v>
      </c>
      <c r="D590" s="14" t="s">
        <v>1</v>
      </c>
      <c r="E590" s="14" t="s">
        <v>1</v>
      </c>
      <c r="F590" s="14"/>
      <c r="G590" s="14"/>
      <c r="H590" s="15" t="s">
        <v>1</v>
      </c>
      <c r="I590" s="18" t="s">
        <v>1</v>
      </c>
      <c r="J590" s="14" t="s">
        <v>1</v>
      </c>
      <c r="K590" s="15" t="s">
        <v>1</v>
      </c>
      <c r="L590" s="18" t="s">
        <v>1</v>
      </c>
    </row>
    <row r="591" spans="1:12" ht="12">
      <c r="A591" s="24">
        <v>1</v>
      </c>
      <c r="B591" s="4" t="s">
        <v>276</v>
      </c>
      <c r="D591" s="24">
        <v>1</v>
      </c>
      <c r="E591" s="20"/>
      <c r="F591" s="124">
        <v>19.84</v>
      </c>
      <c r="G591" s="125">
        <v>1356577</v>
      </c>
      <c r="H591" s="124">
        <f>0.25+17.52</f>
        <v>17.77</v>
      </c>
      <c r="I591" s="125">
        <f>1422429+3943</f>
        <v>1426372</v>
      </c>
      <c r="J591" s="428"/>
      <c r="K591" s="124">
        <f>0.25+20.43</f>
        <v>20.68</v>
      </c>
      <c r="L591" s="163">
        <f>12452+1645+1154666</f>
        <v>1168763</v>
      </c>
    </row>
    <row r="592" spans="1:12" ht="12">
      <c r="A592" s="24">
        <v>2</v>
      </c>
      <c r="B592" s="4" t="s">
        <v>268</v>
      </c>
      <c r="D592" s="24">
        <v>2</v>
      </c>
      <c r="E592" s="20"/>
      <c r="F592" s="124"/>
      <c r="G592" s="125">
        <v>361080</v>
      </c>
      <c r="H592" s="124"/>
      <c r="I592" s="125">
        <f>297010+764</f>
        <v>297774</v>
      </c>
      <c r="J592" s="428"/>
      <c r="K592" s="124"/>
      <c r="L592" s="125">
        <f>32479+2224+273158+20000</f>
        <v>327861</v>
      </c>
    </row>
    <row r="593" spans="1:12" ht="12">
      <c r="A593" s="24">
        <v>3</v>
      </c>
      <c r="D593" s="24">
        <v>3</v>
      </c>
      <c r="E593" s="20"/>
      <c r="F593" s="124"/>
      <c r="G593" s="125"/>
      <c r="H593" s="124"/>
      <c r="I593" s="125"/>
      <c r="J593" s="428"/>
      <c r="K593" s="124"/>
      <c r="L593" s="125"/>
    </row>
    <row r="594" spans="1:12" ht="12">
      <c r="A594" s="24">
        <v>4</v>
      </c>
      <c r="B594" s="4" t="s">
        <v>270</v>
      </c>
      <c r="D594" s="24">
        <v>4</v>
      </c>
      <c r="E594" s="20"/>
      <c r="F594" s="124">
        <f>SUM(F591:F593)</f>
        <v>19.84</v>
      </c>
      <c r="G594" s="125">
        <f>SUM(G591:G593)</f>
        <v>1717657</v>
      </c>
      <c r="H594" s="124">
        <f>SUM(H591:H593)</f>
        <v>17.77</v>
      </c>
      <c r="I594" s="125">
        <f>SUM(I591:I593)</f>
        <v>1724146</v>
      </c>
      <c r="J594" s="25"/>
      <c r="K594" s="124">
        <f>SUM(K591:K593)</f>
        <v>20.68</v>
      </c>
      <c r="L594" s="125">
        <f>SUM(L591:L593)</f>
        <v>1496624</v>
      </c>
    </row>
    <row r="595" spans="1:12" ht="12">
      <c r="A595" s="24">
        <v>5</v>
      </c>
      <c r="D595" s="24">
        <v>5</v>
      </c>
      <c r="E595" s="20"/>
      <c r="F595" s="124"/>
      <c r="G595" s="125"/>
      <c r="H595" s="124"/>
      <c r="I595" s="125"/>
      <c r="J595" s="25"/>
      <c r="K595" s="124"/>
      <c r="L595" s="125"/>
    </row>
    <row r="596" spans="1:12" ht="12">
      <c r="A596" s="24">
        <v>6</v>
      </c>
      <c r="D596" s="24">
        <v>6</v>
      </c>
      <c r="E596" s="20"/>
      <c r="F596" s="124"/>
      <c r="G596" s="125"/>
      <c r="H596" s="124"/>
      <c r="I596" s="125"/>
      <c r="J596" s="25"/>
      <c r="K596" s="124"/>
      <c r="L596" s="125"/>
    </row>
    <row r="597" spans="1:12" ht="12">
      <c r="A597" s="24">
        <v>7</v>
      </c>
      <c r="B597" s="4" t="s">
        <v>253</v>
      </c>
      <c r="D597" s="24">
        <v>7</v>
      </c>
      <c r="E597" s="20"/>
      <c r="F597" s="124">
        <v>49.36</v>
      </c>
      <c r="G597" s="125">
        <v>2280262</v>
      </c>
      <c r="H597" s="124">
        <v>50.93</v>
      </c>
      <c r="I597" s="125">
        <v>2196924</v>
      </c>
      <c r="J597" s="428"/>
      <c r="K597" s="124">
        <v>43.4</v>
      </c>
      <c r="L597" s="163">
        <v>2142723</v>
      </c>
    </row>
    <row r="598" spans="1:12" ht="12">
      <c r="A598" s="24">
        <v>8</v>
      </c>
      <c r="B598" s="4" t="s">
        <v>254</v>
      </c>
      <c r="D598" s="24">
        <v>8</v>
      </c>
      <c r="E598" s="20"/>
      <c r="F598" s="124"/>
      <c r="G598" s="125">
        <v>546195</v>
      </c>
      <c r="H598" s="124"/>
      <c r="I598" s="125">
        <v>600135</v>
      </c>
      <c r="J598" s="428"/>
      <c r="K598" s="124"/>
      <c r="L598" s="125">
        <f>520962+20000</f>
        <v>540962</v>
      </c>
    </row>
    <row r="599" spans="1:12" ht="12">
      <c r="A599" s="24">
        <v>9</v>
      </c>
      <c r="B599" s="4" t="s">
        <v>255</v>
      </c>
      <c r="D599" s="24">
        <v>9</v>
      </c>
      <c r="E599" s="20"/>
      <c r="F599" s="124">
        <f>SUM(F597:F598)</f>
        <v>49.36</v>
      </c>
      <c r="G599" s="125">
        <f>SUM(G597:G598)</f>
        <v>2826457</v>
      </c>
      <c r="H599" s="124">
        <f>SUM(H597:H598)</f>
        <v>50.93</v>
      </c>
      <c r="I599" s="125">
        <f>SUM(I597:I598)</f>
        <v>2797059</v>
      </c>
      <c r="J599" s="25"/>
      <c r="K599" s="124">
        <f>SUM(K597:K598)</f>
        <v>43.4</v>
      </c>
      <c r="L599" s="125">
        <f>SUM(L597:L598)</f>
        <v>2683685</v>
      </c>
    </row>
    <row r="600" spans="1:12" ht="12">
      <c r="A600" s="24">
        <v>10</v>
      </c>
      <c r="D600" s="24">
        <v>10</v>
      </c>
      <c r="E600" s="20"/>
      <c r="F600" s="124"/>
      <c r="G600" s="125"/>
      <c r="H600" s="124"/>
      <c r="I600" s="125"/>
      <c r="J600" s="25"/>
      <c r="K600" s="124"/>
      <c r="L600" s="125"/>
    </row>
    <row r="601" spans="1:12" ht="12">
      <c r="A601" s="24">
        <v>11</v>
      </c>
      <c r="B601" s="4" t="s">
        <v>256</v>
      </c>
      <c r="D601" s="24">
        <v>11</v>
      </c>
      <c r="F601" s="121">
        <f>SUM(F594,F599)</f>
        <v>69.2</v>
      </c>
      <c r="G601" s="122">
        <f>SUM(G594,G599)</f>
        <v>4544114</v>
      </c>
      <c r="H601" s="121">
        <f>SUM(H594,H599)</f>
        <v>68.7</v>
      </c>
      <c r="I601" s="122">
        <f>SUM(I594,I599)</f>
        <v>4521205</v>
      </c>
      <c r="J601" s="25"/>
      <c r="K601" s="122">
        <f>SUM(K594,K599)</f>
        <v>64.08</v>
      </c>
      <c r="L601" s="122">
        <f>SUM(L594,L599)</f>
        <v>4180309</v>
      </c>
    </row>
    <row r="602" spans="1:12" ht="12">
      <c r="A602" s="24">
        <v>12</v>
      </c>
      <c r="D602" s="24">
        <v>12</v>
      </c>
      <c r="F602" s="121"/>
      <c r="G602" s="122"/>
      <c r="H602" s="121"/>
      <c r="I602" s="122"/>
      <c r="J602" s="25"/>
      <c r="K602" s="121"/>
      <c r="L602" s="122"/>
    </row>
    <row r="603" spans="1:12" ht="12">
      <c r="A603" s="24">
        <v>13</v>
      </c>
      <c r="B603" s="4" t="s">
        <v>277</v>
      </c>
      <c r="D603" s="24">
        <v>13</v>
      </c>
      <c r="E603" s="20"/>
      <c r="F603" s="124"/>
      <c r="G603" s="125">
        <v>385062</v>
      </c>
      <c r="H603" s="124"/>
      <c r="I603" s="125">
        <v>354831</v>
      </c>
      <c r="J603" s="428"/>
      <c r="K603" s="124"/>
      <c r="L603" s="125">
        <f>228195+4153</f>
        <v>232348</v>
      </c>
    </row>
    <row r="604" spans="1:12" ht="12">
      <c r="A604" s="24">
        <v>14</v>
      </c>
      <c r="D604" s="24">
        <v>14</v>
      </c>
      <c r="E604" s="20"/>
      <c r="F604" s="124"/>
      <c r="G604" s="125"/>
      <c r="H604" s="124"/>
      <c r="I604" s="125"/>
      <c r="J604" s="428"/>
      <c r="K604" s="124"/>
      <c r="L604" s="125"/>
    </row>
    <row r="605" spans="1:12" ht="12">
      <c r="A605" s="24">
        <v>15</v>
      </c>
      <c r="B605" s="4" t="s">
        <v>258</v>
      </c>
      <c r="D605" s="24">
        <v>15</v>
      </c>
      <c r="E605" s="20"/>
      <c r="F605" s="124"/>
      <c r="G605" s="125">
        <v>124479</v>
      </c>
      <c r="H605" s="124"/>
      <c r="I605" s="125">
        <v>103714</v>
      </c>
      <c r="J605" s="428"/>
      <c r="K605" s="124" t="s">
        <v>0</v>
      </c>
      <c r="L605" s="125">
        <v>55346</v>
      </c>
    </row>
    <row r="606" spans="1:12" ht="12">
      <c r="A606" s="24">
        <v>16</v>
      </c>
      <c r="B606" s="4" t="s">
        <v>259</v>
      </c>
      <c r="D606" s="24">
        <v>16</v>
      </c>
      <c r="E606" s="20"/>
      <c r="F606" s="124"/>
      <c r="G606" s="125">
        <v>395691</v>
      </c>
      <c r="H606" s="124"/>
      <c r="I606" s="125">
        <f>868399-590738</f>
        <v>277661</v>
      </c>
      <c r="J606" s="428"/>
      <c r="K606" s="124"/>
      <c r="L606" s="125">
        <f>1128152</f>
        <v>1128152</v>
      </c>
    </row>
    <row r="607" spans="1:12" ht="12">
      <c r="A607" s="24"/>
      <c r="B607" s="4"/>
      <c r="D607" s="24"/>
      <c r="E607" s="20"/>
      <c r="F607" s="124"/>
      <c r="G607" s="125"/>
      <c r="H607" s="124"/>
      <c r="I607" s="125"/>
      <c r="J607" s="428"/>
      <c r="K607" s="124"/>
      <c r="L607" s="125"/>
    </row>
    <row r="608" spans="1:12" ht="12">
      <c r="A608" s="24">
        <v>17</v>
      </c>
      <c r="B608" s="4" t="s">
        <v>278</v>
      </c>
      <c r="D608" s="24">
        <v>17</v>
      </c>
      <c r="E608" s="20"/>
      <c r="F608" s="124"/>
      <c r="G608" s="125"/>
      <c r="H608" s="124"/>
      <c r="I608" s="125"/>
      <c r="J608" s="428"/>
      <c r="K608" s="124"/>
      <c r="L608" s="125"/>
    </row>
    <row r="609" spans="1:12" ht="12">
      <c r="A609" s="24">
        <v>18</v>
      </c>
      <c r="D609" s="24">
        <v>18</v>
      </c>
      <c r="E609" s="20"/>
      <c r="F609" s="124"/>
      <c r="G609" s="125"/>
      <c r="H609" s="124"/>
      <c r="I609" s="125"/>
      <c r="J609" s="428"/>
      <c r="K609" s="124"/>
      <c r="L609" s="125"/>
    </row>
    <row r="610" spans="1:12" ht="12">
      <c r="A610" s="24">
        <v>19</v>
      </c>
      <c r="B610" s="4" t="s">
        <v>284</v>
      </c>
      <c r="D610" s="24">
        <v>19</v>
      </c>
      <c r="E610" s="20"/>
      <c r="F610" s="124"/>
      <c r="G610" s="125"/>
      <c r="H610" s="124"/>
      <c r="I610" s="125"/>
      <c r="J610" s="428"/>
      <c r="K610" s="124"/>
      <c r="L610" s="125"/>
    </row>
    <row r="611" spans="1:12" ht="12">
      <c r="A611" s="24">
        <v>20</v>
      </c>
      <c r="B611" s="4"/>
      <c r="D611" s="24">
        <v>20</v>
      </c>
      <c r="E611" s="20"/>
      <c r="F611" s="124"/>
      <c r="G611" s="125"/>
      <c r="H611" s="124"/>
      <c r="I611" s="125"/>
      <c r="J611" s="428"/>
      <c r="K611" s="124"/>
      <c r="L611" s="125"/>
    </row>
    <row r="612" spans="1:12" ht="12">
      <c r="A612" s="24">
        <v>21</v>
      </c>
      <c r="B612" s="4"/>
      <c r="D612" s="24">
        <v>21</v>
      </c>
      <c r="E612" s="20"/>
      <c r="F612" s="124"/>
      <c r="G612" s="125"/>
      <c r="H612" s="124"/>
      <c r="I612" s="125"/>
      <c r="J612" s="428"/>
      <c r="K612" s="124"/>
      <c r="L612" s="125"/>
    </row>
    <row r="613" spans="1:12" ht="12">
      <c r="A613" s="24">
        <v>22</v>
      </c>
      <c r="B613" s="4"/>
      <c r="D613" s="24">
        <v>22</v>
      </c>
      <c r="E613" s="20"/>
      <c r="F613" s="124"/>
      <c r="G613" s="125"/>
      <c r="H613" s="124"/>
      <c r="I613" s="125"/>
      <c r="J613" s="428"/>
      <c r="K613" s="124"/>
      <c r="L613" s="125"/>
    </row>
    <row r="614" spans="1:12" ht="12">
      <c r="A614" s="24">
        <v>23</v>
      </c>
      <c r="B614" s="4"/>
      <c r="D614" s="24">
        <v>23</v>
      </c>
      <c r="E614" s="20"/>
      <c r="F614" s="124"/>
      <c r="G614" s="125"/>
      <c r="H614" s="124"/>
      <c r="I614" s="125"/>
      <c r="J614" s="428"/>
      <c r="K614" s="124"/>
      <c r="L614" s="125"/>
    </row>
    <row r="615" spans="1:12" ht="12">
      <c r="A615" s="24">
        <v>24</v>
      </c>
      <c r="B615" s="4"/>
      <c r="D615" s="24">
        <v>24</v>
      </c>
      <c r="E615" s="20"/>
      <c r="F615" s="124"/>
      <c r="G615" s="125"/>
      <c r="H615" s="124"/>
      <c r="I615" s="125"/>
      <c r="J615" s="428"/>
      <c r="K615" s="124"/>
      <c r="L615" s="125"/>
    </row>
    <row r="616" spans="4:12" ht="12">
      <c r="D616" s="21"/>
      <c r="E616" s="252" t="s">
        <v>1</v>
      </c>
      <c r="F616" s="415"/>
      <c r="G616" s="252"/>
      <c r="H616" s="18" t="s">
        <v>1</v>
      </c>
      <c r="I616" s="18" t="s">
        <v>1</v>
      </c>
      <c r="J616" s="252" t="s">
        <v>1</v>
      </c>
      <c r="K616" s="252" t="s">
        <v>1</v>
      </c>
      <c r="L616" s="18" t="s">
        <v>1</v>
      </c>
    </row>
    <row r="617" spans="1:12" ht="12">
      <c r="A617" s="24">
        <v>25</v>
      </c>
      <c r="B617" s="4" t="s">
        <v>472</v>
      </c>
      <c r="D617" s="24">
        <v>25</v>
      </c>
      <c r="F617" s="121">
        <f>SUM(F601:F615)</f>
        <v>69.2</v>
      </c>
      <c r="G617" s="159">
        <f>SUM(G601:G615)</f>
        <v>5449346</v>
      </c>
      <c r="H617" s="121">
        <f>SUM(H601:H615)</f>
        <v>68.7</v>
      </c>
      <c r="I617" s="159">
        <f>SUM(I601:I615)</f>
        <v>5257411</v>
      </c>
      <c r="J617" s="1"/>
      <c r="K617" s="121">
        <f>SUM(K601:K615)</f>
        <v>64.08</v>
      </c>
      <c r="L617" s="159">
        <f>SUM(L601:L615)</f>
        <v>5596155</v>
      </c>
    </row>
    <row r="618" spans="4:12" ht="12">
      <c r="D618" s="21"/>
      <c r="E618" s="252" t="s">
        <v>1</v>
      </c>
      <c r="F618" s="252"/>
      <c r="G618" s="252"/>
      <c r="H618" s="15" t="s">
        <v>1</v>
      </c>
      <c r="I618" s="18" t="s">
        <v>1</v>
      </c>
      <c r="J618" s="252" t="s">
        <v>1</v>
      </c>
      <c r="K618" s="15" t="s">
        <v>1</v>
      </c>
      <c r="L618" s="18" t="s">
        <v>1</v>
      </c>
    </row>
    <row r="619" ht="12"/>
    <row r="620" ht="12">
      <c r="A620" s="4"/>
    </row>
    <row r="621" spans="1:12" s="394" customFormat="1" ht="12">
      <c r="A621" s="32" t="str">
        <f>$A$31</f>
        <v>Institution No.: GFC  </v>
      </c>
      <c r="D621" s="398"/>
      <c r="H621" s="399"/>
      <c r="I621" s="400"/>
      <c r="K621" s="399"/>
      <c r="L621" s="31" t="s">
        <v>290</v>
      </c>
    </row>
    <row r="622" spans="1:12" s="394" customFormat="1" ht="12">
      <c r="A622" s="468" t="s">
        <v>473</v>
      </c>
      <c r="B622" s="468"/>
      <c r="C622" s="468"/>
      <c r="D622" s="468"/>
      <c r="E622" s="468"/>
      <c r="F622" s="468"/>
      <c r="G622" s="468"/>
      <c r="H622" s="468"/>
      <c r="I622" s="468"/>
      <c r="J622" s="468"/>
      <c r="K622" s="468"/>
      <c r="L622" s="468"/>
    </row>
    <row r="623" spans="1:12" ht="12">
      <c r="A623" s="32" t="str">
        <f>A586</f>
        <v>NAME:  University of Colorado -  Colorado Springs</v>
      </c>
      <c r="E623" s="419"/>
      <c r="F623" s="419"/>
      <c r="G623" s="419"/>
      <c r="H623" s="412"/>
      <c r="I623" s="19"/>
      <c r="K623" s="6"/>
      <c r="L623" s="34" t="str">
        <f>$L$2</f>
        <v>Date: 10/1/2010</v>
      </c>
    </row>
    <row r="624" spans="1:12" ht="12">
      <c r="A624" s="14" t="s">
        <v>1</v>
      </c>
      <c r="B624" s="14" t="s">
        <v>1</v>
      </c>
      <c r="C624" s="14" t="s">
        <v>1</v>
      </c>
      <c r="D624" s="14" t="s">
        <v>1</v>
      </c>
      <c r="E624" s="14" t="s">
        <v>1</v>
      </c>
      <c r="F624" s="14"/>
      <c r="G624" s="14"/>
      <c r="H624" s="15" t="s">
        <v>1</v>
      </c>
      <c r="I624" s="18" t="s">
        <v>1</v>
      </c>
      <c r="J624" s="14" t="s">
        <v>1</v>
      </c>
      <c r="K624" s="15" t="s">
        <v>1</v>
      </c>
      <c r="L624" s="18" t="s">
        <v>1</v>
      </c>
    </row>
    <row r="625" spans="1:12" ht="12">
      <c r="A625" s="35" t="s">
        <v>2</v>
      </c>
      <c r="D625" s="35" t="s">
        <v>2</v>
      </c>
      <c r="E625" s="1"/>
      <c r="F625" s="2"/>
      <c r="G625" s="3" t="s">
        <v>62</v>
      </c>
      <c r="H625" s="2"/>
      <c r="I625" s="3" t="s">
        <v>65</v>
      </c>
      <c r="J625" s="1"/>
      <c r="K625" s="2"/>
      <c r="L625" s="3" t="s">
        <v>70</v>
      </c>
    </row>
    <row r="626" spans="1:12" ht="12">
      <c r="A626" s="35" t="s">
        <v>4</v>
      </c>
      <c r="B626" s="36" t="s">
        <v>18</v>
      </c>
      <c r="D626" s="35" t="s">
        <v>4</v>
      </c>
      <c r="E626" s="1"/>
      <c r="F626" s="2" t="s">
        <v>6</v>
      </c>
      <c r="G626" s="3" t="s">
        <v>7</v>
      </c>
      <c r="H626" s="2" t="s">
        <v>6</v>
      </c>
      <c r="I626" s="3" t="s">
        <v>7</v>
      </c>
      <c r="J626" s="1"/>
      <c r="K626" s="2" t="s">
        <v>6</v>
      </c>
      <c r="L626" s="3" t="s">
        <v>8</v>
      </c>
    </row>
    <row r="627" spans="1:12" ht="12">
      <c r="A627" s="14" t="s">
        <v>1</v>
      </c>
      <c r="B627" s="14" t="s">
        <v>1</v>
      </c>
      <c r="C627" s="14" t="s">
        <v>1</v>
      </c>
      <c r="D627" s="14" t="s">
        <v>1</v>
      </c>
      <c r="E627" s="14" t="s">
        <v>1</v>
      </c>
      <c r="F627" s="14"/>
      <c r="G627" s="14"/>
      <c r="H627" s="15" t="s">
        <v>1</v>
      </c>
      <c r="I627" s="18" t="s">
        <v>1</v>
      </c>
      <c r="J627" s="14" t="s">
        <v>1</v>
      </c>
      <c r="K627" s="15" t="s">
        <v>1</v>
      </c>
      <c r="L627" s="18" t="s">
        <v>1</v>
      </c>
    </row>
    <row r="628" spans="1:12" ht="12">
      <c r="A628" s="24">
        <v>1</v>
      </c>
      <c r="B628" s="4" t="s">
        <v>276</v>
      </c>
      <c r="D628" s="24">
        <v>1</v>
      </c>
      <c r="E628" s="20"/>
      <c r="F628" s="162">
        <v>31.76</v>
      </c>
      <c r="G628" s="163">
        <v>3678101</v>
      </c>
      <c r="H628" s="162">
        <v>33.36</v>
      </c>
      <c r="I628" s="163">
        <f>3033253+-19579+970969</f>
        <v>3984643</v>
      </c>
      <c r="J628" s="428"/>
      <c r="K628" s="162">
        <f>33.88</f>
        <v>33.88</v>
      </c>
      <c r="L628" s="163">
        <f>34570+170+2915136+970969</f>
        <v>3920845</v>
      </c>
    </row>
    <row r="629" spans="1:12" ht="12">
      <c r="A629" s="24">
        <v>2</v>
      </c>
      <c r="B629" s="4" t="s">
        <v>268</v>
      </c>
      <c r="D629" s="24">
        <v>2</v>
      </c>
      <c r="E629" s="20"/>
      <c r="F629" s="162"/>
      <c r="G629" s="163">
        <v>1237707</v>
      </c>
      <c r="H629" s="162"/>
      <c r="I629" s="163">
        <f>1243602+1266+247738-506</f>
        <v>1492100</v>
      </c>
      <c r="J629" s="428"/>
      <c r="K629" s="162"/>
      <c r="L629" s="163">
        <f>271119+10944+679311+247738</f>
        <v>1209112</v>
      </c>
    </row>
    <row r="630" spans="1:12" ht="12">
      <c r="A630" s="24">
        <v>3</v>
      </c>
      <c r="D630" s="24">
        <v>3</v>
      </c>
      <c r="E630" s="20"/>
      <c r="F630" s="162"/>
      <c r="G630" s="163"/>
      <c r="H630" s="162"/>
      <c r="I630" s="163"/>
      <c r="J630" s="428"/>
      <c r="K630" s="162"/>
      <c r="L630" s="163"/>
    </row>
    <row r="631" spans="1:12" ht="12">
      <c r="A631" s="24">
        <v>4</v>
      </c>
      <c r="B631" s="4" t="s">
        <v>270</v>
      </c>
      <c r="D631" s="24">
        <v>4</v>
      </c>
      <c r="E631" s="20"/>
      <c r="F631" s="162">
        <f>SUM(F628:F630)</f>
        <v>31.76</v>
      </c>
      <c r="G631" s="163">
        <f>SUM(G628:G630)</f>
        <v>4915808</v>
      </c>
      <c r="H631" s="162">
        <f>SUM(H628:H630)</f>
        <v>33.36</v>
      </c>
      <c r="I631" s="163">
        <f>SUM(I628:I630)</f>
        <v>5476743</v>
      </c>
      <c r="J631" s="25"/>
      <c r="K631" s="162">
        <f>SUM(K628:K630)</f>
        <v>33.88</v>
      </c>
      <c r="L631" s="163">
        <f>SUM(L628:L630)</f>
        <v>5129957</v>
      </c>
    </row>
    <row r="632" spans="1:12" ht="12">
      <c r="A632" s="24">
        <v>5</v>
      </c>
      <c r="D632" s="24">
        <v>5</v>
      </c>
      <c r="E632" s="20"/>
      <c r="F632" s="162"/>
      <c r="G632" s="163"/>
      <c r="H632" s="162"/>
      <c r="I632" s="163"/>
      <c r="J632" s="25"/>
      <c r="K632" s="162"/>
      <c r="L632" s="163"/>
    </row>
    <row r="633" spans="1:12" ht="12">
      <c r="A633" s="24">
        <v>6</v>
      </c>
      <c r="D633" s="24">
        <v>6</v>
      </c>
      <c r="E633" s="20"/>
      <c r="F633" s="162"/>
      <c r="G633" s="163"/>
      <c r="H633" s="162"/>
      <c r="I633" s="163"/>
      <c r="J633" s="25"/>
      <c r="K633" s="162"/>
      <c r="L633" s="163"/>
    </row>
    <row r="634" spans="1:12" ht="12">
      <c r="A634" s="24">
        <v>7</v>
      </c>
      <c r="B634" s="4" t="s">
        <v>253</v>
      </c>
      <c r="D634" s="24">
        <v>7</v>
      </c>
      <c r="E634" s="20"/>
      <c r="F634" s="162">
        <v>36.49</v>
      </c>
      <c r="G634" s="163">
        <v>2635600</v>
      </c>
      <c r="H634" s="162">
        <v>35.55</v>
      </c>
      <c r="I634" s="163">
        <f>1708908+525088</f>
        <v>2233996</v>
      </c>
      <c r="J634" s="428"/>
      <c r="K634" s="162">
        <f>32.05</f>
        <v>32.05</v>
      </c>
      <c r="L634" s="163">
        <f>1659460+525088</f>
        <v>2184548</v>
      </c>
    </row>
    <row r="635" spans="1:12" ht="12">
      <c r="A635" s="24">
        <v>8</v>
      </c>
      <c r="B635" s="4" t="s">
        <v>254</v>
      </c>
      <c r="D635" s="24">
        <v>8</v>
      </c>
      <c r="E635" s="20"/>
      <c r="F635" s="162"/>
      <c r="G635" s="163">
        <v>865759</v>
      </c>
      <c r="H635" s="162"/>
      <c r="I635" s="163">
        <f>714662+129113</f>
        <v>843775</v>
      </c>
      <c r="J635" s="428"/>
      <c r="K635" s="162"/>
      <c r="L635" s="163">
        <f>628515+129113</f>
        <v>757628</v>
      </c>
    </row>
    <row r="636" spans="1:12" ht="12">
      <c r="A636" s="24">
        <v>9</v>
      </c>
      <c r="B636" s="4" t="s">
        <v>255</v>
      </c>
      <c r="D636" s="24">
        <v>9</v>
      </c>
      <c r="E636" s="20"/>
      <c r="F636" s="162">
        <f>SUM(F634:F635)</f>
        <v>36.49</v>
      </c>
      <c r="G636" s="163">
        <f>SUM(G634:G635)-1</f>
        <v>3501358</v>
      </c>
      <c r="H636" s="162">
        <f>SUM(H634:H635)</f>
        <v>35.55</v>
      </c>
      <c r="I636" s="163">
        <f>SUM(I634:I635)</f>
        <v>3077771</v>
      </c>
      <c r="J636" s="25"/>
      <c r="K636" s="162">
        <f>SUM(K634:K635)</f>
        <v>32.05</v>
      </c>
      <c r="L636" s="163">
        <f>SUM(L634:L635)</f>
        <v>2942176</v>
      </c>
    </row>
    <row r="637" spans="1:12" ht="12">
      <c r="A637" s="24">
        <v>10</v>
      </c>
      <c r="D637" s="24">
        <v>10</v>
      </c>
      <c r="E637" s="20"/>
      <c r="F637" s="162"/>
      <c r="G637" s="163"/>
      <c r="H637" s="162"/>
      <c r="I637" s="163"/>
      <c r="J637" s="25"/>
      <c r="K637" s="162"/>
      <c r="L637" s="163"/>
    </row>
    <row r="638" spans="1:12" ht="12">
      <c r="A638" s="24">
        <v>11</v>
      </c>
      <c r="B638" s="4" t="s">
        <v>256</v>
      </c>
      <c r="D638" s="24">
        <v>11</v>
      </c>
      <c r="E638" s="20"/>
      <c r="F638" s="162">
        <f>SUM(F636,F631)</f>
        <v>68.25</v>
      </c>
      <c r="G638" s="163">
        <f>SUM(G636,G631)</f>
        <v>8417166</v>
      </c>
      <c r="H638" s="162">
        <f>SUM(H636,H631)</f>
        <v>68.91</v>
      </c>
      <c r="I638" s="163">
        <f>SUM(I636,I631)</f>
        <v>8554514</v>
      </c>
      <c r="J638" s="25"/>
      <c r="K638" s="162">
        <f>SUM(K636,K631)</f>
        <v>65.93</v>
      </c>
      <c r="L638" s="163">
        <f>SUM(L636,L631)</f>
        <v>8072133</v>
      </c>
    </row>
    <row r="639" spans="1:12" ht="12">
      <c r="A639" s="24">
        <v>12</v>
      </c>
      <c r="D639" s="24">
        <v>12</v>
      </c>
      <c r="E639" s="20"/>
      <c r="F639" s="162"/>
      <c r="G639" s="163"/>
      <c r="H639" s="162"/>
      <c r="I639" s="163"/>
      <c r="J639" s="25"/>
      <c r="K639" s="162"/>
      <c r="L639" s="163"/>
    </row>
    <row r="640" spans="1:12" ht="12">
      <c r="A640" s="24">
        <v>13</v>
      </c>
      <c r="B640" s="4" t="s">
        <v>277</v>
      </c>
      <c r="D640" s="24">
        <v>13</v>
      </c>
      <c r="E640" s="20"/>
      <c r="F640" s="162"/>
      <c r="G640" s="163">
        <v>122216</v>
      </c>
      <c r="H640" s="162"/>
      <c r="I640" s="163">
        <f>99043+2197+22711</f>
        <v>123951</v>
      </c>
      <c r="J640" s="428"/>
      <c r="K640" s="162"/>
      <c r="L640" s="163">
        <f>72473+5056+22713+2197</f>
        <v>102439</v>
      </c>
    </row>
    <row r="641" spans="1:12" ht="12">
      <c r="A641" s="24">
        <v>14</v>
      </c>
      <c r="D641" s="24">
        <v>14</v>
      </c>
      <c r="E641" s="20"/>
      <c r="F641" s="162"/>
      <c r="G641" s="163"/>
      <c r="H641" s="162"/>
      <c r="I641" s="163"/>
      <c r="J641" s="428"/>
      <c r="K641" s="162"/>
      <c r="L641" s="163"/>
    </row>
    <row r="642" spans="1:12" ht="12">
      <c r="A642" s="24">
        <v>15</v>
      </c>
      <c r="B642" s="4" t="s">
        <v>258</v>
      </c>
      <c r="D642" s="24">
        <v>15</v>
      </c>
      <c r="E642" s="20"/>
      <c r="F642" s="162"/>
      <c r="G642" s="163">
        <v>75102</v>
      </c>
      <c r="H642" s="162"/>
      <c r="I642" s="163">
        <v>66425</v>
      </c>
      <c r="J642" s="428"/>
      <c r="K642" s="162"/>
      <c r="L642" s="163">
        <v>47435</v>
      </c>
    </row>
    <row r="643" spans="1:12" ht="12">
      <c r="A643" s="24">
        <v>16</v>
      </c>
      <c r="B643" s="4" t="s">
        <v>259</v>
      </c>
      <c r="D643" s="24">
        <v>16</v>
      </c>
      <c r="E643" s="20"/>
      <c r="F643" s="162"/>
      <c r="G643" s="163">
        <v>1491290</v>
      </c>
      <c r="H643" s="162"/>
      <c r="I643" s="163">
        <f>4050+2025651-1605161+785699+136</f>
        <v>1210375</v>
      </c>
      <c r="J643" s="428"/>
      <c r="K643" s="162"/>
      <c r="L643" s="163">
        <f>9924380+1323170+785699-2683516-68830-4266801-3107483</f>
        <v>1906619</v>
      </c>
    </row>
    <row r="644" spans="1:12" ht="12">
      <c r="A644" s="24">
        <v>17</v>
      </c>
      <c r="B644" s="4" t="s">
        <v>278</v>
      </c>
      <c r="D644" s="24">
        <v>17</v>
      </c>
      <c r="E644" s="20"/>
      <c r="F644" s="162"/>
      <c r="G644" s="163"/>
      <c r="H644" s="162"/>
      <c r="I644" s="163"/>
      <c r="J644" s="428"/>
      <c r="K644" s="162"/>
      <c r="L644" s="163"/>
    </row>
    <row r="645" spans="1:12" ht="12">
      <c r="A645" s="24">
        <v>18</v>
      </c>
      <c r="D645" s="24">
        <v>18</v>
      </c>
      <c r="E645" s="20"/>
      <c r="F645" s="162"/>
      <c r="G645" s="163"/>
      <c r="H645" s="162"/>
      <c r="I645" s="163"/>
      <c r="J645" s="428"/>
      <c r="K645" s="162"/>
      <c r="L645" s="163"/>
    </row>
    <row r="646" spans="1:12" ht="12">
      <c r="A646" s="24">
        <v>19</v>
      </c>
      <c r="B646" s="4" t="s">
        <v>284</v>
      </c>
      <c r="D646" s="24">
        <v>19</v>
      </c>
      <c r="E646" s="20"/>
      <c r="F646" s="162"/>
      <c r="G646" s="163"/>
      <c r="H646" s="162"/>
      <c r="I646" s="163"/>
      <c r="J646" s="428"/>
      <c r="K646" s="162"/>
      <c r="L646" s="163"/>
    </row>
    <row r="647" spans="1:12" ht="12">
      <c r="A647" s="24">
        <v>20</v>
      </c>
      <c r="B647" s="4"/>
      <c r="D647" s="24">
        <v>20</v>
      </c>
      <c r="E647" s="20"/>
      <c r="F647" s="162"/>
      <c r="G647" s="163"/>
      <c r="H647" s="162"/>
      <c r="I647" s="163"/>
      <c r="J647" s="428"/>
      <c r="K647" s="162"/>
      <c r="L647" s="163"/>
    </row>
    <row r="648" spans="1:12" ht="12">
      <c r="A648" s="24">
        <v>21</v>
      </c>
      <c r="B648" s="4"/>
      <c r="D648" s="24">
        <v>21</v>
      </c>
      <c r="E648" s="20"/>
      <c r="F648" s="162"/>
      <c r="G648" s="163"/>
      <c r="H648" s="162"/>
      <c r="I648" s="163"/>
      <c r="J648" s="428"/>
      <c r="K648" s="162"/>
      <c r="L648" s="163"/>
    </row>
    <row r="649" spans="1:12" ht="12">
      <c r="A649" s="24">
        <v>22</v>
      </c>
      <c r="B649" s="4"/>
      <c r="D649" s="24">
        <v>22</v>
      </c>
      <c r="E649" s="20"/>
      <c r="F649" s="162"/>
      <c r="G649" s="163"/>
      <c r="H649" s="162"/>
      <c r="I649" s="163"/>
      <c r="J649" s="428"/>
      <c r="K649" s="162"/>
      <c r="L649" s="163"/>
    </row>
    <row r="650" spans="1:12" ht="12">
      <c r="A650" s="24">
        <v>23</v>
      </c>
      <c r="B650" s="4"/>
      <c r="D650" s="24">
        <v>23</v>
      </c>
      <c r="E650" s="20"/>
      <c r="F650" s="162"/>
      <c r="G650" s="163"/>
      <c r="H650" s="162"/>
      <c r="I650" s="163"/>
      <c r="J650" s="428"/>
      <c r="K650" s="162"/>
      <c r="L650" s="163"/>
    </row>
    <row r="651" spans="1:12" ht="12">
      <c r="A651" s="24">
        <v>24</v>
      </c>
      <c r="B651" s="4"/>
      <c r="D651" s="24">
        <v>24</v>
      </c>
      <c r="E651" s="20"/>
      <c r="F651" s="181"/>
      <c r="G651" s="158"/>
      <c r="H651" s="181"/>
      <c r="I651" s="158"/>
      <c r="J651" s="20"/>
      <c r="K651" s="181"/>
      <c r="L651" s="158"/>
    </row>
    <row r="652" spans="4:12" ht="12">
      <c r="D652" s="21"/>
      <c r="E652" s="252" t="s">
        <v>1</v>
      </c>
      <c r="F652" s="415"/>
      <c r="G652" s="252"/>
      <c r="H652" s="252" t="s">
        <v>1</v>
      </c>
      <c r="I652" s="18" t="s">
        <v>1</v>
      </c>
      <c r="J652" s="252" t="s">
        <v>1</v>
      </c>
      <c r="K652" s="252" t="s">
        <v>1</v>
      </c>
      <c r="L652" s="18" t="s">
        <v>1</v>
      </c>
    </row>
    <row r="653" spans="1:12" ht="12">
      <c r="A653" s="24">
        <v>25</v>
      </c>
      <c r="B653" s="4" t="s">
        <v>474</v>
      </c>
      <c r="D653" s="24">
        <v>25</v>
      </c>
      <c r="F653" s="166">
        <f>SUM(F638:F651)</f>
        <v>68.25</v>
      </c>
      <c r="G653" s="159">
        <f>SUM(G638:G651)</f>
        <v>10105774</v>
      </c>
      <c r="H653" s="166">
        <f>SUM(H638:H651)</f>
        <v>68.91</v>
      </c>
      <c r="I653" s="159">
        <f>SUM(I638:I651)</f>
        <v>9955265</v>
      </c>
      <c r="J653" s="25"/>
      <c r="K653" s="166">
        <f>SUM(K638:K651)</f>
        <v>65.93</v>
      </c>
      <c r="L653" s="159">
        <f>SUM(L638:L651)</f>
        <v>10128626</v>
      </c>
    </row>
    <row r="654" spans="4:12" ht="12">
      <c r="D654" s="21"/>
      <c r="E654" s="252" t="s">
        <v>1</v>
      </c>
      <c r="F654" s="252"/>
      <c r="G654" s="252"/>
      <c r="H654" s="15"/>
      <c r="I654" s="18"/>
      <c r="J654" s="252"/>
      <c r="K654" s="15"/>
      <c r="L654" s="18"/>
    </row>
    <row r="655" ht="12">
      <c r="A655" s="4"/>
    </row>
    <row r="656" ht="12"/>
    <row r="657" spans="1:12" s="394" customFormat="1" ht="12">
      <c r="A657" s="32" t="str">
        <f>$A$31</f>
        <v>Institution No.: GFC  </v>
      </c>
      <c r="D657" s="398"/>
      <c r="H657" s="399"/>
      <c r="I657" s="400"/>
      <c r="K657" s="399"/>
      <c r="L657" s="31" t="s">
        <v>294</v>
      </c>
    </row>
    <row r="658" spans="1:12" s="394" customFormat="1" ht="12">
      <c r="A658" s="468" t="s">
        <v>295</v>
      </c>
      <c r="B658" s="468"/>
      <c r="C658" s="468"/>
      <c r="D658" s="468"/>
      <c r="E658" s="468"/>
      <c r="F658" s="468"/>
      <c r="G658" s="468"/>
      <c r="H658" s="468"/>
      <c r="I658" s="468"/>
      <c r="J658" s="468"/>
      <c r="K658" s="468"/>
      <c r="L658" s="468"/>
    </row>
    <row r="659" spans="1:12" ht="12">
      <c r="A659" s="32" t="str">
        <f>A623</f>
        <v>NAME:  University of Colorado -  Colorado Springs</v>
      </c>
      <c r="E659" s="419"/>
      <c r="F659" s="419"/>
      <c r="G659" s="419"/>
      <c r="H659" s="412"/>
      <c r="I659" s="413"/>
      <c r="K659" s="6"/>
      <c r="L659" s="34" t="str">
        <f>$L$2</f>
        <v>Date: 10/1/2010</v>
      </c>
    </row>
    <row r="660" spans="1:12" ht="12">
      <c r="A660" s="14" t="s">
        <v>1</v>
      </c>
      <c r="B660" s="14" t="s">
        <v>1</v>
      </c>
      <c r="C660" s="14" t="s">
        <v>1</v>
      </c>
      <c r="D660" s="14" t="s">
        <v>1</v>
      </c>
      <c r="E660" s="14" t="s">
        <v>1</v>
      </c>
      <c r="F660" s="14"/>
      <c r="G660" s="14"/>
      <c r="H660" s="15" t="s">
        <v>1</v>
      </c>
      <c r="I660" s="18" t="s">
        <v>1</v>
      </c>
      <c r="J660" s="14" t="s">
        <v>1</v>
      </c>
      <c r="K660" s="15" t="s">
        <v>1</v>
      </c>
      <c r="L660" s="18" t="s">
        <v>1</v>
      </c>
    </row>
    <row r="661" spans="1:12" ht="12">
      <c r="A661" s="35" t="s">
        <v>2</v>
      </c>
      <c r="D661" s="35" t="s">
        <v>2</v>
      </c>
      <c r="E661" s="1"/>
      <c r="F661" s="2"/>
      <c r="G661" s="3" t="s">
        <v>62</v>
      </c>
      <c r="H661" s="2"/>
      <c r="I661" s="3" t="s">
        <v>65</v>
      </c>
      <c r="J661" s="1"/>
      <c r="K661" s="2"/>
      <c r="L661" s="3" t="s">
        <v>70</v>
      </c>
    </row>
    <row r="662" spans="1:12" ht="12">
      <c r="A662" s="35" t="s">
        <v>4</v>
      </c>
      <c r="B662" s="36" t="s">
        <v>18</v>
      </c>
      <c r="D662" s="35" t="s">
        <v>4</v>
      </c>
      <c r="E662" s="1"/>
      <c r="F662" s="2" t="s">
        <v>6</v>
      </c>
      <c r="G662" s="3" t="s">
        <v>7</v>
      </c>
      <c r="H662" s="2" t="s">
        <v>6</v>
      </c>
      <c r="I662" s="3" t="s">
        <v>7</v>
      </c>
      <c r="J662" s="1"/>
      <c r="K662" s="2" t="s">
        <v>6</v>
      </c>
      <c r="L662" s="3" t="s">
        <v>8</v>
      </c>
    </row>
    <row r="663" spans="1:12" ht="12">
      <c r="A663" s="14" t="s">
        <v>1</v>
      </c>
      <c r="B663" s="14" t="s">
        <v>1</v>
      </c>
      <c r="C663" s="14" t="s">
        <v>1</v>
      </c>
      <c r="D663" s="14" t="s">
        <v>1</v>
      </c>
      <c r="E663" s="14" t="s">
        <v>1</v>
      </c>
      <c r="F663" s="14"/>
      <c r="G663" s="14"/>
      <c r="H663" s="15"/>
      <c r="I663" s="18"/>
      <c r="J663" s="14"/>
      <c r="K663" s="15"/>
      <c r="L663" s="18"/>
    </row>
    <row r="664" spans="1:12" ht="12">
      <c r="A664" s="24">
        <v>1</v>
      </c>
      <c r="B664" s="4" t="s">
        <v>276</v>
      </c>
      <c r="D664" s="24">
        <v>1</v>
      </c>
      <c r="E664" s="20"/>
      <c r="F664" s="162">
        <v>6.27</v>
      </c>
      <c r="G664" s="163">
        <v>483226</v>
      </c>
      <c r="H664" s="162">
        <v>5.75</v>
      </c>
      <c r="I664" s="163">
        <f>560459+200</f>
        <v>560659</v>
      </c>
      <c r="J664" s="428"/>
      <c r="K664" s="182">
        <v>5.75</v>
      </c>
      <c r="L664" s="163">
        <v>463970</v>
      </c>
    </row>
    <row r="665" spans="1:12" ht="12">
      <c r="A665" s="24">
        <v>2</v>
      </c>
      <c r="B665" s="4" t="s">
        <v>268</v>
      </c>
      <c r="D665" s="24">
        <v>2</v>
      </c>
      <c r="E665" s="20"/>
      <c r="F665" s="162"/>
      <c r="G665" s="163">
        <v>104238</v>
      </c>
      <c r="H665" s="162"/>
      <c r="I665" s="163">
        <v>135970</v>
      </c>
      <c r="J665" s="428"/>
      <c r="K665" s="182"/>
      <c r="L665" s="163">
        <v>92791</v>
      </c>
    </row>
    <row r="666" spans="1:12" ht="12">
      <c r="A666" s="24">
        <v>3</v>
      </c>
      <c r="D666" s="24">
        <v>3</v>
      </c>
      <c r="E666" s="20"/>
      <c r="F666" s="162"/>
      <c r="G666" s="163"/>
      <c r="H666" s="162"/>
      <c r="I666" s="163"/>
      <c r="J666" s="428"/>
      <c r="K666" s="182"/>
      <c r="L666" s="163"/>
    </row>
    <row r="667" spans="1:12" ht="12">
      <c r="A667" s="24">
        <v>4</v>
      </c>
      <c r="B667" s="4" t="s">
        <v>270</v>
      </c>
      <c r="D667" s="24">
        <v>4</v>
      </c>
      <c r="E667" s="20"/>
      <c r="F667" s="162">
        <f>SUM(F664:F666)</f>
        <v>6.27</v>
      </c>
      <c r="G667" s="163">
        <f>SUM(G664:G666)</f>
        <v>587464</v>
      </c>
      <c r="H667" s="162">
        <f>SUM(H664:H666)</f>
        <v>5.75</v>
      </c>
      <c r="I667" s="163">
        <f>SUM(I664:I666)</f>
        <v>696629</v>
      </c>
      <c r="J667" s="25"/>
      <c r="K667" s="182">
        <f>SUM(K664:K666)</f>
        <v>5.75</v>
      </c>
      <c r="L667" s="163">
        <f>SUM(L664:L666)</f>
        <v>556761</v>
      </c>
    </row>
    <row r="668" spans="1:12" ht="12">
      <c r="A668" s="24">
        <v>5</v>
      </c>
      <c r="D668" s="24">
        <v>5</v>
      </c>
      <c r="E668" s="20"/>
      <c r="F668" s="162"/>
      <c r="G668" s="163"/>
      <c r="H668" s="162"/>
      <c r="I668" s="163"/>
      <c r="J668" s="25"/>
      <c r="K668" s="182"/>
      <c r="L668" s="163"/>
    </row>
    <row r="669" spans="1:12" ht="12">
      <c r="A669" s="24">
        <v>6</v>
      </c>
      <c r="D669" s="24">
        <v>6</v>
      </c>
      <c r="E669" s="20"/>
      <c r="F669" s="162"/>
      <c r="G669" s="163"/>
      <c r="H669" s="162"/>
      <c r="I669" s="163"/>
      <c r="J669" s="25"/>
      <c r="K669" s="182"/>
      <c r="L669" s="163"/>
    </row>
    <row r="670" spans="1:12" ht="12">
      <c r="A670" s="24">
        <v>7</v>
      </c>
      <c r="B670" s="4" t="s">
        <v>253</v>
      </c>
      <c r="D670" s="24">
        <v>7</v>
      </c>
      <c r="E670" s="20"/>
      <c r="F670" s="162">
        <v>58.59</v>
      </c>
      <c r="G670" s="163">
        <v>1873292</v>
      </c>
      <c r="H670" s="162">
        <v>58.75</v>
      </c>
      <c r="I670" s="163">
        <v>2026149</v>
      </c>
      <c r="J670" s="428"/>
      <c r="K670" s="182">
        <v>56.75</v>
      </c>
      <c r="L670" s="163">
        <v>2116004</v>
      </c>
    </row>
    <row r="671" spans="1:12" ht="12">
      <c r="A671" s="24">
        <v>8</v>
      </c>
      <c r="B671" s="4" t="s">
        <v>254</v>
      </c>
      <c r="D671" s="24">
        <v>8</v>
      </c>
      <c r="E671" s="20"/>
      <c r="F671" s="162"/>
      <c r="G671" s="163">
        <v>532380</v>
      </c>
      <c r="H671" s="162"/>
      <c r="I671" s="163">
        <v>647411</v>
      </c>
      <c r="J671" s="428"/>
      <c r="K671" s="182"/>
      <c r="L671" s="163">
        <v>551561</v>
      </c>
    </row>
    <row r="672" spans="1:12" ht="12">
      <c r="A672" s="24">
        <v>9</v>
      </c>
      <c r="B672" s="4" t="s">
        <v>255</v>
      </c>
      <c r="D672" s="24">
        <v>9</v>
      </c>
      <c r="E672" s="20"/>
      <c r="F672" s="162">
        <f>SUM(F670:F671)</f>
        <v>58.59</v>
      </c>
      <c r="G672" s="163">
        <f>SUM(G670:G671)</f>
        <v>2405672</v>
      </c>
      <c r="H672" s="162">
        <f>SUM(H670:H671)</f>
        <v>58.75</v>
      </c>
      <c r="I672" s="163">
        <f>SUM(I670:I671)</f>
        <v>2673560</v>
      </c>
      <c r="J672" s="25"/>
      <c r="K672" s="182">
        <f>SUM(K670:K671)</f>
        <v>56.75</v>
      </c>
      <c r="L672" s="163">
        <f>SUM(L670:L671)</f>
        <v>2667565</v>
      </c>
    </row>
    <row r="673" spans="1:12" ht="12">
      <c r="A673" s="24">
        <v>10</v>
      </c>
      <c r="D673" s="24">
        <v>10</v>
      </c>
      <c r="E673" s="20"/>
      <c r="F673" s="162"/>
      <c r="G673" s="163"/>
      <c r="H673" s="162"/>
      <c r="I673" s="163"/>
      <c r="J673" s="25"/>
      <c r="K673" s="182"/>
      <c r="L673" s="163"/>
    </row>
    <row r="674" spans="1:12" ht="12">
      <c r="A674" s="24">
        <v>11</v>
      </c>
      <c r="B674" s="4" t="s">
        <v>256</v>
      </c>
      <c r="D674" s="24">
        <v>11</v>
      </c>
      <c r="F674" s="166">
        <f>SUM(F672,F667)</f>
        <v>64.86</v>
      </c>
      <c r="G674" s="159">
        <f>SUM(G672,G667)</f>
        <v>2993136</v>
      </c>
      <c r="H674" s="166">
        <f>SUM(H672,H667)</f>
        <v>64.5</v>
      </c>
      <c r="I674" s="159">
        <f>SUM(I672,I667)</f>
        <v>3370189</v>
      </c>
      <c r="J674" s="25"/>
      <c r="K674" s="183">
        <f>SUM(K672,K667)</f>
        <v>62.5</v>
      </c>
      <c r="L674" s="159">
        <f>SUM(L672,L667)</f>
        <v>3224326</v>
      </c>
    </row>
    <row r="675" spans="1:12" ht="12">
      <c r="A675" s="24">
        <v>12</v>
      </c>
      <c r="D675" s="24">
        <v>12</v>
      </c>
      <c r="F675" s="166"/>
      <c r="G675" s="159"/>
      <c r="H675" s="166"/>
      <c r="I675" s="159"/>
      <c r="J675" s="25"/>
      <c r="K675" s="183"/>
      <c r="L675" s="159"/>
    </row>
    <row r="676" spans="1:12" ht="12">
      <c r="A676" s="24">
        <v>13</v>
      </c>
      <c r="B676" s="4" t="s">
        <v>277</v>
      </c>
      <c r="D676" s="24">
        <v>13</v>
      </c>
      <c r="E676" s="20"/>
      <c r="F676" s="162"/>
      <c r="G676" s="163">
        <v>166519</v>
      </c>
      <c r="H676" s="162"/>
      <c r="I676" s="163">
        <v>159474</v>
      </c>
      <c r="J676" s="428"/>
      <c r="K676" s="182"/>
      <c r="L676" s="163">
        <f>167226+11192</f>
        <v>178418</v>
      </c>
    </row>
    <row r="677" spans="1:12" ht="12">
      <c r="A677" s="24">
        <v>14</v>
      </c>
      <c r="B677" s="4" t="s">
        <v>296</v>
      </c>
      <c r="D677" s="24">
        <v>14</v>
      </c>
      <c r="E677" s="20"/>
      <c r="F677" s="162"/>
      <c r="G677" s="163"/>
      <c r="H677" s="162"/>
      <c r="I677" s="163"/>
      <c r="J677" s="428"/>
      <c r="K677" s="182"/>
      <c r="L677" s="163"/>
    </row>
    <row r="678" spans="1:12" ht="12">
      <c r="A678" s="24">
        <v>15</v>
      </c>
      <c r="B678" s="4" t="s">
        <v>258</v>
      </c>
      <c r="D678" s="24">
        <v>15</v>
      </c>
      <c r="E678" s="20"/>
      <c r="F678" s="162"/>
      <c r="G678" s="163">
        <v>6645</v>
      </c>
      <c r="H678" s="162"/>
      <c r="I678" s="163">
        <v>1692</v>
      </c>
      <c r="J678" s="428"/>
      <c r="K678" s="182"/>
      <c r="L678" s="163">
        <v>5037</v>
      </c>
    </row>
    <row r="679" spans="1:12" ht="12">
      <c r="A679" s="24">
        <v>16</v>
      </c>
      <c r="B679" s="4" t="s">
        <v>297</v>
      </c>
      <c r="D679" s="24">
        <v>16</v>
      </c>
      <c r="E679" s="20"/>
      <c r="F679" s="162"/>
      <c r="G679" s="163">
        <v>1308488</v>
      </c>
      <c r="H679" s="162"/>
      <c r="I679" s="163">
        <v>1388361</v>
      </c>
      <c r="J679" s="428"/>
      <c r="K679" s="182"/>
      <c r="L679" s="163">
        <v>2239067</v>
      </c>
    </row>
    <row r="680" spans="1:12" ht="12">
      <c r="A680" s="24">
        <v>17</v>
      </c>
      <c r="B680" s="4" t="s">
        <v>259</v>
      </c>
      <c r="D680" s="24">
        <v>17</v>
      </c>
      <c r="E680" s="20"/>
      <c r="F680" s="162"/>
      <c r="G680" s="163">
        <v>1221252</v>
      </c>
      <c r="H680" s="162"/>
      <c r="I680" s="163">
        <f>355+1636176-72045-77667</f>
        <v>1486819</v>
      </c>
      <c r="J680" s="428"/>
      <c r="K680" s="182"/>
      <c r="L680" s="163">
        <f>1347654-53530-87417</f>
        <v>1206707</v>
      </c>
    </row>
    <row r="681" spans="1:12" ht="12">
      <c r="A681" s="24">
        <v>18</v>
      </c>
      <c r="B681" s="4" t="s">
        <v>278</v>
      </c>
      <c r="D681" s="24">
        <v>18</v>
      </c>
      <c r="E681" s="20"/>
      <c r="F681" s="162"/>
      <c r="G681" s="163"/>
      <c r="H681" s="162"/>
      <c r="I681" s="163"/>
      <c r="J681" s="428"/>
      <c r="K681" s="182"/>
      <c r="L681" s="163"/>
    </row>
    <row r="682" spans="1:12" ht="12">
      <c r="A682" s="24">
        <v>19</v>
      </c>
      <c r="B682" s="4" t="s">
        <v>284</v>
      </c>
      <c r="D682" s="24">
        <v>19</v>
      </c>
      <c r="E682" s="20"/>
      <c r="F682" s="162"/>
      <c r="G682" s="163"/>
      <c r="H682" s="162"/>
      <c r="I682" s="163"/>
      <c r="J682" s="428"/>
      <c r="K682" s="182"/>
      <c r="L682" s="163"/>
    </row>
    <row r="683" spans="1:12" ht="12">
      <c r="A683" s="24">
        <v>20</v>
      </c>
      <c r="B683" s="4"/>
      <c r="D683" s="24">
        <v>20</v>
      </c>
      <c r="E683" s="20"/>
      <c r="F683" s="162"/>
      <c r="G683" s="163"/>
      <c r="H683" s="162"/>
      <c r="I683" s="163"/>
      <c r="J683" s="428"/>
      <c r="K683" s="182"/>
      <c r="L683" s="163"/>
    </row>
    <row r="684" spans="1:12" ht="12">
      <c r="A684" s="24">
        <v>21</v>
      </c>
      <c r="B684" s="4"/>
      <c r="D684" s="24">
        <v>21</v>
      </c>
      <c r="E684" s="20"/>
      <c r="F684" s="162"/>
      <c r="G684" s="163"/>
      <c r="H684" s="162"/>
      <c r="I684" s="163"/>
      <c r="J684" s="428"/>
      <c r="K684" s="182"/>
      <c r="L684" s="163"/>
    </row>
    <row r="685" spans="1:12" ht="12">
      <c r="A685" s="24">
        <v>22</v>
      </c>
      <c r="B685" s="4"/>
      <c r="D685" s="24">
        <v>22</v>
      </c>
      <c r="E685" s="20"/>
      <c r="F685" s="162"/>
      <c r="G685" s="163"/>
      <c r="H685" s="162"/>
      <c r="I685" s="163"/>
      <c r="J685" s="428"/>
      <c r="K685" s="182"/>
      <c r="L685" s="163"/>
    </row>
    <row r="686" spans="1:12" ht="12">
      <c r="A686" s="24">
        <v>23</v>
      </c>
      <c r="B686" s="4"/>
      <c r="D686" s="24">
        <v>23</v>
      </c>
      <c r="E686" s="20"/>
      <c r="F686" s="162"/>
      <c r="G686" s="163"/>
      <c r="H686" s="162"/>
      <c r="I686" s="163"/>
      <c r="J686" s="428"/>
      <c r="K686" s="182"/>
      <c r="L686" s="163"/>
    </row>
    <row r="687" spans="1:12" ht="12">
      <c r="A687" s="24">
        <v>24</v>
      </c>
      <c r="B687" s="4"/>
      <c r="D687" s="24">
        <v>24</v>
      </c>
      <c r="E687" s="20"/>
      <c r="F687" s="181"/>
      <c r="G687" s="158"/>
      <c r="H687" s="181"/>
      <c r="I687" s="158"/>
      <c r="J687" s="20"/>
      <c r="K687" s="184"/>
      <c r="L687" s="158"/>
    </row>
    <row r="688" spans="4:12" ht="12">
      <c r="D688" s="21"/>
      <c r="E688" s="252" t="s">
        <v>1</v>
      </c>
      <c r="F688" s="415"/>
      <c r="G688" s="252"/>
      <c r="H688" s="252" t="s">
        <v>1</v>
      </c>
      <c r="I688" s="18" t="s">
        <v>1</v>
      </c>
      <c r="J688" s="252" t="s">
        <v>1</v>
      </c>
      <c r="K688" s="434" t="s">
        <v>1</v>
      </c>
      <c r="L688" s="18" t="s">
        <v>1</v>
      </c>
    </row>
    <row r="689" spans="1:12" ht="12">
      <c r="A689" s="24">
        <v>25</v>
      </c>
      <c r="B689" s="435" t="s">
        <v>475</v>
      </c>
      <c r="D689" s="24">
        <v>25</v>
      </c>
      <c r="F689" s="166">
        <f>SUM(F674:F687)</f>
        <v>64.86</v>
      </c>
      <c r="G689" s="159">
        <f>SUM(G674:G687)</f>
        <v>5696040</v>
      </c>
      <c r="H689" s="166">
        <f>SUM(H674:H687)</f>
        <v>64.5</v>
      </c>
      <c r="I689" s="159">
        <f>SUM(I674:I687)</f>
        <v>6406535</v>
      </c>
      <c r="J689" s="1"/>
      <c r="K689" s="183">
        <f>SUM(K674:K687)</f>
        <v>62.5</v>
      </c>
      <c r="L689" s="159">
        <f>SUM(L674:L687)</f>
        <v>6853555</v>
      </c>
    </row>
    <row r="690" spans="3:12" ht="12">
      <c r="C690" s="313"/>
      <c r="E690" s="252" t="s">
        <v>1</v>
      </c>
      <c r="F690" s="252"/>
      <c r="G690" s="252"/>
      <c r="H690" s="15"/>
      <c r="I690" s="18"/>
      <c r="J690" s="252"/>
      <c r="K690" s="434"/>
      <c r="L690" s="18"/>
    </row>
    <row r="691" spans="3:12" ht="12">
      <c r="C691" s="313"/>
      <c r="E691" s="252"/>
      <c r="F691" s="252"/>
      <c r="G691" s="27"/>
      <c r="H691" s="27"/>
      <c r="I691" s="27"/>
      <c r="J691" s="27"/>
      <c r="K691" s="27"/>
      <c r="L691" s="27"/>
    </row>
    <row r="692" spans="1:12" ht="12">
      <c r="A692" s="24">
        <v>26</v>
      </c>
      <c r="B692" s="4" t="s">
        <v>302</v>
      </c>
      <c r="D692" s="24">
        <v>26</v>
      </c>
      <c r="E692" s="20"/>
      <c r="F692" s="20"/>
      <c r="G692" s="163">
        <v>884400</v>
      </c>
      <c r="H692" s="27"/>
      <c r="I692" s="122">
        <v>849172</v>
      </c>
      <c r="J692" s="25"/>
      <c r="K692" s="27"/>
      <c r="L692" s="436">
        <v>977320.25</v>
      </c>
    </row>
    <row r="693" spans="1:12" ht="12">
      <c r="A693" s="24">
        <v>27</v>
      </c>
      <c r="B693" s="4" t="s">
        <v>303</v>
      </c>
      <c r="D693" s="24">
        <v>27</v>
      </c>
      <c r="E693" s="20"/>
      <c r="F693" s="20"/>
      <c r="G693" s="125"/>
      <c r="H693" s="125"/>
      <c r="I693" s="125"/>
      <c r="J693" s="125"/>
      <c r="K693" s="125"/>
      <c r="L693" s="125"/>
    </row>
    <row r="694" spans="1:12" ht="12">
      <c r="A694" s="24">
        <v>28</v>
      </c>
      <c r="B694" s="4" t="s">
        <v>476</v>
      </c>
      <c r="D694" s="24">
        <v>28</v>
      </c>
      <c r="E694" s="20"/>
      <c r="F694" s="20"/>
      <c r="G694" s="125"/>
      <c r="H694" s="125"/>
      <c r="I694" s="125"/>
      <c r="J694" s="125"/>
      <c r="K694" s="125"/>
      <c r="L694" s="125"/>
    </row>
    <row r="695" spans="1:12" ht="12">
      <c r="A695" s="24">
        <v>29</v>
      </c>
      <c r="B695" s="20" t="s">
        <v>477</v>
      </c>
      <c r="D695" s="24">
        <v>29</v>
      </c>
      <c r="E695" s="20"/>
      <c r="F695" s="20"/>
      <c r="G695" s="125">
        <v>4303</v>
      </c>
      <c r="H695" s="125"/>
      <c r="I695" s="125"/>
      <c r="J695" s="125"/>
      <c r="K695" s="125"/>
      <c r="L695" s="125"/>
    </row>
    <row r="696" spans="1:12" ht="12">
      <c r="A696" s="24">
        <v>30</v>
      </c>
      <c r="B696" s="5" t="s">
        <v>478</v>
      </c>
      <c r="D696" s="24">
        <v>30</v>
      </c>
      <c r="E696" s="20"/>
      <c r="F696" s="20"/>
      <c r="G696" s="125">
        <v>8139</v>
      </c>
      <c r="H696" s="125"/>
      <c r="I696" s="125"/>
      <c r="J696" s="125"/>
      <c r="K696" s="125"/>
      <c r="L696" s="125"/>
    </row>
    <row r="697" spans="1:12" ht="12">
      <c r="A697" s="24">
        <v>31</v>
      </c>
      <c r="B697" s="20" t="s">
        <v>479</v>
      </c>
      <c r="D697" s="24">
        <v>31</v>
      </c>
      <c r="E697" s="20"/>
      <c r="F697" s="20"/>
      <c r="G697" s="125">
        <v>442</v>
      </c>
      <c r="H697" s="125"/>
      <c r="I697" s="125"/>
      <c r="J697" s="125"/>
      <c r="K697" s="125"/>
      <c r="L697" s="125"/>
    </row>
    <row r="698" spans="1:12" ht="12">
      <c r="A698" s="24">
        <v>32</v>
      </c>
      <c r="B698" s="20" t="s">
        <v>480</v>
      </c>
      <c r="D698" s="24">
        <v>32</v>
      </c>
      <c r="G698" s="122">
        <v>3993</v>
      </c>
      <c r="H698" s="125"/>
      <c r="I698" s="122"/>
      <c r="J698" s="125"/>
      <c r="K698" s="125"/>
      <c r="L698" s="122"/>
    </row>
    <row r="699" spans="1:12" ht="12">
      <c r="A699" s="24"/>
      <c r="B699" s="20" t="s">
        <v>481</v>
      </c>
      <c r="D699" s="24"/>
      <c r="G699" s="122"/>
      <c r="H699" s="125"/>
      <c r="I699" s="122">
        <v>939</v>
      </c>
      <c r="J699" s="125"/>
      <c r="K699" s="125"/>
      <c r="L699" s="122"/>
    </row>
    <row r="700" spans="1:12" ht="12">
      <c r="A700" s="24">
        <v>33</v>
      </c>
      <c r="B700" s="20" t="s">
        <v>482</v>
      </c>
      <c r="D700" s="24">
        <v>33</v>
      </c>
      <c r="G700" s="122"/>
      <c r="H700" s="125"/>
      <c r="I700" s="122">
        <v>25165</v>
      </c>
      <c r="J700" s="125"/>
      <c r="K700" s="125"/>
      <c r="L700" s="122"/>
    </row>
    <row r="701" spans="1:12" ht="12">
      <c r="A701" s="24">
        <v>34</v>
      </c>
      <c r="B701" s="20" t="s">
        <v>483</v>
      </c>
      <c r="D701" s="24">
        <v>34</v>
      </c>
      <c r="G701" s="122"/>
      <c r="H701" s="125"/>
      <c r="I701" s="122">
        <v>154472</v>
      </c>
      <c r="J701" s="125"/>
      <c r="K701" s="125"/>
      <c r="L701" s="122"/>
    </row>
    <row r="702" spans="1:12" ht="12">
      <c r="A702" s="24">
        <v>35</v>
      </c>
      <c r="B702" s="20" t="s">
        <v>484</v>
      </c>
      <c r="D702" s="24">
        <v>35</v>
      </c>
      <c r="G702" s="122"/>
      <c r="H702" s="125"/>
      <c r="I702" s="122">
        <v>2272</v>
      </c>
      <c r="J702" s="125"/>
      <c r="K702" s="125"/>
      <c r="L702" s="122"/>
    </row>
    <row r="703" spans="1:12" ht="12">
      <c r="A703" s="24"/>
      <c r="B703" s="20" t="s">
        <v>485</v>
      </c>
      <c r="D703" s="24"/>
      <c r="G703" s="122"/>
      <c r="H703" s="125"/>
      <c r="I703" s="122"/>
      <c r="J703" s="125"/>
      <c r="K703" s="125"/>
      <c r="L703" s="122">
        <v>52105</v>
      </c>
    </row>
    <row r="704" spans="1:12" ht="12">
      <c r="A704" s="24"/>
      <c r="B704" s="20" t="s">
        <v>486</v>
      </c>
      <c r="D704" s="24"/>
      <c r="G704" s="122"/>
      <c r="H704" s="125"/>
      <c r="I704" s="122"/>
      <c r="J704" s="125"/>
      <c r="K704" s="125"/>
      <c r="L704" s="122">
        <v>2595</v>
      </c>
    </row>
    <row r="705" spans="1:12" ht="12">
      <c r="A705" s="24"/>
      <c r="B705" s="20" t="s">
        <v>487</v>
      </c>
      <c r="D705" s="24"/>
      <c r="G705" s="122"/>
      <c r="H705" s="125"/>
      <c r="I705" s="122"/>
      <c r="J705" s="125"/>
      <c r="K705" s="125"/>
      <c r="L705" s="122">
        <v>137157</v>
      </c>
    </row>
    <row r="706" spans="1:12" ht="12">
      <c r="A706" s="24">
        <v>36</v>
      </c>
      <c r="B706" s="4" t="s">
        <v>488</v>
      </c>
      <c r="D706" s="24">
        <v>36</v>
      </c>
      <c r="E706" s="20"/>
      <c r="F706" s="20"/>
      <c r="G706" s="125"/>
      <c r="H706" s="125"/>
      <c r="I706" s="125"/>
      <c r="J706" s="125"/>
      <c r="K706" s="125"/>
      <c r="L706" s="125"/>
    </row>
    <row r="707" spans="1:12" ht="12">
      <c r="A707" s="24">
        <f aca="true" t="shared" si="16" ref="A707:A712">(A706+1)</f>
        <v>37</v>
      </c>
      <c r="B707" s="5" t="s">
        <v>489</v>
      </c>
      <c r="D707" s="24">
        <f aca="true" t="shared" si="17" ref="D707:D712">(D706+1)</f>
        <v>37</v>
      </c>
      <c r="E707" s="20"/>
      <c r="F707" s="20"/>
      <c r="G707" s="125">
        <v>52105</v>
      </c>
      <c r="H707" s="125"/>
      <c r="I707" s="125"/>
      <c r="J707" s="125"/>
      <c r="K707" s="125"/>
      <c r="L707" s="125"/>
    </row>
    <row r="708" spans="1:12" ht="12">
      <c r="A708" s="24">
        <f t="shared" si="16"/>
        <v>38</v>
      </c>
      <c r="B708" s="20" t="s">
        <v>485</v>
      </c>
      <c r="D708" s="24">
        <f t="shared" si="17"/>
        <v>38</v>
      </c>
      <c r="E708" s="20"/>
      <c r="F708" s="20"/>
      <c r="G708" s="125"/>
      <c r="H708" s="125"/>
      <c r="I708" s="125">
        <v>52105</v>
      </c>
      <c r="J708" s="125"/>
      <c r="K708" s="125"/>
      <c r="L708" s="125"/>
    </row>
    <row r="709" spans="1:12" ht="12">
      <c r="A709" s="24">
        <f t="shared" si="16"/>
        <v>39</v>
      </c>
      <c r="B709" s="20" t="s">
        <v>486</v>
      </c>
      <c r="D709" s="24">
        <f t="shared" si="17"/>
        <v>39</v>
      </c>
      <c r="E709" s="20"/>
      <c r="F709" s="20"/>
      <c r="G709" s="125"/>
      <c r="H709" s="125"/>
      <c r="I709" s="125">
        <v>2594.75</v>
      </c>
      <c r="J709" s="125"/>
      <c r="K709" s="125"/>
      <c r="L709" s="125"/>
    </row>
    <row r="710" spans="1:12" ht="12">
      <c r="A710" s="24">
        <f t="shared" si="16"/>
        <v>40</v>
      </c>
      <c r="B710" s="4" t="s">
        <v>490</v>
      </c>
      <c r="D710" s="24">
        <f t="shared" si="17"/>
        <v>40</v>
      </c>
      <c r="G710" s="122">
        <f>(SUM(G692:G698))-(SUM(G706:G709))</f>
        <v>849172</v>
      </c>
      <c r="H710" s="119"/>
      <c r="I710" s="122">
        <f>(SUM(I692:I702))-(SUM(I706:I709))</f>
        <v>977320.25</v>
      </c>
      <c r="J710" s="119"/>
      <c r="K710" s="119"/>
      <c r="L710" s="122">
        <f>(SUM(L692:L705))-(SUM(L706:L709))</f>
        <v>1169177.25</v>
      </c>
    </row>
    <row r="711" spans="1:12" ht="12">
      <c r="A711" s="24">
        <f t="shared" si="16"/>
        <v>41</v>
      </c>
      <c r="D711" s="24">
        <f t="shared" si="17"/>
        <v>41</v>
      </c>
      <c r="E711" s="20"/>
      <c r="F711" s="20"/>
      <c r="G711" s="125"/>
      <c r="H711" s="119"/>
      <c r="I711" s="125"/>
      <c r="J711" s="119"/>
      <c r="K711" s="119"/>
      <c r="L711" s="125"/>
    </row>
    <row r="712" spans="1:12" ht="12">
      <c r="A712" s="24">
        <f t="shared" si="16"/>
        <v>42</v>
      </c>
      <c r="B712" s="4" t="s">
        <v>312</v>
      </c>
      <c r="D712" s="24">
        <f t="shared" si="17"/>
        <v>42</v>
      </c>
      <c r="E712" s="20"/>
      <c r="F712" s="20"/>
      <c r="G712" s="125">
        <v>94.41</v>
      </c>
      <c r="H712" s="125"/>
      <c r="I712" s="125">
        <v>108.09</v>
      </c>
      <c r="J712" s="125"/>
      <c r="K712" s="125"/>
      <c r="L712" s="125">
        <v>108.04</v>
      </c>
    </row>
    <row r="713" spans="7:12" ht="12">
      <c r="G713" s="122"/>
      <c r="H713" s="119"/>
      <c r="I713" s="122"/>
      <c r="J713" s="119"/>
      <c r="K713" s="119"/>
      <c r="L713" s="119"/>
    </row>
    <row r="714" ht="12">
      <c r="A714" s="4"/>
    </row>
    <row r="715" spans="1:12" s="394" customFormat="1" ht="12">
      <c r="A715" s="32" t="str">
        <f>$A$31</f>
        <v>Institution No.: GFC  </v>
      </c>
      <c r="D715" s="398"/>
      <c r="H715" s="399"/>
      <c r="I715" s="400"/>
      <c r="K715" s="399"/>
      <c r="L715" s="31" t="s">
        <v>313</v>
      </c>
    </row>
    <row r="716" spans="1:12" s="394" customFormat="1" ht="12">
      <c r="A716" s="468" t="s">
        <v>491</v>
      </c>
      <c r="B716" s="468"/>
      <c r="C716" s="468"/>
      <c r="D716" s="468"/>
      <c r="E716" s="468"/>
      <c r="F716" s="468"/>
      <c r="G716" s="468"/>
      <c r="H716" s="468"/>
      <c r="I716" s="468"/>
      <c r="J716" s="468"/>
      <c r="K716" s="468"/>
      <c r="L716" s="468"/>
    </row>
    <row r="717" spans="1:12" ht="12">
      <c r="A717" s="32" t="str">
        <f>A659</f>
        <v>NAME:  University of Colorado -  Colorado Springs</v>
      </c>
      <c r="E717" s="419"/>
      <c r="F717" s="419"/>
      <c r="G717" s="419"/>
      <c r="H717" s="412"/>
      <c r="I717" s="413"/>
      <c r="K717" s="6"/>
      <c r="L717" s="34" t="str">
        <f>$L$2</f>
        <v>Date: 10/1/2010</v>
      </c>
    </row>
    <row r="718" spans="1:12" ht="12">
      <c r="A718" s="14" t="s">
        <v>1</v>
      </c>
      <c r="B718" s="14" t="s">
        <v>1</v>
      </c>
      <c r="C718" s="14" t="s">
        <v>1</v>
      </c>
      <c r="D718" s="14" t="s">
        <v>1</v>
      </c>
      <c r="E718" s="14" t="s">
        <v>1</v>
      </c>
      <c r="F718" s="14"/>
      <c r="G718" s="14"/>
      <c r="H718" s="15" t="s">
        <v>1</v>
      </c>
      <c r="I718" s="18" t="s">
        <v>1</v>
      </c>
      <c r="J718" s="14" t="s">
        <v>1</v>
      </c>
      <c r="K718" s="15" t="s">
        <v>1</v>
      </c>
      <c r="L718" s="18" t="s">
        <v>1</v>
      </c>
    </row>
    <row r="719" spans="1:12" ht="12">
      <c r="A719" s="35" t="s">
        <v>2</v>
      </c>
      <c r="D719" s="35" t="s">
        <v>2</v>
      </c>
      <c r="E719" s="1"/>
      <c r="F719" s="2"/>
      <c r="G719" s="3" t="s">
        <v>62</v>
      </c>
      <c r="H719" s="2"/>
      <c r="I719" s="3" t="s">
        <v>65</v>
      </c>
      <c r="J719" s="1"/>
      <c r="K719" s="2"/>
      <c r="L719" s="3" t="s">
        <v>70</v>
      </c>
    </row>
    <row r="720" spans="1:12" ht="12">
      <c r="A720" s="35" t="s">
        <v>4</v>
      </c>
      <c r="B720" s="36" t="s">
        <v>18</v>
      </c>
      <c r="D720" s="35" t="s">
        <v>4</v>
      </c>
      <c r="G720" s="3" t="s">
        <v>7</v>
      </c>
      <c r="H720" s="6"/>
      <c r="I720" s="3" t="s">
        <v>7</v>
      </c>
      <c r="K720" s="6"/>
      <c r="L720" s="3" t="s">
        <v>8</v>
      </c>
    </row>
    <row r="721" spans="1:12" ht="12">
      <c r="A721" s="14" t="s">
        <v>1</v>
      </c>
      <c r="B721" s="14" t="s">
        <v>1</v>
      </c>
      <c r="C721" s="14" t="s">
        <v>1</v>
      </c>
      <c r="D721" s="14" t="s">
        <v>1</v>
      </c>
      <c r="E721" s="14" t="s">
        <v>1</v>
      </c>
      <c r="F721" s="14"/>
      <c r="G721" s="14"/>
      <c r="H721" s="15" t="s">
        <v>1</v>
      </c>
      <c r="I721" s="18" t="s">
        <v>1</v>
      </c>
      <c r="J721" s="14" t="s">
        <v>1</v>
      </c>
      <c r="K721" s="15" t="s">
        <v>1</v>
      </c>
      <c r="L721" s="18" t="s">
        <v>1</v>
      </c>
    </row>
    <row r="722" spans="1:12" ht="12">
      <c r="A722" s="24">
        <v>1</v>
      </c>
      <c r="B722" s="4" t="s">
        <v>492</v>
      </c>
      <c r="D722" s="24">
        <v>1</v>
      </c>
      <c r="E722" s="20"/>
      <c r="F722" s="20"/>
      <c r="G722" s="163">
        <v>3802638</v>
      </c>
      <c r="H722" s="163"/>
      <c r="I722" s="163">
        <f>14275138+674284-11382639+481401</f>
        <v>4048184</v>
      </c>
      <c r="J722" s="163"/>
      <c r="K722" s="163"/>
      <c r="L722" s="163">
        <f>4067907</f>
        <v>4067907</v>
      </c>
    </row>
    <row r="723" spans="1:12" ht="12">
      <c r="A723" s="24">
        <f aca="true" t="shared" si="18" ref="A723:A740">(A722+1)</f>
        <v>2</v>
      </c>
      <c r="B723" s="20"/>
      <c r="D723" s="24">
        <f aca="true" t="shared" si="19" ref="D723:D740">(D722+1)</f>
        <v>2</v>
      </c>
      <c r="E723" s="20"/>
      <c r="F723" s="20"/>
      <c r="G723" s="20"/>
      <c r="H723" s="22"/>
      <c r="I723" s="23"/>
      <c r="J723" s="20"/>
      <c r="K723" s="22"/>
      <c r="L723" s="23"/>
    </row>
    <row r="724" spans="1:12" ht="12">
      <c r="A724" s="24">
        <f t="shared" si="18"/>
        <v>3</v>
      </c>
      <c r="B724" s="20"/>
      <c r="D724" s="24">
        <f t="shared" si="19"/>
        <v>3</v>
      </c>
      <c r="E724" s="20"/>
      <c r="F724" s="20"/>
      <c r="G724" s="20"/>
      <c r="H724" s="22"/>
      <c r="I724" s="23"/>
      <c r="J724" s="20"/>
      <c r="K724" s="22"/>
      <c r="L724" s="23"/>
    </row>
    <row r="725" spans="1:12" ht="12">
      <c r="A725" s="24">
        <f t="shared" si="18"/>
        <v>4</v>
      </c>
      <c r="B725" s="20"/>
      <c r="D725" s="24">
        <f t="shared" si="19"/>
        <v>4</v>
      </c>
      <c r="E725" s="20"/>
      <c r="F725" s="20"/>
      <c r="G725" s="20"/>
      <c r="H725" s="22"/>
      <c r="I725" s="23"/>
      <c r="J725" s="20"/>
      <c r="K725" s="22"/>
      <c r="L725" s="23"/>
    </row>
    <row r="726" spans="1:12" ht="12">
      <c r="A726" s="24">
        <f t="shared" si="18"/>
        <v>5</v>
      </c>
      <c r="B726" s="20"/>
      <c r="D726" s="24">
        <f t="shared" si="19"/>
        <v>5</v>
      </c>
      <c r="E726" s="20"/>
      <c r="F726" s="20"/>
      <c r="G726" s="20"/>
      <c r="H726" s="22"/>
      <c r="I726" s="23"/>
      <c r="J726" s="20"/>
      <c r="K726" s="22"/>
      <c r="L726" s="23"/>
    </row>
    <row r="727" spans="1:12" ht="12">
      <c r="A727" s="24">
        <f t="shared" si="18"/>
        <v>6</v>
      </c>
      <c r="B727" s="20"/>
      <c r="D727" s="24">
        <f t="shared" si="19"/>
        <v>6</v>
      </c>
      <c r="E727" s="20"/>
      <c r="F727" s="20"/>
      <c r="G727" s="20"/>
      <c r="H727" s="22"/>
      <c r="I727" s="23"/>
      <c r="J727" s="20"/>
      <c r="K727" s="22"/>
      <c r="L727" s="23"/>
    </row>
    <row r="728" spans="1:12" ht="12">
      <c r="A728" s="24">
        <f t="shared" si="18"/>
        <v>7</v>
      </c>
      <c r="B728" s="20"/>
      <c r="D728" s="24">
        <f t="shared" si="19"/>
        <v>7</v>
      </c>
      <c r="E728" s="20"/>
      <c r="F728" s="20"/>
      <c r="G728" s="20"/>
      <c r="H728" s="22"/>
      <c r="I728" s="23"/>
      <c r="J728" s="20"/>
      <c r="K728" s="22"/>
      <c r="L728" s="23"/>
    </row>
    <row r="729" spans="1:12" ht="12">
      <c r="A729" s="24">
        <f t="shared" si="18"/>
        <v>8</v>
      </c>
      <c r="B729" s="20"/>
      <c r="D729" s="24">
        <f t="shared" si="19"/>
        <v>8</v>
      </c>
      <c r="E729" s="20"/>
      <c r="F729" s="20"/>
      <c r="G729" s="20"/>
      <c r="H729" s="22"/>
      <c r="I729" s="23"/>
      <c r="J729" s="20"/>
      <c r="K729" s="22"/>
      <c r="L729" s="23"/>
    </row>
    <row r="730" spans="1:12" ht="12">
      <c r="A730" s="24">
        <f t="shared" si="18"/>
        <v>9</v>
      </c>
      <c r="B730" s="20"/>
      <c r="D730" s="24">
        <f t="shared" si="19"/>
        <v>9</v>
      </c>
      <c r="E730" s="20"/>
      <c r="F730" s="20"/>
      <c r="G730" s="20"/>
      <c r="H730" s="22"/>
      <c r="I730" s="23"/>
      <c r="J730" s="20"/>
      <c r="K730" s="22"/>
      <c r="L730" s="23"/>
    </row>
    <row r="731" spans="1:12" ht="12">
      <c r="A731" s="24">
        <f t="shared" si="18"/>
        <v>10</v>
      </c>
      <c r="B731" s="20"/>
      <c r="D731" s="24">
        <f t="shared" si="19"/>
        <v>10</v>
      </c>
      <c r="E731" s="20"/>
      <c r="F731" s="20"/>
      <c r="G731" s="20"/>
      <c r="H731" s="22"/>
      <c r="I731" s="23"/>
      <c r="J731" s="20"/>
      <c r="K731" s="22"/>
      <c r="L731" s="23"/>
    </row>
    <row r="732" spans="1:12" ht="12">
      <c r="A732" s="24">
        <f t="shared" si="18"/>
        <v>11</v>
      </c>
      <c r="B732" s="20"/>
      <c r="D732" s="24">
        <f t="shared" si="19"/>
        <v>11</v>
      </c>
      <c r="H732" s="22"/>
      <c r="I732" s="23"/>
      <c r="J732" s="20"/>
      <c r="K732" s="22"/>
      <c r="L732" s="23"/>
    </row>
    <row r="733" spans="1:12" ht="12">
      <c r="A733" s="24">
        <f t="shared" si="18"/>
        <v>12</v>
      </c>
      <c r="B733" s="20"/>
      <c r="D733" s="24">
        <f t="shared" si="19"/>
        <v>12</v>
      </c>
      <c r="H733" s="22"/>
      <c r="I733" s="23"/>
      <c r="J733" s="20"/>
      <c r="K733" s="22"/>
      <c r="L733" s="23"/>
    </row>
    <row r="734" spans="1:12" ht="12">
      <c r="A734" s="24">
        <f t="shared" si="18"/>
        <v>13</v>
      </c>
      <c r="B734" s="20"/>
      <c r="D734" s="24">
        <f t="shared" si="19"/>
        <v>13</v>
      </c>
      <c r="E734" s="20"/>
      <c r="F734" s="20"/>
      <c r="G734" s="20"/>
      <c r="H734" s="22"/>
      <c r="I734" s="23"/>
      <c r="J734" s="20"/>
      <c r="K734" s="22"/>
      <c r="L734" s="23"/>
    </row>
    <row r="735" spans="1:12" ht="12">
      <c r="A735" s="24">
        <f t="shared" si="18"/>
        <v>14</v>
      </c>
      <c r="B735" s="20"/>
      <c r="D735" s="24">
        <f t="shared" si="19"/>
        <v>14</v>
      </c>
      <c r="E735" s="20"/>
      <c r="F735" s="20"/>
      <c r="G735" s="20"/>
      <c r="H735" s="22"/>
      <c r="I735" s="23"/>
      <c r="J735" s="20"/>
      <c r="K735" s="22"/>
      <c r="L735" s="23"/>
    </row>
    <row r="736" spans="1:12" ht="12">
      <c r="A736" s="24">
        <f t="shared" si="18"/>
        <v>15</v>
      </c>
      <c r="B736" s="20"/>
      <c r="D736" s="24">
        <f t="shared" si="19"/>
        <v>15</v>
      </c>
      <c r="E736" s="20"/>
      <c r="F736" s="20"/>
      <c r="G736" s="20"/>
      <c r="H736" s="22"/>
      <c r="I736" s="23"/>
      <c r="J736" s="20"/>
      <c r="K736" s="22"/>
      <c r="L736" s="23"/>
    </row>
    <row r="737" spans="1:12" ht="12">
      <c r="A737" s="24">
        <f t="shared" si="18"/>
        <v>16</v>
      </c>
      <c r="B737" s="20"/>
      <c r="D737" s="24">
        <f t="shared" si="19"/>
        <v>16</v>
      </c>
      <c r="E737" s="20"/>
      <c r="F737" s="20"/>
      <c r="G737" s="20"/>
      <c r="H737" s="22"/>
      <c r="I737" s="23"/>
      <c r="J737" s="20"/>
      <c r="K737" s="22"/>
      <c r="L737" s="23"/>
    </row>
    <row r="738" spans="1:12" ht="12">
      <c r="A738" s="24">
        <f t="shared" si="18"/>
        <v>17</v>
      </c>
      <c r="B738" s="20"/>
      <c r="D738" s="24">
        <f t="shared" si="19"/>
        <v>17</v>
      </c>
      <c r="E738" s="20"/>
      <c r="F738" s="20"/>
      <c r="G738" s="20"/>
      <c r="H738" s="22"/>
      <c r="I738" s="23"/>
      <c r="J738" s="20"/>
      <c r="K738" s="22"/>
      <c r="L738" s="23"/>
    </row>
    <row r="739" spans="1:12" ht="12">
      <c r="A739" s="24">
        <f t="shared" si="18"/>
        <v>18</v>
      </c>
      <c r="B739" s="20"/>
      <c r="D739" s="24">
        <f t="shared" si="19"/>
        <v>18</v>
      </c>
      <c r="E739" s="20"/>
      <c r="F739" s="20"/>
      <c r="G739" s="20"/>
      <c r="H739" s="22"/>
      <c r="I739" s="23"/>
      <c r="J739" s="20"/>
      <c r="K739" s="22"/>
      <c r="L739" s="23"/>
    </row>
    <row r="740" spans="1:12" ht="12">
      <c r="A740" s="24">
        <f t="shared" si="18"/>
        <v>19</v>
      </c>
      <c r="B740" s="20"/>
      <c r="D740" s="24">
        <f t="shared" si="19"/>
        <v>19</v>
      </c>
      <c r="E740" s="20"/>
      <c r="F740" s="20"/>
      <c r="G740" s="20"/>
      <c r="H740" s="22"/>
      <c r="I740" s="23"/>
      <c r="J740" s="20"/>
      <c r="K740" s="22"/>
      <c r="L740" s="23"/>
    </row>
    <row r="741" spans="1:12" ht="12">
      <c r="A741" s="24">
        <v>20</v>
      </c>
      <c r="D741" s="24">
        <v>20</v>
      </c>
      <c r="E741" s="252"/>
      <c r="F741" s="252"/>
      <c r="G741" s="252"/>
      <c r="H741" s="15"/>
      <c r="I741" s="18"/>
      <c r="J741" s="252"/>
      <c r="K741" s="15"/>
      <c r="L741" s="18"/>
    </row>
    <row r="742" spans="1:12" ht="12">
      <c r="A742" s="24">
        <v>21</v>
      </c>
      <c r="D742" s="24">
        <v>21</v>
      </c>
      <c r="E742" s="252"/>
      <c r="F742" s="252"/>
      <c r="G742" s="252"/>
      <c r="H742" s="15"/>
      <c r="I742" s="19"/>
      <c r="J742" s="252"/>
      <c r="K742" s="15"/>
      <c r="L742" s="19"/>
    </row>
    <row r="743" spans="1:12" ht="12">
      <c r="A743" s="24">
        <v>22</v>
      </c>
      <c r="D743" s="24">
        <v>22</v>
      </c>
      <c r="H743" s="6"/>
      <c r="I743" s="19"/>
      <c r="K743" s="6"/>
      <c r="L743" s="19"/>
    </row>
    <row r="744" spans="1:12" ht="12">
      <c r="A744" s="24">
        <v>23</v>
      </c>
      <c r="C744" s="313"/>
      <c r="D744" s="24">
        <v>23</v>
      </c>
      <c r="I744" s="19"/>
      <c r="L744" s="19"/>
    </row>
    <row r="745" spans="1:12" ht="12">
      <c r="A745" s="24">
        <v>24</v>
      </c>
      <c r="C745" s="313"/>
      <c r="D745" s="24">
        <v>24</v>
      </c>
      <c r="I745" s="19"/>
      <c r="L745" s="19"/>
    </row>
    <row r="746" spans="5:12" ht="12">
      <c r="E746" s="252" t="s">
        <v>1</v>
      </c>
      <c r="F746" s="252"/>
      <c r="G746" s="252"/>
      <c r="H746" s="15" t="s">
        <v>1</v>
      </c>
      <c r="I746" s="18"/>
      <c r="J746" s="252"/>
      <c r="K746" s="15"/>
      <c r="L746" s="18"/>
    </row>
    <row r="747" spans="1:12" ht="12">
      <c r="A747" s="24">
        <v>25</v>
      </c>
      <c r="B747" s="4" t="s">
        <v>493</v>
      </c>
      <c r="D747" s="24">
        <v>25</v>
      </c>
      <c r="G747" s="159">
        <f>SUM(G722:G745)</f>
        <v>3802638</v>
      </c>
      <c r="H747" s="160"/>
      <c r="I747" s="159">
        <f>SUM(I722:I745)</f>
        <v>4048184</v>
      </c>
      <c r="J747" s="159"/>
      <c r="K747" s="160"/>
      <c r="L747" s="159">
        <f>SUM(L722:L745)</f>
        <v>4067907</v>
      </c>
    </row>
    <row r="748" spans="3:12" ht="12">
      <c r="C748" s="313"/>
      <c r="E748" s="252" t="s">
        <v>1</v>
      </c>
      <c r="F748" s="252"/>
      <c r="G748" s="252"/>
      <c r="H748" s="15" t="s">
        <v>1</v>
      </c>
      <c r="I748" s="18"/>
      <c r="J748" s="252"/>
      <c r="K748" s="15"/>
      <c r="L748" s="18"/>
    </row>
    <row r="749" spans="5:12" ht="12">
      <c r="E749" s="252"/>
      <c r="F749" s="252"/>
      <c r="G749" s="252"/>
      <c r="H749" s="15"/>
      <c r="I749" s="18"/>
      <c r="J749" s="252"/>
      <c r="K749" s="15"/>
      <c r="L749" s="18"/>
    </row>
    <row r="750" spans="8:12" ht="12">
      <c r="H750" s="6"/>
      <c r="I750" s="19"/>
      <c r="K750" s="6"/>
      <c r="L750" s="19"/>
    </row>
    <row r="751" spans="4:12" s="423" customFormat="1" ht="12">
      <c r="D751" s="423">
        <v>26</v>
      </c>
      <c r="H751" s="437"/>
      <c r="I751" s="438"/>
      <c r="K751" s="437"/>
      <c r="L751" s="438"/>
    </row>
    <row r="752" ht="12">
      <c r="A752" s="4"/>
    </row>
    <row r="753" ht="12"/>
    <row r="754" spans="1:12" s="394" customFormat="1" ht="12">
      <c r="A754" s="32" t="str">
        <f>$A$31</f>
        <v>Institution No.: GFC  </v>
      </c>
      <c r="D754" s="398"/>
      <c r="H754" s="399"/>
      <c r="I754" s="400"/>
      <c r="K754" s="399"/>
      <c r="L754" s="31" t="s">
        <v>318</v>
      </c>
    </row>
    <row r="755" spans="1:12" s="394" customFormat="1" ht="12">
      <c r="A755" s="468" t="s">
        <v>319</v>
      </c>
      <c r="B755" s="468"/>
      <c r="C755" s="468"/>
      <c r="D755" s="468"/>
      <c r="E755" s="468"/>
      <c r="F755" s="468"/>
      <c r="G755" s="468"/>
      <c r="H755" s="468"/>
      <c r="I755" s="468"/>
      <c r="J755" s="468"/>
      <c r="K755" s="468"/>
      <c r="L755" s="468"/>
    </row>
    <row r="756" spans="1:12" ht="12">
      <c r="A756" s="32" t="str">
        <f>A717</f>
        <v>NAME:  University of Colorado -  Colorado Springs</v>
      </c>
      <c r="H756" s="439"/>
      <c r="I756" s="19"/>
      <c r="K756" s="6"/>
      <c r="L756" s="34" t="str">
        <f>$L$2</f>
        <v>Date: 10/1/2010</v>
      </c>
    </row>
    <row r="757" spans="1:12" ht="12">
      <c r="A757" s="14" t="s">
        <v>1</v>
      </c>
      <c r="B757" s="14" t="s">
        <v>1</v>
      </c>
      <c r="C757" s="14" t="s">
        <v>1</v>
      </c>
      <c r="D757" s="14" t="s">
        <v>1</v>
      </c>
      <c r="E757" s="14" t="s">
        <v>1</v>
      </c>
      <c r="F757" s="14"/>
      <c r="G757" s="14"/>
      <c r="H757" s="15" t="s">
        <v>1</v>
      </c>
      <c r="I757" s="18" t="s">
        <v>1</v>
      </c>
      <c r="J757" s="14" t="s">
        <v>1</v>
      </c>
      <c r="K757" s="15" t="s">
        <v>1</v>
      </c>
      <c r="L757" s="18" t="s">
        <v>1</v>
      </c>
    </row>
    <row r="758" spans="1:12" ht="12">
      <c r="A758" s="35" t="s">
        <v>2</v>
      </c>
      <c r="D758" s="35" t="s">
        <v>2</v>
      </c>
      <c r="E758" s="1"/>
      <c r="F758" s="2"/>
      <c r="G758" s="3" t="s">
        <v>62</v>
      </c>
      <c r="H758" s="2"/>
      <c r="I758" s="3" t="s">
        <v>65</v>
      </c>
      <c r="J758" s="1"/>
      <c r="K758" s="2"/>
      <c r="L758" s="3" t="s">
        <v>70</v>
      </c>
    </row>
    <row r="759" spans="1:12" ht="12">
      <c r="A759" s="35" t="s">
        <v>4</v>
      </c>
      <c r="B759" s="36" t="s">
        <v>18</v>
      </c>
      <c r="D759" s="35" t="s">
        <v>4</v>
      </c>
      <c r="E759" s="1"/>
      <c r="F759" s="2" t="s">
        <v>19</v>
      </c>
      <c r="G759" s="3" t="s">
        <v>7</v>
      </c>
      <c r="H759" s="2" t="s">
        <v>19</v>
      </c>
      <c r="I759" s="3" t="s">
        <v>7</v>
      </c>
      <c r="J759" s="1"/>
      <c r="K759" s="2" t="s">
        <v>19</v>
      </c>
      <c r="L759" s="3" t="s">
        <v>8</v>
      </c>
    </row>
    <row r="760" spans="1:12" ht="12">
      <c r="A760" s="14" t="s">
        <v>1</v>
      </c>
      <c r="B760" s="14" t="s">
        <v>1</v>
      </c>
      <c r="C760" s="14" t="s">
        <v>1</v>
      </c>
      <c r="D760" s="14" t="s">
        <v>1</v>
      </c>
      <c r="E760" s="14" t="s">
        <v>1</v>
      </c>
      <c r="F760" s="14"/>
      <c r="G760" s="14"/>
      <c r="H760" s="15" t="s">
        <v>1</v>
      </c>
      <c r="I760" s="18" t="s">
        <v>1</v>
      </c>
      <c r="J760" s="14" t="s">
        <v>1</v>
      </c>
      <c r="K760" s="15" t="s">
        <v>1</v>
      </c>
      <c r="L760" s="18" t="s">
        <v>1</v>
      </c>
    </row>
    <row r="761" spans="1:12" ht="12">
      <c r="A761" s="24">
        <v>1</v>
      </c>
      <c r="B761" s="4" t="s">
        <v>276</v>
      </c>
      <c r="D761" s="24">
        <v>1</v>
      </c>
      <c r="E761" s="20"/>
      <c r="F761" s="164"/>
      <c r="G761" s="163" t="s">
        <v>0</v>
      </c>
      <c r="H761" s="164" t="s">
        <v>0</v>
      </c>
      <c r="I761" s="163" t="s">
        <v>0</v>
      </c>
      <c r="J761" s="428"/>
      <c r="K761" s="164" t="s">
        <v>0</v>
      </c>
      <c r="L761" s="163" t="s">
        <v>0</v>
      </c>
    </row>
    <row r="762" spans="1:12" ht="12">
      <c r="A762" s="24">
        <v>2</v>
      </c>
      <c r="B762" s="4" t="s">
        <v>268</v>
      </c>
      <c r="D762" s="24">
        <v>2</v>
      </c>
      <c r="E762" s="20"/>
      <c r="F762" s="164"/>
      <c r="G762" s="163" t="s">
        <v>0</v>
      </c>
      <c r="H762" s="164"/>
      <c r="I762" s="163" t="s">
        <v>0</v>
      </c>
      <c r="J762" s="428"/>
      <c r="K762" s="164"/>
      <c r="L762" s="163" t="s">
        <v>0</v>
      </c>
    </row>
    <row r="763" spans="1:12" ht="12">
      <c r="A763" s="24">
        <v>3</v>
      </c>
      <c r="D763" s="24">
        <v>3</v>
      </c>
      <c r="E763" s="20"/>
      <c r="F763" s="164"/>
      <c r="G763" s="163"/>
      <c r="H763" s="164"/>
      <c r="I763" s="163"/>
      <c r="J763" s="428"/>
      <c r="K763" s="164"/>
      <c r="L763" s="163"/>
    </row>
    <row r="764" spans="1:12" ht="12">
      <c r="A764" s="24">
        <v>4</v>
      </c>
      <c r="B764" s="4" t="s">
        <v>270</v>
      </c>
      <c r="D764" s="24">
        <v>4</v>
      </c>
      <c r="E764" s="20"/>
      <c r="F764" s="163">
        <f>SUM(F761:F763)</f>
        <v>0</v>
      </c>
      <c r="G764" s="163">
        <f>SUM(G761:G763)</f>
        <v>0</v>
      </c>
      <c r="H764" s="163">
        <f>SUM(H761:H763)</f>
        <v>0</v>
      </c>
      <c r="I764" s="163">
        <f>SUM(I761:I763)</f>
        <v>0</v>
      </c>
      <c r="J764" s="25"/>
      <c r="K764" s="163">
        <f>SUM(K761:K763)</f>
        <v>0</v>
      </c>
      <c r="L764" s="163">
        <f>SUM(L761:L763)</f>
        <v>0</v>
      </c>
    </row>
    <row r="765" spans="1:12" ht="12">
      <c r="A765" s="24">
        <v>5</v>
      </c>
      <c r="D765" s="24">
        <v>5</v>
      </c>
      <c r="E765" s="20"/>
      <c r="F765" s="164"/>
      <c r="G765" s="163"/>
      <c r="H765" s="164"/>
      <c r="I765" s="163"/>
      <c r="J765" s="25"/>
      <c r="K765" s="164"/>
      <c r="L765" s="163"/>
    </row>
    <row r="766" spans="1:12" ht="12">
      <c r="A766" s="24">
        <v>6</v>
      </c>
      <c r="D766" s="24">
        <v>6</v>
      </c>
      <c r="E766" s="20"/>
      <c r="F766" s="164"/>
      <c r="G766" s="163"/>
      <c r="H766" s="164"/>
      <c r="I766" s="163"/>
      <c r="J766" s="25"/>
      <c r="K766" s="164"/>
      <c r="L766" s="163"/>
    </row>
    <row r="767" spans="1:12" ht="12">
      <c r="A767" s="24">
        <v>7</v>
      </c>
      <c r="B767" s="4" t="s">
        <v>253</v>
      </c>
      <c r="D767" s="24">
        <v>7</v>
      </c>
      <c r="E767" s="20"/>
      <c r="F767" s="164"/>
      <c r="G767" s="163"/>
      <c r="H767" s="164"/>
      <c r="I767" s="163"/>
      <c r="J767" s="428"/>
      <c r="K767" s="164"/>
      <c r="L767" s="163"/>
    </row>
    <row r="768" spans="1:12" ht="12">
      <c r="A768" s="24">
        <v>8</v>
      </c>
      <c r="B768" s="4" t="s">
        <v>254</v>
      </c>
      <c r="D768" s="24">
        <v>8</v>
      </c>
      <c r="E768" s="20"/>
      <c r="F768" s="164"/>
      <c r="G768" s="163"/>
      <c r="H768" s="164"/>
      <c r="I768" s="163"/>
      <c r="J768" s="428"/>
      <c r="K768" s="164"/>
      <c r="L768" s="163"/>
    </row>
    <row r="769" spans="1:12" ht="12">
      <c r="A769" s="24">
        <v>9</v>
      </c>
      <c r="B769" s="4" t="s">
        <v>255</v>
      </c>
      <c r="D769" s="24">
        <v>9</v>
      </c>
      <c r="E769" s="20"/>
      <c r="F769" s="163">
        <f>SUM(F767:F768)</f>
        <v>0</v>
      </c>
      <c r="G769" s="163">
        <f>SUM(G767:G768)</f>
        <v>0</v>
      </c>
      <c r="H769" s="163">
        <f>SUM(H767:H768)</f>
        <v>0</v>
      </c>
      <c r="I769" s="163">
        <f>SUM(I767:I768)</f>
        <v>0</v>
      </c>
      <c r="J769" s="25"/>
      <c r="K769" s="163">
        <f>SUM(K767:K768)</f>
        <v>0</v>
      </c>
      <c r="L769" s="163">
        <f>SUM(L767:L768)</f>
        <v>0</v>
      </c>
    </row>
    <row r="770" spans="1:12" ht="12">
      <c r="A770" s="24">
        <v>10</v>
      </c>
      <c r="D770" s="24">
        <v>10</v>
      </c>
      <c r="E770" s="20"/>
      <c r="F770" s="164"/>
      <c r="G770" s="163"/>
      <c r="H770" s="164"/>
      <c r="I770" s="163"/>
      <c r="J770" s="25"/>
      <c r="K770" s="164"/>
      <c r="L770" s="163"/>
    </row>
    <row r="771" spans="1:12" ht="12">
      <c r="A771" s="24">
        <v>11</v>
      </c>
      <c r="B771" s="4" t="s">
        <v>256</v>
      </c>
      <c r="D771" s="24">
        <v>11</v>
      </c>
      <c r="E771" s="20"/>
      <c r="F771" s="163">
        <f>SUM(F769,F764)</f>
        <v>0</v>
      </c>
      <c r="G771" s="163">
        <f>SUM(G769,G764)</f>
        <v>0</v>
      </c>
      <c r="H771" s="163">
        <f>SUM(H769,H764)</f>
        <v>0</v>
      </c>
      <c r="I771" s="163">
        <f>SUM(I769,I764)</f>
        <v>0</v>
      </c>
      <c r="J771" s="25"/>
      <c r="K771" s="163">
        <f>SUM(K769,K764)</f>
        <v>0</v>
      </c>
      <c r="L771" s="163">
        <f>SUM(L769,L764)</f>
        <v>0</v>
      </c>
    </row>
    <row r="772" spans="1:12" ht="12">
      <c r="A772" s="24">
        <v>12</v>
      </c>
      <c r="D772" s="24">
        <v>12</v>
      </c>
      <c r="E772" s="20"/>
      <c r="F772" s="164"/>
      <c r="G772" s="163"/>
      <c r="H772" s="164"/>
      <c r="I772" s="163"/>
      <c r="J772" s="25"/>
      <c r="K772" s="164"/>
      <c r="L772" s="163"/>
    </row>
    <row r="773" spans="1:12" ht="12">
      <c r="A773" s="24">
        <v>13</v>
      </c>
      <c r="B773" s="4" t="s">
        <v>277</v>
      </c>
      <c r="D773" s="24">
        <v>13</v>
      </c>
      <c r="E773" s="20"/>
      <c r="F773" s="164"/>
      <c r="G773" s="163"/>
      <c r="H773" s="164"/>
      <c r="I773" s="163"/>
      <c r="J773" s="428"/>
      <c r="K773" s="164"/>
      <c r="L773" s="163"/>
    </row>
    <row r="774" spans="1:12" ht="12">
      <c r="A774" s="24">
        <v>14</v>
      </c>
      <c r="D774" s="24">
        <v>14</v>
      </c>
      <c r="E774" s="20"/>
      <c r="F774" s="164"/>
      <c r="G774" s="163"/>
      <c r="H774" s="164"/>
      <c r="I774" s="163"/>
      <c r="J774" s="428"/>
      <c r="K774" s="164"/>
      <c r="L774" s="163"/>
    </row>
    <row r="775" spans="1:12" ht="12">
      <c r="A775" s="24">
        <v>15</v>
      </c>
      <c r="B775" s="4" t="s">
        <v>258</v>
      </c>
      <c r="D775" s="24">
        <v>15</v>
      </c>
      <c r="E775" s="20"/>
      <c r="F775" s="164"/>
      <c r="G775" s="163"/>
      <c r="H775" s="164"/>
      <c r="I775" s="163"/>
      <c r="J775" s="428"/>
      <c r="K775" s="164"/>
      <c r="L775" s="163"/>
    </row>
    <row r="776" spans="1:12" ht="12">
      <c r="A776" s="24">
        <v>16</v>
      </c>
      <c r="B776" s="4" t="s">
        <v>259</v>
      </c>
      <c r="D776" s="24">
        <v>16</v>
      </c>
      <c r="E776" s="20"/>
      <c r="F776" s="164"/>
      <c r="G776" s="163">
        <v>17562</v>
      </c>
      <c r="H776" s="164"/>
      <c r="I776" s="163">
        <v>-1148</v>
      </c>
      <c r="J776" s="428"/>
      <c r="K776" s="164"/>
      <c r="L776" s="163"/>
    </row>
    <row r="777" spans="1:12" ht="12">
      <c r="A777" s="24">
        <v>17</v>
      </c>
      <c r="B777" s="4" t="s">
        <v>278</v>
      </c>
      <c r="D777" s="24">
        <v>17</v>
      </c>
      <c r="E777" s="20"/>
      <c r="F777" s="164"/>
      <c r="G777" s="163"/>
      <c r="H777" s="164"/>
      <c r="I777" s="163"/>
      <c r="J777" s="428"/>
      <c r="K777" s="164"/>
      <c r="L777" s="163"/>
    </row>
    <row r="778" spans="1:12" ht="12">
      <c r="A778" s="24">
        <v>18</v>
      </c>
      <c r="B778" s="4"/>
      <c r="D778" s="24">
        <v>18</v>
      </c>
      <c r="E778" s="20"/>
      <c r="F778" s="164"/>
      <c r="G778" s="163"/>
      <c r="H778" s="164"/>
      <c r="I778" s="163"/>
      <c r="J778" s="428"/>
      <c r="K778" s="164"/>
      <c r="L778" s="163"/>
    </row>
    <row r="779" spans="1:12" ht="12">
      <c r="A779" s="24">
        <v>19</v>
      </c>
      <c r="B779" s="4"/>
      <c r="D779" s="24">
        <v>19</v>
      </c>
      <c r="E779" s="20"/>
      <c r="F779" s="164"/>
      <c r="G779" s="163"/>
      <c r="H779" s="164"/>
      <c r="I779" s="163"/>
      <c r="J779" s="428"/>
      <c r="K779" s="164"/>
      <c r="L779" s="163"/>
    </row>
    <row r="780" spans="1:12" ht="12">
      <c r="A780" s="24">
        <v>20</v>
      </c>
      <c r="B780" s="4"/>
      <c r="D780" s="24">
        <v>20</v>
      </c>
      <c r="E780" s="20"/>
      <c r="F780" s="164"/>
      <c r="G780" s="163"/>
      <c r="H780" s="164"/>
      <c r="I780" s="163"/>
      <c r="J780" s="428"/>
      <c r="K780" s="164"/>
      <c r="L780" s="163"/>
    </row>
    <row r="781" spans="1:12" ht="12">
      <c r="A781" s="24">
        <v>21</v>
      </c>
      <c r="B781" s="4"/>
      <c r="D781" s="24">
        <v>21</v>
      </c>
      <c r="E781" s="20"/>
      <c r="F781" s="164"/>
      <c r="G781" s="163"/>
      <c r="H781" s="164"/>
      <c r="I781" s="163"/>
      <c r="J781" s="428"/>
      <c r="K781" s="164"/>
      <c r="L781" s="163"/>
    </row>
    <row r="782" spans="1:12" ht="12">
      <c r="A782" s="24">
        <v>22</v>
      </c>
      <c r="B782" s="4"/>
      <c r="D782" s="24">
        <v>22</v>
      </c>
      <c r="E782" s="20"/>
      <c r="F782" s="164"/>
      <c r="G782" s="163"/>
      <c r="H782" s="164"/>
      <c r="I782" s="163"/>
      <c r="J782" s="428"/>
      <c r="K782" s="164"/>
      <c r="L782" s="163"/>
    </row>
    <row r="783" spans="1:12" ht="12">
      <c r="A783" s="24">
        <v>23</v>
      </c>
      <c r="B783" s="4"/>
      <c r="D783" s="24">
        <v>23</v>
      </c>
      <c r="E783" s="20"/>
      <c r="F783" s="164"/>
      <c r="G783" s="163"/>
      <c r="H783" s="164"/>
      <c r="I783" s="163"/>
      <c r="J783" s="428"/>
      <c r="K783" s="164"/>
      <c r="L783" s="163"/>
    </row>
    <row r="784" spans="1:12" ht="12">
      <c r="A784" s="24">
        <v>24</v>
      </c>
      <c r="B784" s="4"/>
      <c r="D784" s="24">
        <v>24</v>
      </c>
      <c r="E784" s="20"/>
      <c r="F784" s="131"/>
      <c r="G784" s="158"/>
      <c r="H784" s="131"/>
      <c r="I784" s="158"/>
      <c r="J784" s="20"/>
      <c r="K784" s="131"/>
      <c r="L784" s="158"/>
    </row>
    <row r="785" spans="1:12" ht="12">
      <c r="A785" s="14" t="s">
        <v>1</v>
      </c>
      <c r="B785" s="14" t="s">
        <v>1</v>
      </c>
      <c r="C785" s="14" t="s">
        <v>1</v>
      </c>
      <c r="D785" s="14" t="s">
        <v>1</v>
      </c>
      <c r="E785" s="14" t="s">
        <v>1</v>
      </c>
      <c r="F785" s="14"/>
      <c r="G785" s="14"/>
      <c r="H785" s="15" t="s">
        <v>1</v>
      </c>
      <c r="I785" s="18" t="s">
        <v>1</v>
      </c>
      <c r="J785" s="14" t="s">
        <v>1</v>
      </c>
      <c r="K785" s="15" t="s">
        <v>1</v>
      </c>
      <c r="L785" s="18" t="s">
        <v>1</v>
      </c>
    </row>
    <row r="786" spans="1:12" ht="12">
      <c r="A786" s="24">
        <v>25</v>
      </c>
      <c r="B786" s="4" t="s">
        <v>494</v>
      </c>
      <c r="D786" s="24">
        <v>25</v>
      </c>
      <c r="F786" s="170">
        <f>SUM(F771:F784)</f>
        <v>0</v>
      </c>
      <c r="G786" s="159">
        <f>SUM(G771:G784)</f>
        <v>17562</v>
      </c>
      <c r="H786" s="170">
        <f>SUM(H771:H784)</f>
        <v>0</v>
      </c>
      <c r="I786" s="159">
        <f>SUM(I771:I784)</f>
        <v>-1148</v>
      </c>
      <c r="J786" s="1"/>
      <c r="K786" s="170">
        <f>SUM(K771:K784)</f>
        <v>0</v>
      </c>
      <c r="L786" s="159">
        <f>SUM(L771:L784)</f>
        <v>0</v>
      </c>
    </row>
    <row r="787" spans="4:12" ht="12">
      <c r="D787" s="21"/>
      <c r="E787" s="252" t="s">
        <v>1</v>
      </c>
      <c r="F787" s="252"/>
      <c r="G787" s="252"/>
      <c r="H787" s="15"/>
      <c r="I787" s="18"/>
      <c r="J787" s="252"/>
      <c r="K787" s="15"/>
      <c r="L787" s="18"/>
    </row>
    <row r="788" ht="12"/>
    <row r="789" spans="1:12" ht="12">
      <c r="A789" s="4"/>
      <c r="I789" s="19"/>
      <c r="L789" s="19"/>
    </row>
    <row r="790" spans="1:12" s="394" customFormat="1" ht="12">
      <c r="A790" s="32" t="str">
        <f>$A$31</f>
        <v>Institution No.: GFC  </v>
      </c>
      <c r="D790" s="398"/>
      <c r="H790" s="399"/>
      <c r="I790" s="400"/>
      <c r="K790" s="399"/>
      <c r="L790" s="31" t="s">
        <v>321</v>
      </c>
    </row>
    <row r="791" spans="1:12" s="394" customFormat="1" ht="12">
      <c r="A791" s="469" t="s">
        <v>495</v>
      </c>
      <c r="B791" s="469"/>
      <c r="C791" s="469"/>
      <c r="D791" s="469"/>
      <c r="E791" s="469"/>
      <c r="F791" s="469"/>
      <c r="G791" s="469"/>
      <c r="H791" s="469"/>
      <c r="I791" s="469"/>
      <c r="J791" s="469"/>
      <c r="K791" s="469"/>
      <c r="L791" s="469"/>
    </row>
    <row r="792" spans="1:12" ht="12">
      <c r="A792" s="32" t="str">
        <f>A756</f>
        <v>NAME:  University of Colorado -  Colorado Springs</v>
      </c>
      <c r="I792" s="441"/>
      <c r="K792" s="6"/>
      <c r="L792" s="34" t="str">
        <f>$L$2</f>
        <v>Date: 10/1/2010</v>
      </c>
    </row>
    <row r="793" spans="1:12" ht="12">
      <c r="A793" s="14" t="s">
        <v>1</v>
      </c>
      <c r="B793" s="14" t="s">
        <v>1</v>
      </c>
      <c r="C793" s="14" t="s">
        <v>1</v>
      </c>
      <c r="D793" s="14" t="s">
        <v>1</v>
      </c>
      <c r="E793" s="14" t="s">
        <v>1</v>
      </c>
      <c r="F793" s="14"/>
      <c r="G793" s="14"/>
      <c r="H793" s="15" t="s">
        <v>1</v>
      </c>
      <c r="I793" s="18" t="s">
        <v>1</v>
      </c>
      <c r="J793" s="14" t="s">
        <v>1</v>
      </c>
      <c r="K793" s="15" t="s">
        <v>1</v>
      </c>
      <c r="L793" s="18" t="s">
        <v>1</v>
      </c>
    </row>
    <row r="794" spans="1:12" ht="12">
      <c r="A794" s="35" t="s">
        <v>2</v>
      </c>
      <c r="D794" s="35" t="s">
        <v>2</v>
      </c>
      <c r="E794" s="1"/>
      <c r="F794" s="2"/>
      <c r="G794" s="3" t="s">
        <v>62</v>
      </c>
      <c r="H794" s="2"/>
      <c r="I794" s="3" t="s">
        <v>65</v>
      </c>
      <c r="J794" s="1"/>
      <c r="K794" s="2"/>
      <c r="L794" s="3" t="s">
        <v>70</v>
      </c>
    </row>
    <row r="795" spans="1:12" ht="12">
      <c r="A795" s="35" t="s">
        <v>4</v>
      </c>
      <c r="B795" s="36" t="s">
        <v>18</v>
      </c>
      <c r="D795" s="35" t="s">
        <v>4</v>
      </c>
      <c r="E795" s="1"/>
      <c r="F795" s="1"/>
      <c r="G795" s="3" t="s">
        <v>7</v>
      </c>
      <c r="H795" s="2"/>
      <c r="I795" s="3" t="s">
        <v>7</v>
      </c>
      <c r="J795" s="1"/>
      <c r="K795" s="2"/>
      <c r="L795" s="3" t="s">
        <v>8</v>
      </c>
    </row>
    <row r="796" spans="1:12" ht="12">
      <c r="A796" s="14" t="s">
        <v>1</v>
      </c>
      <c r="B796" s="14" t="s">
        <v>1</v>
      </c>
      <c r="C796" s="14" t="s">
        <v>1</v>
      </c>
      <c r="D796" s="14" t="s">
        <v>1</v>
      </c>
      <c r="E796" s="14" t="s">
        <v>1</v>
      </c>
      <c r="F796" s="14"/>
      <c r="G796" s="14"/>
      <c r="H796" s="15" t="s">
        <v>1</v>
      </c>
      <c r="I796" s="18" t="s">
        <v>1</v>
      </c>
      <c r="J796" s="14" t="s">
        <v>1</v>
      </c>
      <c r="K796" s="15" t="s">
        <v>1</v>
      </c>
      <c r="L796" s="18" t="s">
        <v>1</v>
      </c>
    </row>
    <row r="797" spans="1:12" ht="12">
      <c r="A797" s="359">
        <v>1</v>
      </c>
      <c r="B797" s="5" t="s">
        <v>496</v>
      </c>
      <c r="D797" s="359">
        <v>1</v>
      </c>
      <c r="E797" s="20"/>
      <c r="F797" s="20"/>
      <c r="G797" s="163"/>
      <c r="H797" s="163"/>
      <c r="I797" s="163"/>
      <c r="J797" s="163"/>
      <c r="K797" s="163"/>
      <c r="L797" s="163"/>
    </row>
    <row r="798" spans="1:12" ht="12">
      <c r="A798" s="359">
        <v>2</v>
      </c>
      <c r="B798" s="5" t="s">
        <v>497</v>
      </c>
      <c r="D798" s="359">
        <v>2</v>
      </c>
      <c r="E798" s="20"/>
      <c r="F798" s="20"/>
      <c r="G798" s="163">
        <v>180299</v>
      </c>
      <c r="H798" s="163"/>
      <c r="I798" s="163">
        <v>177537.5</v>
      </c>
      <c r="J798" s="163"/>
      <c r="K798" s="163"/>
      <c r="L798" s="163">
        <v>0</v>
      </c>
    </row>
    <row r="799" spans="1:12" ht="12">
      <c r="A799" s="359">
        <v>3</v>
      </c>
      <c r="B799" s="20" t="s">
        <v>498</v>
      </c>
      <c r="D799" s="359">
        <v>3</v>
      </c>
      <c r="E799" s="20"/>
      <c r="F799" s="20"/>
      <c r="G799" s="163">
        <v>403565</v>
      </c>
      <c r="H799" s="163"/>
      <c r="I799" s="163">
        <v>426550</v>
      </c>
      <c r="J799" s="163"/>
      <c r="K799" s="163"/>
      <c r="L799" s="163">
        <v>443550</v>
      </c>
    </row>
    <row r="800" spans="1:12" ht="12">
      <c r="A800" s="359">
        <v>4</v>
      </c>
      <c r="B800" s="4" t="s">
        <v>499</v>
      </c>
      <c r="D800" s="359">
        <v>4</v>
      </c>
      <c r="E800" s="20"/>
      <c r="F800" s="20"/>
      <c r="G800" s="163">
        <v>105771</v>
      </c>
      <c r="H800" s="163"/>
      <c r="I800" s="163">
        <v>108847</v>
      </c>
      <c r="J800" s="163"/>
      <c r="K800" s="163"/>
      <c r="L800" s="163"/>
    </row>
    <row r="801" spans="1:12" ht="12">
      <c r="A801" s="359">
        <v>5</v>
      </c>
      <c r="B801" s="442" t="s">
        <v>500</v>
      </c>
      <c r="D801" s="359">
        <v>5</v>
      </c>
      <c r="E801" s="20"/>
      <c r="F801" s="20"/>
      <c r="G801" s="163"/>
      <c r="H801" s="163"/>
      <c r="I801" s="163">
        <v>1562509</v>
      </c>
      <c r="J801" s="163"/>
      <c r="K801" s="163"/>
      <c r="L801" s="163">
        <f>1536552</f>
        <v>1536552</v>
      </c>
    </row>
    <row r="802" spans="1:12" ht="12">
      <c r="A802" s="359">
        <v>6</v>
      </c>
      <c r="B802" s="20"/>
      <c r="D802" s="359">
        <v>6</v>
      </c>
      <c r="E802" s="20"/>
      <c r="F802" s="20"/>
      <c r="G802" s="163"/>
      <c r="H802" s="163"/>
      <c r="I802" s="163"/>
      <c r="J802" s="163"/>
      <c r="K802" s="163"/>
      <c r="L802" s="163"/>
    </row>
    <row r="803" spans="1:12" ht="12">
      <c r="A803" s="359">
        <v>7</v>
      </c>
      <c r="B803" s="20"/>
      <c r="D803" s="359">
        <v>7</v>
      </c>
      <c r="E803" s="20"/>
      <c r="F803" s="20"/>
      <c r="G803" s="163"/>
      <c r="H803" s="163"/>
      <c r="I803" s="163"/>
      <c r="J803" s="163"/>
      <c r="K803" s="163"/>
      <c r="L803" s="163"/>
    </row>
    <row r="804" spans="1:12" ht="12">
      <c r="A804" s="359">
        <v>8</v>
      </c>
      <c r="D804" s="359">
        <v>8</v>
      </c>
      <c r="E804" s="20"/>
      <c r="F804" s="20"/>
      <c r="G804" s="163"/>
      <c r="H804" s="163"/>
      <c r="I804" s="163"/>
      <c r="J804" s="163"/>
      <c r="K804" s="163"/>
      <c r="L804" s="163"/>
    </row>
    <row r="805" spans="1:12" ht="12">
      <c r="A805" s="359">
        <v>9</v>
      </c>
      <c r="D805" s="359">
        <v>9</v>
      </c>
      <c r="E805" s="20"/>
      <c r="F805" s="20"/>
      <c r="G805" s="163"/>
      <c r="H805" s="163"/>
      <c r="I805" s="163"/>
      <c r="J805" s="163"/>
      <c r="K805" s="163"/>
      <c r="L805" s="163"/>
    </row>
    <row r="806" spans="1:12" ht="12">
      <c r="A806" s="358"/>
      <c r="D806" s="358"/>
      <c r="E806" s="252" t="s">
        <v>1</v>
      </c>
      <c r="F806" s="252"/>
      <c r="G806" s="432"/>
      <c r="H806" s="432" t="s">
        <v>1</v>
      </c>
      <c r="I806" s="432"/>
      <c r="J806" s="432"/>
      <c r="K806" s="432"/>
      <c r="L806" s="432"/>
    </row>
    <row r="807" spans="1:12" ht="12">
      <c r="A807" s="359">
        <v>10</v>
      </c>
      <c r="B807" s="5" t="s">
        <v>501</v>
      </c>
      <c r="D807" s="359">
        <v>10</v>
      </c>
      <c r="G807" s="159">
        <f>SUM(G797:G805)</f>
        <v>689635</v>
      </c>
      <c r="H807" s="160"/>
      <c r="I807" s="163">
        <f>SUM(I797:I805)</f>
        <v>2275443.5</v>
      </c>
      <c r="J807" s="159"/>
      <c r="K807" s="160"/>
      <c r="L807" s="163">
        <f>SUM(L797:L805)</f>
        <v>1980102</v>
      </c>
    </row>
    <row r="808" spans="1:12" ht="12">
      <c r="A808" s="359"/>
      <c r="D808" s="359"/>
      <c r="E808" s="252" t="s">
        <v>1</v>
      </c>
      <c r="F808" s="252"/>
      <c r="G808" s="432"/>
      <c r="H808" s="432" t="s">
        <v>1</v>
      </c>
      <c r="I808" s="432"/>
      <c r="J808" s="432"/>
      <c r="K808" s="432"/>
      <c r="L808" s="432"/>
    </row>
    <row r="809" spans="1:12" ht="12">
      <c r="A809" s="359">
        <v>11</v>
      </c>
      <c r="B809" s="20"/>
      <c r="D809" s="359">
        <v>11</v>
      </c>
      <c r="E809" s="20"/>
      <c r="F809" s="20"/>
      <c r="G809" s="163"/>
      <c r="H809" s="163"/>
      <c r="I809" s="163"/>
      <c r="J809" s="163"/>
      <c r="K809" s="163"/>
      <c r="L809" s="163"/>
    </row>
    <row r="810" spans="1:12" ht="12">
      <c r="A810" s="359">
        <v>12</v>
      </c>
      <c r="B810" s="4" t="s">
        <v>502</v>
      </c>
      <c r="D810" s="359">
        <v>12</v>
      </c>
      <c r="E810" s="20"/>
      <c r="F810" s="20"/>
      <c r="G810" s="163"/>
      <c r="H810" s="163"/>
      <c r="I810" s="163"/>
      <c r="J810" s="163"/>
      <c r="K810" s="163"/>
      <c r="L810" s="163"/>
    </row>
    <row r="811" spans="1:12" ht="12">
      <c r="A811" s="359">
        <v>13</v>
      </c>
      <c r="B811" s="20" t="s">
        <v>503</v>
      </c>
      <c r="D811" s="359">
        <v>13</v>
      </c>
      <c r="E811" s="20"/>
      <c r="F811" s="20"/>
      <c r="G811" s="163">
        <v>6760897</v>
      </c>
      <c r="H811" s="163"/>
      <c r="I811" s="163">
        <f>-1376537</f>
        <v>-1376537</v>
      </c>
      <c r="J811" s="163"/>
      <c r="K811" s="163"/>
      <c r="L811" s="163">
        <f>-1133798+4266801+3107483+4395145</f>
        <v>10635631</v>
      </c>
    </row>
    <row r="812" spans="1:12" ht="12">
      <c r="A812" s="359">
        <v>14</v>
      </c>
      <c r="B812" s="5" t="s">
        <v>504</v>
      </c>
      <c r="D812" s="359">
        <v>14</v>
      </c>
      <c r="E812" s="20"/>
      <c r="F812" s="20"/>
      <c r="G812" s="163">
        <v>2727719</v>
      </c>
      <c r="H812" s="163"/>
      <c r="I812" s="163">
        <v>4121552</v>
      </c>
      <c r="J812" s="163"/>
      <c r="K812" s="163"/>
      <c r="L812" s="163">
        <f>1085712+92021</f>
        <v>1177733</v>
      </c>
    </row>
    <row r="813" spans="1:12" ht="12">
      <c r="A813" s="359">
        <v>15</v>
      </c>
      <c r="B813" s="5" t="s">
        <v>497</v>
      </c>
      <c r="D813" s="359">
        <v>15</v>
      </c>
      <c r="E813" s="20"/>
      <c r="F813" s="20"/>
      <c r="G813" s="163">
        <v>64727</v>
      </c>
      <c r="H813" s="163"/>
      <c r="I813" s="163"/>
      <c r="J813" s="163"/>
      <c r="K813" s="163"/>
      <c r="L813" s="163"/>
    </row>
    <row r="814" spans="1:12" ht="12">
      <c r="A814" s="359">
        <v>16</v>
      </c>
      <c r="D814" s="359">
        <v>16</v>
      </c>
      <c r="E814" s="20"/>
      <c r="F814" s="20"/>
      <c r="G814" s="163"/>
      <c r="H814" s="163"/>
      <c r="I814" s="163"/>
      <c r="J814" s="163"/>
      <c r="K814" s="163"/>
      <c r="L814" s="163"/>
    </row>
    <row r="815" spans="1:12" ht="12">
      <c r="A815" s="359">
        <v>17</v>
      </c>
      <c r="B815" s="259"/>
      <c r="C815" s="255"/>
      <c r="D815" s="359">
        <v>17</v>
      </c>
      <c r="E815" s="20"/>
      <c r="F815" s="20"/>
      <c r="G815" s="163"/>
      <c r="H815" s="163"/>
      <c r="I815" s="163"/>
      <c r="J815" s="163"/>
      <c r="K815" s="163"/>
      <c r="L815" s="163"/>
    </row>
    <row r="816" spans="1:12" ht="12">
      <c r="A816" s="359">
        <v>18</v>
      </c>
      <c r="B816" s="255"/>
      <c r="C816" s="255"/>
      <c r="D816" s="359">
        <v>18</v>
      </c>
      <c r="E816" s="20"/>
      <c r="F816" s="20"/>
      <c r="G816" s="163"/>
      <c r="H816" s="163"/>
      <c r="I816" s="163"/>
      <c r="J816" s="163"/>
      <c r="K816" s="163"/>
      <c r="L816" s="163"/>
    </row>
    <row r="817" spans="1:12" ht="12">
      <c r="A817" s="359"/>
      <c r="B817" s="260"/>
      <c r="C817" s="255"/>
      <c r="D817" s="359"/>
      <c r="E817" s="252" t="s">
        <v>1</v>
      </c>
      <c r="F817" s="252"/>
      <c r="G817" s="252"/>
      <c r="H817" s="15" t="s">
        <v>1</v>
      </c>
      <c r="I817" s="18"/>
      <c r="J817" s="252"/>
      <c r="K817" s="15"/>
      <c r="L817" s="18"/>
    </row>
    <row r="818" spans="1:12" ht="12">
      <c r="A818" s="359">
        <v>19</v>
      </c>
      <c r="B818" s="5" t="s">
        <v>505</v>
      </c>
      <c r="C818" s="255"/>
      <c r="D818" s="359">
        <v>19</v>
      </c>
      <c r="G818" s="159">
        <f>SUM(G809:G816)</f>
        <v>9553343</v>
      </c>
      <c r="H818" s="159"/>
      <c r="I818" s="159">
        <f>SUM(I809:I816)</f>
        <v>2745015</v>
      </c>
      <c r="J818" s="163"/>
      <c r="K818" s="163"/>
      <c r="L818" s="159">
        <f>SUM(L809:L816)</f>
        <v>11813364</v>
      </c>
    </row>
    <row r="819" spans="1:12" ht="12">
      <c r="A819" s="359"/>
      <c r="B819" s="260"/>
      <c r="C819" s="255"/>
      <c r="D819" s="359"/>
      <c r="E819" s="252" t="s">
        <v>1</v>
      </c>
      <c r="F819" s="252"/>
      <c r="G819" s="252"/>
      <c r="H819" s="15" t="s">
        <v>1</v>
      </c>
      <c r="I819" s="18"/>
      <c r="J819" s="252"/>
      <c r="K819" s="15"/>
      <c r="L819" s="18"/>
    </row>
    <row r="820" spans="1:9" ht="12">
      <c r="A820" s="359"/>
      <c r="B820" s="255"/>
      <c r="C820" s="255"/>
      <c r="D820" s="359"/>
      <c r="I820" s="23"/>
    </row>
    <row r="821" spans="1:12" ht="12">
      <c r="A821" s="359">
        <v>20</v>
      </c>
      <c r="B821" s="4" t="s">
        <v>506</v>
      </c>
      <c r="D821" s="359">
        <v>20</v>
      </c>
      <c r="G821" s="159">
        <f>SUM(G807,G818)</f>
        <v>10242978</v>
      </c>
      <c r="H821" s="160"/>
      <c r="I821" s="159">
        <f>SUM(I807,I818)</f>
        <v>5020458.5</v>
      </c>
      <c r="J821" s="159"/>
      <c r="K821" s="160"/>
      <c r="L821" s="159">
        <f>SUM(L807,L818)</f>
        <v>13793466</v>
      </c>
    </row>
    <row r="822" spans="2:12" ht="12">
      <c r="B822" s="37" t="s">
        <v>330</v>
      </c>
      <c r="D822" s="21"/>
      <c r="E822" s="252" t="s">
        <v>1</v>
      </c>
      <c r="F822" s="252"/>
      <c r="G822" s="252"/>
      <c r="H822" s="15" t="s">
        <v>1</v>
      </c>
      <c r="I822" s="18"/>
      <c r="J822" s="252"/>
      <c r="K822" s="15"/>
      <c r="L822" s="18"/>
    </row>
    <row r="823" ht="12">
      <c r="B823" s="4" t="s">
        <v>0</v>
      </c>
    </row>
    <row r="824" ht="12">
      <c r="C824" s="1"/>
    </row>
    <row r="825" spans="1:12" s="394" customFormat="1" ht="12">
      <c r="A825" s="32" t="str">
        <f>$A$31</f>
        <v>Institution No.: GFC  </v>
      </c>
      <c r="C825" s="440"/>
      <c r="E825" s="398"/>
      <c r="F825" s="398"/>
      <c r="G825" s="398"/>
      <c r="H825" s="399"/>
      <c r="I825" s="400"/>
      <c r="K825" s="443"/>
      <c r="L825" s="418" t="s">
        <v>331</v>
      </c>
    </row>
    <row r="826" spans="1:12" s="394" customFormat="1" ht="12.75" customHeight="1">
      <c r="A826" s="448" t="s">
        <v>332</v>
      </c>
      <c r="B826" s="448"/>
      <c r="C826" s="448"/>
      <c r="D826" s="448"/>
      <c r="E826" s="448"/>
      <c r="F826" s="448"/>
      <c r="G826" s="448"/>
      <c r="H826" s="448"/>
      <c r="I826" s="448"/>
      <c r="J826" s="448"/>
      <c r="K826" s="448"/>
      <c r="L826" s="448"/>
    </row>
    <row r="827" spans="1:12" ht="12">
      <c r="A827" s="32" t="str">
        <f>A792</f>
        <v>NAME:  University of Colorado -  Colorado Springs</v>
      </c>
      <c r="C827" s="470"/>
      <c r="D827" s="470"/>
      <c r="E827" s="470"/>
      <c r="F827" s="285"/>
      <c r="G827" s="285"/>
      <c r="L827" s="34" t="str">
        <f>$L$2</f>
        <v>Date: 10/1/2010</v>
      </c>
    </row>
    <row r="828" spans="1:12" ht="12">
      <c r="A828" s="14" t="s">
        <v>1</v>
      </c>
      <c r="B828" s="14" t="s">
        <v>1</v>
      </c>
      <c r="C828" s="14" t="s">
        <v>1</v>
      </c>
      <c r="D828" s="14" t="s">
        <v>1</v>
      </c>
      <c r="E828" s="14" t="s">
        <v>1</v>
      </c>
      <c r="F828" s="14"/>
      <c r="G828" s="14"/>
      <c r="H828" s="15" t="s">
        <v>1</v>
      </c>
      <c r="I828" s="18" t="s">
        <v>1</v>
      </c>
      <c r="J828" s="14" t="s">
        <v>1</v>
      </c>
      <c r="K828" s="15" t="s">
        <v>1</v>
      </c>
      <c r="L828" s="18" t="s">
        <v>1</v>
      </c>
    </row>
    <row r="829" spans="1:12" ht="12">
      <c r="A829" s="35" t="s">
        <v>2</v>
      </c>
      <c r="C829" s="1"/>
      <c r="D829" s="35" t="s">
        <v>2</v>
      </c>
      <c r="E829" s="1"/>
      <c r="F829" s="461" t="s">
        <v>507</v>
      </c>
      <c r="G829" s="461"/>
      <c r="H829" s="461" t="s">
        <v>508</v>
      </c>
      <c r="I829" s="461"/>
      <c r="J829" s="1"/>
      <c r="K829" s="461" t="s">
        <v>509</v>
      </c>
      <c r="L829" s="461"/>
    </row>
    <row r="830" spans="1:12" ht="12">
      <c r="A830" s="35" t="s">
        <v>4</v>
      </c>
      <c r="B830" s="4" t="s">
        <v>510</v>
      </c>
      <c r="C830" s="1" t="s">
        <v>511</v>
      </c>
      <c r="D830" s="35" t="s">
        <v>4</v>
      </c>
      <c r="E830" s="1"/>
      <c r="F830" s="2" t="s">
        <v>338</v>
      </c>
      <c r="G830" s="3" t="s">
        <v>339</v>
      </c>
      <c r="H830" s="2" t="s">
        <v>338</v>
      </c>
      <c r="I830" s="3" t="s">
        <v>339</v>
      </c>
      <c r="J830" s="1"/>
      <c r="K830" s="2" t="s">
        <v>338</v>
      </c>
      <c r="L830" s="3" t="s">
        <v>339</v>
      </c>
    </row>
    <row r="831" spans="2:12" ht="12">
      <c r="B831" s="5" t="s">
        <v>512</v>
      </c>
      <c r="C831" s="1" t="s">
        <v>513</v>
      </c>
      <c r="D831" s="1"/>
      <c r="E831" s="1"/>
      <c r="F831" s="2" t="s">
        <v>514</v>
      </c>
      <c r="G831" s="3"/>
      <c r="H831" s="2" t="s">
        <v>514</v>
      </c>
      <c r="I831" s="3"/>
      <c r="J831" s="1"/>
      <c r="K831" s="2" t="s">
        <v>514</v>
      </c>
      <c r="L831" s="3"/>
    </row>
    <row r="832" spans="1:12" ht="12">
      <c r="A832" s="14" t="s">
        <v>1</v>
      </c>
      <c r="B832" s="14" t="s">
        <v>1</v>
      </c>
      <c r="C832" s="14" t="s">
        <v>1</v>
      </c>
      <c r="D832" s="14" t="s">
        <v>1</v>
      </c>
      <c r="E832" s="430" t="s">
        <v>515</v>
      </c>
      <c r="H832" s="15" t="s">
        <v>1</v>
      </c>
      <c r="I832" s="18" t="s">
        <v>1</v>
      </c>
      <c r="J832" s="14" t="s">
        <v>1</v>
      </c>
      <c r="K832" s="15" t="s">
        <v>1</v>
      </c>
      <c r="L832" s="18" t="s">
        <v>1</v>
      </c>
    </row>
    <row r="833" spans="1:12" ht="12">
      <c r="A833" s="14"/>
      <c r="C833" s="36"/>
      <c r="D833" s="14"/>
      <c r="H833" s="15"/>
      <c r="I833" s="18"/>
      <c r="J833" s="252"/>
      <c r="K833" s="15"/>
      <c r="L833" s="18"/>
    </row>
    <row r="834" spans="1:12" ht="12">
      <c r="A834" s="24">
        <v>1</v>
      </c>
      <c r="B834" s="249" t="s">
        <v>343</v>
      </c>
      <c r="C834" s="250"/>
      <c r="D834" s="24">
        <v>1</v>
      </c>
      <c r="E834" s="251"/>
      <c r="F834" s="155">
        <v>1145</v>
      </c>
      <c r="G834" s="155">
        <v>1145</v>
      </c>
      <c r="H834" s="155"/>
      <c r="I834" s="155"/>
      <c r="J834" s="155"/>
      <c r="K834" s="155"/>
      <c r="L834" s="155"/>
    </row>
    <row r="835" spans="1:12" ht="12">
      <c r="A835" s="24">
        <f aca="true" t="shared" si="20" ref="A835:A857">(A834+1)</f>
        <v>2</v>
      </c>
      <c r="B835" s="5" t="s">
        <v>516</v>
      </c>
      <c r="C835" s="250"/>
      <c r="D835" s="24">
        <f aca="true" t="shared" si="21" ref="D835:D857">(D834+1)</f>
        <v>2</v>
      </c>
      <c r="E835" s="251"/>
      <c r="F835" s="155">
        <v>7003881</v>
      </c>
      <c r="G835" s="155"/>
      <c r="H835" s="155"/>
      <c r="I835" s="155"/>
      <c r="J835" s="155"/>
      <c r="K835" s="155"/>
      <c r="L835" s="155"/>
    </row>
    <row r="836" spans="1:12" ht="12">
      <c r="A836" s="24">
        <f t="shared" si="20"/>
        <v>3</v>
      </c>
      <c r="B836" s="5" t="s">
        <v>517</v>
      </c>
      <c r="C836" s="250"/>
      <c r="D836" s="24">
        <f t="shared" si="21"/>
        <v>3</v>
      </c>
      <c r="E836" s="251"/>
      <c r="F836" s="155">
        <v>1234142</v>
      </c>
      <c r="G836" s="155">
        <v>27075054</v>
      </c>
      <c r="H836" s="155"/>
      <c r="I836" s="155"/>
      <c r="J836" s="155"/>
      <c r="K836" s="155"/>
      <c r="L836" s="155"/>
    </row>
    <row r="837" spans="1:12" ht="12">
      <c r="A837" s="24">
        <f t="shared" si="20"/>
        <v>4</v>
      </c>
      <c r="B837" s="5" t="s">
        <v>518</v>
      </c>
      <c r="D837" s="24">
        <f t="shared" si="21"/>
        <v>4</v>
      </c>
      <c r="E837" s="251"/>
      <c r="F837" s="155"/>
      <c r="G837" s="155"/>
      <c r="H837" s="155">
        <v>1569854</v>
      </c>
      <c r="I837" s="155"/>
      <c r="J837" s="155"/>
      <c r="K837" s="155"/>
      <c r="L837" s="155">
        <v>329294</v>
      </c>
    </row>
    <row r="838" spans="1:12" ht="12">
      <c r="A838" s="24">
        <f t="shared" si="20"/>
        <v>5</v>
      </c>
      <c r="B838" s="5" t="s">
        <v>519</v>
      </c>
      <c r="C838" s="256"/>
      <c r="D838" s="24">
        <f t="shared" si="21"/>
        <v>5</v>
      </c>
      <c r="E838" s="251"/>
      <c r="F838" s="155"/>
      <c r="G838" s="155"/>
      <c r="H838" s="155">
        <v>16290758</v>
      </c>
      <c r="I838" s="155"/>
      <c r="J838" s="155"/>
      <c r="K838" s="155"/>
      <c r="L838" s="155"/>
    </row>
    <row r="839" spans="1:12" ht="12">
      <c r="A839" s="24">
        <f t="shared" si="20"/>
        <v>6</v>
      </c>
      <c r="C839" s="256"/>
      <c r="D839" s="24">
        <f t="shared" si="21"/>
        <v>6</v>
      </c>
      <c r="E839" s="251"/>
      <c r="F839" s="155"/>
      <c r="G839" s="155"/>
      <c r="H839" s="155"/>
      <c r="I839" s="155"/>
      <c r="J839" s="155"/>
      <c r="K839" s="155"/>
      <c r="L839" s="155"/>
    </row>
    <row r="840" spans="1:12" ht="12">
      <c r="A840" s="24">
        <f t="shared" si="20"/>
        <v>7</v>
      </c>
      <c r="C840" s="250"/>
      <c r="D840" s="24">
        <f t="shared" si="21"/>
        <v>7</v>
      </c>
      <c r="E840" s="251"/>
      <c r="F840" s="155"/>
      <c r="G840" s="155"/>
      <c r="H840" s="155"/>
      <c r="I840" s="155"/>
      <c r="J840" s="155"/>
      <c r="K840" s="155"/>
      <c r="L840" s="155"/>
    </row>
    <row r="841" spans="1:12" ht="12">
      <c r="A841" s="24">
        <f t="shared" si="20"/>
        <v>8</v>
      </c>
      <c r="C841" s="258"/>
      <c r="D841" s="24">
        <f t="shared" si="21"/>
        <v>8</v>
      </c>
      <c r="E841" s="251"/>
      <c r="F841" s="155"/>
      <c r="G841" s="155"/>
      <c r="H841" s="155"/>
      <c r="I841" s="155"/>
      <c r="J841" s="155"/>
      <c r="K841" s="155"/>
      <c r="L841" s="155"/>
    </row>
    <row r="842" spans="1:12" ht="12">
      <c r="A842" s="24">
        <f t="shared" si="20"/>
        <v>9</v>
      </c>
      <c r="C842" s="256"/>
      <c r="D842" s="24">
        <f t="shared" si="21"/>
        <v>9</v>
      </c>
      <c r="E842" s="251"/>
      <c r="F842" s="155"/>
      <c r="G842" s="155"/>
      <c r="H842" s="155"/>
      <c r="I842" s="155"/>
      <c r="J842" s="155"/>
      <c r="K842" s="155"/>
      <c r="L842" s="155"/>
    </row>
    <row r="843" spans="1:12" ht="12">
      <c r="A843" s="24">
        <f t="shared" si="20"/>
        <v>10</v>
      </c>
      <c r="C843" s="256"/>
      <c r="D843" s="24">
        <f t="shared" si="21"/>
        <v>10</v>
      </c>
      <c r="E843" s="251"/>
      <c r="F843" s="155"/>
      <c r="G843" s="155"/>
      <c r="H843" s="155"/>
      <c r="I843" s="155"/>
      <c r="J843" s="155"/>
      <c r="K843" s="155"/>
      <c r="L843" s="155"/>
    </row>
    <row r="844" spans="1:12" ht="12">
      <c r="A844" s="24">
        <f t="shared" si="20"/>
        <v>11</v>
      </c>
      <c r="C844" s="250"/>
      <c r="D844" s="24">
        <f t="shared" si="21"/>
        <v>11</v>
      </c>
      <c r="E844" s="251"/>
      <c r="F844" s="155"/>
      <c r="G844" s="155"/>
      <c r="H844" s="155"/>
      <c r="I844" s="155"/>
      <c r="J844" s="155"/>
      <c r="K844" s="155"/>
      <c r="L844" s="155"/>
    </row>
    <row r="845" spans="1:12" ht="12">
      <c r="A845" s="24">
        <f t="shared" si="20"/>
        <v>12</v>
      </c>
      <c r="B845" s="4"/>
      <c r="C845" s="258"/>
      <c r="D845" s="24">
        <f t="shared" si="21"/>
        <v>12</v>
      </c>
      <c r="E845" s="251"/>
      <c r="F845" s="155"/>
      <c r="G845" s="155"/>
      <c r="H845" s="155"/>
      <c r="I845" s="155"/>
      <c r="J845" s="155"/>
      <c r="K845" s="155"/>
      <c r="L845" s="155"/>
    </row>
    <row r="846" spans="1:12" ht="12">
      <c r="A846" s="24">
        <f t="shared" si="20"/>
        <v>13</v>
      </c>
      <c r="C846" s="258"/>
      <c r="D846" s="24">
        <f t="shared" si="21"/>
        <v>13</v>
      </c>
      <c r="E846" s="251"/>
      <c r="F846" s="155"/>
      <c r="G846" s="155"/>
      <c r="H846" s="155"/>
      <c r="I846" s="155"/>
      <c r="J846" s="155"/>
      <c r="K846" s="155"/>
      <c r="L846" s="155"/>
    </row>
    <row r="847" spans="1:12" ht="12">
      <c r="A847" s="24">
        <f t="shared" si="20"/>
        <v>14</v>
      </c>
      <c r="C847" s="250"/>
      <c r="D847" s="24">
        <f t="shared" si="21"/>
        <v>14</v>
      </c>
      <c r="E847" s="251"/>
      <c r="F847" s="155"/>
      <c r="G847" s="155"/>
      <c r="H847" s="158"/>
      <c r="I847" s="158"/>
      <c r="J847" s="155"/>
      <c r="K847" s="155"/>
      <c r="L847" s="155"/>
    </row>
    <row r="848" spans="1:12" ht="12">
      <c r="A848" s="24">
        <f t="shared" si="20"/>
        <v>15</v>
      </c>
      <c r="C848" s="258"/>
      <c r="D848" s="24">
        <f t="shared" si="21"/>
        <v>15</v>
      </c>
      <c r="E848" s="251"/>
      <c r="F848" s="155"/>
      <c r="G848" s="155"/>
      <c r="H848" s="158"/>
      <c r="I848" s="158"/>
      <c r="J848" s="155"/>
      <c r="K848" s="155"/>
      <c r="L848" s="155"/>
    </row>
    <row r="849" spans="1:12" ht="12">
      <c r="A849" s="24">
        <f t="shared" si="20"/>
        <v>16</v>
      </c>
      <c r="B849" s="20"/>
      <c r="C849" s="256"/>
      <c r="D849" s="24">
        <f t="shared" si="21"/>
        <v>16</v>
      </c>
      <c r="E849" s="251"/>
      <c r="F849" s="155"/>
      <c r="G849" s="155"/>
      <c r="H849" s="158"/>
      <c r="I849" s="158"/>
      <c r="J849" s="158"/>
      <c r="K849" s="158"/>
      <c r="L849" s="158"/>
    </row>
    <row r="850" spans="1:12" ht="12">
      <c r="A850" s="24">
        <f t="shared" si="20"/>
        <v>17</v>
      </c>
      <c r="B850" s="20" t="s">
        <v>364</v>
      </c>
      <c r="C850" s="256"/>
      <c r="D850" s="24">
        <f t="shared" si="21"/>
        <v>17</v>
      </c>
      <c r="E850" s="251"/>
      <c r="F850" s="155"/>
      <c r="G850" s="155"/>
      <c r="H850" s="158"/>
      <c r="I850" s="158"/>
      <c r="J850" s="158"/>
      <c r="K850" s="158"/>
      <c r="L850" s="158"/>
    </row>
    <row r="851" spans="1:12" ht="12">
      <c r="A851" s="24">
        <f t="shared" si="20"/>
        <v>18</v>
      </c>
      <c r="B851" s="5" t="s">
        <v>520</v>
      </c>
      <c r="C851" s="256"/>
      <c r="D851" s="24">
        <f t="shared" si="21"/>
        <v>18</v>
      </c>
      <c r="E851" s="251"/>
      <c r="F851" s="155">
        <v>304258</v>
      </c>
      <c r="G851" s="155"/>
      <c r="H851" s="158">
        <v>40138</v>
      </c>
      <c r="I851" s="158"/>
      <c r="J851" s="158"/>
      <c r="K851" s="158">
        <v>13325.72</v>
      </c>
      <c r="L851" s="158"/>
    </row>
    <row r="852" spans="1:12" ht="12">
      <c r="A852" s="24">
        <f t="shared" si="20"/>
        <v>19</v>
      </c>
      <c r="B852" s="5" t="s">
        <v>521</v>
      </c>
      <c r="C852" s="256"/>
      <c r="D852" s="24">
        <f t="shared" si="21"/>
        <v>19</v>
      </c>
      <c r="E852" s="251"/>
      <c r="F852" s="155">
        <v>249140</v>
      </c>
      <c r="G852" s="155"/>
      <c r="H852" s="155">
        <v>13122</v>
      </c>
      <c r="I852" s="155"/>
      <c r="J852" s="155"/>
      <c r="K852" s="155"/>
      <c r="L852" s="155"/>
    </row>
    <row r="853" spans="1:12" ht="12">
      <c r="A853" s="24">
        <f t="shared" si="20"/>
        <v>20</v>
      </c>
      <c r="B853" s="20" t="s">
        <v>522</v>
      </c>
      <c r="C853" s="256"/>
      <c r="D853" s="24">
        <f t="shared" si="21"/>
        <v>20</v>
      </c>
      <c r="E853" s="251"/>
      <c r="F853" s="155">
        <v>337275</v>
      </c>
      <c r="G853" s="155"/>
      <c r="H853" s="158">
        <v>125265</v>
      </c>
      <c r="I853" s="158"/>
      <c r="J853" s="158"/>
      <c r="K853" s="155">
        <v>10185</v>
      </c>
      <c r="L853" s="155"/>
    </row>
    <row r="854" spans="1:12" ht="12">
      <c r="A854" s="24">
        <f t="shared" si="20"/>
        <v>21</v>
      </c>
      <c r="B854" s="5" t="s">
        <v>523</v>
      </c>
      <c r="C854" s="256"/>
      <c r="D854" s="24">
        <f t="shared" si="21"/>
        <v>21</v>
      </c>
      <c r="F854" s="155">
        <v>458525</v>
      </c>
      <c r="G854" s="155"/>
      <c r="H854" s="155">
        <v>336435</v>
      </c>
      <c r="I854" s="155"/>
      <c r="J854" s="155"/>
      <c r="K854" s="155">
        <v>70126</v>
      </c>
      <c r="L854" s="155"/>
    </row>
    <row r="855" spans="1:12" ht="12">
      <c r="A855" s="24">
        <f t="shared" si="20"/>
        <v>22</v>
      </c>
      <c r="B855" s="442" t="s">
        <v>524</v>
      </c>
      <c r="C855" s="256"/>
      <c r="D855" s="24">
        <f t="shared" si="21"/>
        <v>22</v>
      </c>
      <c r="F855" s="155">
        <v>50438</v>
      </c>
      <c r="G855" s="155"/>
      <c r="H855" s="155"/>
      <c r="I855" s="155"/>
      <c r="J855" s="155"/>
      <c r="K855" s="155"/>
      <c r="L855" s="155"/>
    </row>
    <row r="856" spans="1:12" ht="12">
      <c r="A856" s="24">
        <f t="shared" si="20"/>
        <v>23</v>
      </c>
      <c r="B856" s="5" t="s">
        <v>525</v>
      </c>
      <c r="C856" s="256"/>
      <c r="D856" s="24">
        <f t="shared" si="21"/>
        <v>23</v>
      </c>
      <c r="E856" s="251"/>
      <c r="F856" s="155"/>
      <c r="G856" s="155"/>
      <c r="H856" s="155"/>
      <c r="I856" s="155"/>
      <c r="J856" s="155"/>
      <c r="K856" s="155"/>
      <c r="L856" s="155">
        <v>497152</v>
      </c>
    </row>
    <row r="857" spans="1:12" ht="12">
      <c r="A857" s="24">
        <f t="shared" si="20"/>
        <v>24</v>
      </c>
      <c r="C857" s="256"/>
      <c r="D857" s="24">
        <f t="shared" si="21"/>
        <v>24</v>
      </c>
      <c r="E857" s="251"/>
      <c r="F857" s="155"/>
      <c r="G857" s="155"/>
      <c r="H857" s="155"/>
      <c r="I857" s="155"/>
      <c r="J857" s="158"/>
      <c r="K857" s="158"/>
      <c r="L857" s="155"/>
    </row>
    <row r="858" spans="1:12" ht="12">
      <c r="A858" s="5">
        <v>25</v>
      </c>
      <c r="C858" s="256"/>
      <c r="D858" s="5">
        <v>25</v>
      </c>
      <c r="E858" s="251"/>
      <c r="F858" s="155"/>
      <c r="G858" s="155"/>
      <c r="H858" s="159"/>
      <c r="I858" s="159"/>
      <c r="J858" s="158"/>
      <c r="K858" s="155"/>
      <c r="L858" s="155"/>
    </row>
    <row r="859" spans="2:12" ht="12">
      <c r="B859" s="20"/>
      <c r="C859" s="256"/>
      <c r="H859" s="22"/>
      <c r="I859" s="23"/>
      <c r="J859" s="264"/>
      <c r="K859" s="22"/>
      <c r="L859" s="23"/>
    </row>
    <row r="860" spans="3:12" ht="12" customHeight="1">
      <c r="C860" s="258"/>
      <c r="D860" s="265"/>
      <c r="E860" s="14" t="s">
        <v>1</v>
      </c>
      <c r="F860" s="14"/>
      <c r="G860" s="14"/>
      <c r="H860" s="15" t="s">
        <v>1</v>
      </c>
      <c r="I860" s="18" t="s">
        <v>1</v>
      </c>
      <c r="J860" s="266" t="s">
        <v>1</v>
      </c>
      <c r="K860" s="15" t="s">
        <v>1</v>
      </c>
      <c r="L860" s="18" t="s">
        <v>1</v>
      </c>
    </row>
    <row r="861" spans="1:12" ht="12" customHeight="1">
      <c r="A861" s="24">
        <v>26</v>
      </c>
      <c r="B861" s="4" t="s">
        <v>526</v>
      </c>
      <c r="C861" s="250"/>
      <c r="D861" s="24">
        <v>26</v>
      </c>
      <c r="F861" s="159">
        <f>SUM(F833:F858)</f>
        <v>9638804</v>
      </c>
      <c r="G861" s="159">
        <f>SUM(G833:G858)</f>
        <v>27076199</v>
      </c>
      <c r="H861" s="159">
        <f>SUM(H833:H858)</f>
        <v>18375572</v>
      </c>
      <c r="I861" s="159">
        <f>SUM(I833:I858)</f>
        <v>0</v>
      </c>
      <c r="J861" s="159"/>
      <c r="K861" s="159">
        <f>SUM(K833:K858)</f>
        <v>93636.72</v>
      </c>
      <c r="L861" s="159">
        <f>SUM(L833:L858)</f>
        <v>826446</v>
      </c>
    </row>
    <row r="862" spans="3:12" ht="12" customHeight="1">
      <c r="C862" s="258"/>
      <c r="D862" s="265"/>
      <c r="E862" s="14" t="s">
        <v>1</v>
      </c>
      <c r="F862" s="14"/>
      <c r="G862" s="14"/>
      <c r="H862" s="15" t="s">
        <v>1</v>
      </c>
      <c r="I862" s="18" t="s">
        <v>1</v>
      </c>
      <c r="J862" s="266" t="s">
        <v>1</v>
      </c>
      <c r="K862" s="15" t="s">
        <v>1</v>
      </c>
      <c r="L862" s="18" t="s">
        <v>1</v>
      </c>
    </row>
    <row r="863" spans="3:12" ht="12" customHeight="1">
      <c r="C863" s="258"/>
      <c r="D863" s="252"/>
      <c r="E863" s="21"/>
      <c r="F863" s="21"/>
      <c r="G863" s="21"/>
      <c r="H863" s="15"/>
      <c r="I863" s="18"/>
      <c r="J863" s="266"/>
      <c r="K863" s="15"/>
      <c r="L863" s="18"/>
    </row>
    <row r="864" spans="3:12" ht="12" customHeight="1">
      <c r="C864" s="258"/>
      <c r="D864" s="252"/>
      <c r="E864" s="21"/>
      <c r="F864" s="21"/>
      <c r="G864" s="21"/>
      <c r="H864" s="15"/>
      <c r="I864" s="18"/>
      <c r="J864" s="266"/>
      <c r="K864" s="15"/>
      <c r="L864" s="18"/>
    </row>
    <row r="865" spans="3:12" ht="12" customHeight="1">
      <c r="C865" s="258"/>
      <c r="D865" s="252"/>
      <c r="E865" s="21"/>
      <c r="F865" s="21"/>
      <c r="G865" s="21"/>
      <c r="H865" s="15"/>
      <c r="I865" s="18"/>
      <c r="J865" s="266"/>
      <c r="K865" s="15"/>
      <c r="L865" s="18"/>
    </row>
    <row r="866" spans="3:12" ht="12" customHeight="1">
      <c r="C866" s="258"/>
      <c r="D866" s="252"/>
      <c r="E866" s="21"/>
      <c r="F866" s="21"/>
      <c r="G866" s="21"/>
      <c r="H866" s="15"/>
      <c r="I866" s="18"/>
      <c r="J866" s="266"/>
      <c r="K866" s="15"/>
      <c r="L866" s="18"/>
    </row>
    <row r="867" spans="3:12" ht="12" customHeight="1">
      <c r="C867" s="258"/>
      <c r="D867" s="252"/>
      <c r="E867" s="21"/>
      <c r="F867" s="21"/>
      <c r="G867" s="21"/>
      <c r="H867" s="15"/>
      <c r="I867" s="18"/>
      <c r="J867" s="266"/>
      <c r="K867" s="15"/>
      <c r="L867" s="18"/>
    </row>
    <row r="868" spans="3:12" ht="12" customHeight="1">
      <c r="C868" s="258"/>
      <c r="D868" s="252"/>
      <c r="E868" s="21"/>
      <c r="F868" s="21"/>
      <c r="G868" s="21"/>
      <c r="H868" s="15"/>
      <c r="I868" s="18"/>
      <c r="J868" s="266"/>
      <c r="K868" s="15"/>
      <c r="L868" s="18"/>
    </row>
    <row r="869" spans="3:12" ht="12" customHeight="1">
      <c r="C869" s="258"/>
      <c r="D869" s="252"/>
      <c r="E869" s="21"/>
      <c r="F869" s="21"/>
      <c r="G869" s="21"/>
      <c r="H869" s="15" t="s">
        <v>0</v>
      </c>
      <c r="I869" s="18"/>
      <c r="J869" s="266"/>
      <c r="K869" s="15"/>
      <c r="L869" s="18"/>
    </row>
    <row r="870" spans="3:12" ht="12" customHeight="1">
      <c r="C870" s="258"/>
      <c r="D870" s="252"/>
      <c r="E870" s="21"/>
      <c r="F870" s="21"/>
      <c r="G870" s="21"/>
      <c r="H870" s="15"/>
      <c r="I870" s="18"/>
      <c r="J870" s="266"/>
      <c r="K870" s="15"/>
      <c r="L870" s="18"/>
    </row>
    <row r="871" spans="3:12" ht="12" customHeight="1">
      <c r="C871" s="258"/>
      <c r="D871" s="252"/>
      <c r="E871" s="21"/>
      <c r="F871" s="21"/>
      <c r="G871" s="21"/>
      <c r="H871" s="15"/>
      <c r="I871" s="18"/>
      <c r="J871" s="266"/>
      <c r="K871" s="15"/>
      <c r="L871" s="18"/>
    </row>
    <row r="872" spans="3:12" ht="12" customHeight="1">
      <c r="C872" s="258"/>
      <c r="D872" s="252"/>
      <c r="E872" s="21"/>
      <c r="F872" s="21"/>
      <c r="G872" s="21"/>
      <c r="H872" s="15"/>
      <c r="I872" s="18"/>
      <c r="J872" s="266"/>
      <c r="K872" s="15"/>
      <c r="L872" s="18"/>
    </row>
    <row r="873" spans="3:12" ht="12" customHeight="1">
      <c r="C873" s="258"/>
      <c r="D873" s="252"/>
      <c r="E873" s="21"/>
      <c r="F873" s="21"/>
      <c r="G873" s="21"/>
      <c r="H873" s="15"/>
      <c r="I873" s="18"/>
      <c r="J873" s="266"/>
      <c r="K873" s="15"/>
      <c r="L873" s="18"/>
    </row>
    <row r="874" spans="3:12" ht="12" customHeight="1">
      <c r="C874" s="258"/>
      <c r="D874" s="252"/>
      <c r="E874" s="21"/>
      <c r="F874" s="21"/>
      <c r="G874" s="21"/>
      <c r="H874" s="15"/>
      <c r="I874" s="18"/>
      <c r="J874" s="266"/>
      <c r="K874" s="15"/>
      <c r="L874" s="18"/>
    </row>
    <row r="875" spans="3:12" ht="12" customHeight="1">
      <c r="C875" s="258"/>
      <c r="D875" s="252"/>
      <c r="E875" s="21"/>
      <c r="F875" s="21"/>
      <c r="G875" s="21"/>
      <c r="H875" s="15"/>
      <c r="I875" s="18"/>
      <c r="J875" s="266"/>
      <c r="K875" s="15"/>
      <c r="L875" s="18"/>
    </row>
    <row r="876" spans="3:12" ht="12" customHeight="1">
      <c r="C876" s="258"/>
      <c r="D876" s="252"/>
      <c r="E876" s="21"/>
      <c r="F876" s="21"/>
      <c r="G876" s="21"/>
      <c r="H876" s="15"/>
      <c r="I876" s="18"/>
      <c r="J876" s="266"/>
      <c r="K876" s="15"/>
      <c r="L876" s="18"/>
    </row>
    <row r="877" spans="3:12" ht="12" customHeight="1">
      <c r="C877" s="258"/>
      <c r="D877" s="252"/>
      <c r="E877" s="21"/>
      <c r="F877" s="21"/>
      <c r="G877" s="21"/>
      <c r="H877" s="15"/>
      <c r="I877" s="18"/>
      <c r="J877" s="266"/>
      <c r="K877" s="15"/>
      <c r="L877" s="18"/>
    </row>
    <row r="878" spans="3:12" ht="12" customHeight="1">
      <c r="C878" s="258"/>
      <c r="D878" s="252"/>
      <c r="E878" s="21"/>
      <c r="F878" s="21"/>
      <c r="G878" s="21"/>
      <c r="H878" s="15"/>
      <c r="I878" s="18"/>
      <c r="J878" s="266"/>
      <c r="K878" s="15"/>
      <c r="L878" s="18"/>
    </row>
    <row r="879" spans="3:12" ht="12" customHeight="1">
      <c r="C879" s="258"/>
      <c r="D879" s="252"/>
      <c r="E879" s="21"/>
      <c r="F879" s="21"/>
      <c r="G879" s="21"/>
      <c r="H879" s="15"/>
      <c r="I879" s="18"/>
      <c r="J879" s="266"/>
      <c r="K879" s="15"/>
      <c r="L879" s="18"/>
    </row>
    <row r="880" spans="3:12" ht="12" customHeight="1">
      <c r="C880" s="258"/>
      <c r="D880" s="252"/>
      <c r="E880" s="21"/>
      <c r="F880" s="21"/>
      <c r="G880" s="21"/>
      <c r="H880" s="15"/>
      <c r="I880" s="18"/>
      <c r="J880" s="266"/>
      <c r="K880" s="15"/>
      <c r="L880" s="18"/>
    </row>
    <row r="881" spans="3:12" ht="12" customHeight="1">
      <c r="C881" s="258"/>
      <c r="D881" s="252"/>
      <c r="E881" s="21"/>
      <c r="F881" s="21"/>
      <c r="G881" s="21"/>
      <c r="H881" s="15"/>
      <c r="I881" s="18"/>
      <c r="J881" s="266"/>
      <c r="K881" s="15"/>
      <c r="L881" s="18"/>
    </row>
    <row r="882" spans="3:12" ht="12" customHeight="1">
      <c r="C882" s="258"/>
      <c r="D882" s="252"/>
      <c r="E882" s="21"/>
      <c r="F882" s="21"/>
      <c r="G882" s="21"/>
      <c r="H882" s="15"/>
      <c r="I882" s="18"/>
      <c r="J882" s="266"/>
      <c r="K882" s="15"/>
      <c r="L882" s="18"/>
    </row>
    <row r="883" spans="3:12" ht="12" customHeight="1">
      <c r="C883" s="258"/>
      <c r="D883" s="252"/>
      <c r="E883" s="21"/>
      <c r="F883" s="21"/>
      <c r="G883" s="21"/>
      <c r="H883" s="15"/>
      <c r="I883" s="18"/>
      <c r="J883" s="266"/>
      <c r="K883" s="15"/>
      <c r="L883" s="18"/>
    </row>
    <row r="884" spans="3:12" ht="12" customHeight="1">
      <c r="C884" s="258"/>
      <c r="D884" s="252"/>
      <c r="E884" s="21"/>
      <c r="F884" s="21"/>
      <c r="G884" s="21"/>
      <c r="H884" s="15"/>
      <c r="I884" s="18"/>
      <c r="J884" s="266"/>
      <c r="K884" s="15"/>
      <c r="L884" s="18"/>
    </row>
    <row r="885" spans="3:12" ht="12" customHeight="1">
      <c r="C885" s="258"/>
      <c r="D885" s="252"/>
      <c r="E885" s="21"/>
      <c r="F885" s="21"/>
      <c r="G885" s="21"/>
      <c r="H885" s="15"/>
      <c r="I885" s="18"/>
      <c r="J885" s="266"/>
      <c r="K885" s="15"/>
      <c r="L885" s="18"/>
    </row>
    <row r="886" spans="3:12" ht="12" customHeight="1">
      <c r="C886" s="258"/>
      <c r="D886" s="252"/>
      <c r="E886" s="21"/>
      <c r="F886" s="21"/>
      <c r="G886" s="21"/>
      <c r="H886" s="15"/>
      <c r="I886" s="18"/>
      <c r="J886" s="266"/>
      <c r="K886" s="15"/>
      <c r="L886" s="18"/>
    </row>
    <row r="887" spans="3:12" ht="12" customHeight="1">
      <c r="C887" s="258"/>
      <c r="D887" s="252"/>
      <c r="E887" s="21"/>
      <c r="F887" s="21"/>
      <c r="G887" s="21"/>
      <c r="H887" s="15"/>
      <c r="I887" s="18"/>
      <c r="J887" s="266"/>
      <c r="K887" s="15"/>
      <c r="L887" s="18"/>
    </row>
    <row r="888" spans="3:12" ht="12" customHeight="1">
      <c r="C888" s="258"/>
      <c r="D888" s="252"/>
      <c r="E888" s="21"/>
      <c r="F888" s="21"/>
      <c r="G888" s="21"/>
      <c r="H888" s="15"/>
      <c r="I888" s="18"/>
      <c r="J888" s="266"/>
      <c r="K888" s="15"/>
      <c r="L888" s="18"/>
    </row>
    <row r="889" spans="3:12" ht="12" customHeight="1">
      <c r="C889" s="258"/>
      <c r="D889" s="252"/>
      <c r="E889" s="21"/>
      <c r="F889" s="21"/>
      <c r="G889" s="21"/>
      <c r="H889" s="15"/>
      <c r="I889" s="18"/>
      <c r="J889" s="266"/>
      <c r="K889" s="15"/>
      <c r="L889" s="18"/>
    </row>
    <row r="890" spans="3:12" ht="12" customHeight="1">
      <c r="C890" s="258"/>
      <c r="D890" s="252"/>
      <c r="E890" s="21"/>
      <c r="F890" s="21"/>
      <c r="G890" s="21"/>
      <c r="H890" s="15"/>
      <c r="I890" s="18"/>
      <c r="J890" s="266"/>
      <c r="K890" s="15"/>
      <c r="L890" s="18"/>
    </row>
    <row r="891" spans="3:12" ht="12" customHeight="1">
      <c r="C891" s="258"/>
      <c r="D891" s="252"/>
      <c r="E891" s="21"/>
      <c r="F891" s="21"/>
      <c r="G891" s="21"/>
      <c r="H891" s="15"/>
      <c r="I891" s="18"/>
      <c r="J891" s="266"/>
      <c r="K891" s="15"/>
      <c r="L891" s="18"/>
    </row>
    <row r="892" spans="3:12" ht="12" customHeight="1">
      <c r="C892" s="258"/>
      <c r="D892" s="252"/>
      <c r="E892" s="21"/>
      <c r="F892" s="21"/>
      <c r="G892" s="21"/>
      <c r="H892" s="15"/>
      <c r="I892" s="18"/>
      <c r="J892" s="266"/>
      <c r="K892" s="15"/>
      <c r="L892" s="18"/>
    </row>
    <row r="893" spans="3:12" ht="12" customHeight="1">
      <c r="C893" s="258"/>
      <c r="D893" s="252"/>
      <c r="E893" s="21"/>
      <c r="F893" s="21"/>
      <c r="G893" s="21"/>
      <c r="H893" s="15"/>
      <c r="I893" s="18"/>
      <c r="J893" s="266"/>
      <c r="K893" s="15"/>
      <c r="L893" s="18"/>
    </row>
    <row r="894" spans="3:12" ht="12" customHeight="1">
      <c r="C894" s="258"/>
      <c r="D894" s="252"/>
      <c r="E894" s="21"/>
      <c r="F894" s="21"/>
      <c r="G894" s="21"/>
      <c r="H894" s="15"/>
      <c r="I894" s="18"/>
      <c r="J894" s="266"/>
      <c r="K894" s="15"/>
      <c r="L894" s="18"/>
    </row>
    <row r="895" spans="3:12" ht="12" customHeight="1">
      <c r="C895" s="258"/>
      <c r="D895" s="252"/>
      <c r="E895" s="21"/>
      <c r="F895" s="21"/>
      <c r="G895" s="21"/>
      <c r="H895" s="15"/>
      <c r="I895" s="18"/>
      <c r="J895" s="266"/>
      <c r="K895" s="15"/>
      <c r="L895" s="18"/>
    </row>
    <row r="896" spans="3:12" ht="12" customHeight="1">
      <c r="C896" s="258"/>
      <c r="D896" s="252"/>
      <c r="E896" s="21"/>
      <c r="F896" s="21"/>
      <c r="G896" s="21"/>
      <c r="H896" s="15"/>
      <c r="I896" s="18"/>
      <c r="J896" s="266"/>
      <c r="K896" s="15"/>
      <c r="L896" s="18"/>
    </row>
    <row r="897" spans="3:12" ht="12" customHeight="1">
      <c r="C897" s="258"/>
      <c r="D897" s="252"/>
      <c r="E897" s="21"/>
      <c r="F897" s="21"/>
      <c r="G897" s="21"/>
      <c r="H897" s="15"/>
      <c r="I897" s="18"/>
      <c r="J897" s="266"/>
      <c r="K897" s="15"/>
      <c r="L897" s="18"/>
    </row>
    <row r="898" spans="3:12" ht="12" customHeight="1">
      <c r="C898" s="258"/>
      <c r="D898" s="252"/>
      <c r="E898" s="21"/>
      <c r="F898" s="21"/>
      <c r="G898" s="21"/>
      <c r="H898" s="15"/>
      <c r="I898" s="18"/>
      <c r="J898" s="266"/>
      <c r="K898" s="15"/>
      <c r="L898" s="18"/>
    </row>
    <row r="899" spans="3:12" ht="12" customHeight="1">
      <c r="C899" s="258"/>
      <c r="D899" s="252"/>
      <c r="E899" s="21"/>
      <c r="F899" s="21"/>
      <c r="G899" s="21"/>
      <c r="H899" s="15"/>
      <c r="I899" s="18"/>
      <c r="J899" s="266"/>
      <c r="K899" s="15"/>
      <c r="L899" s="18"/>
    </row>
    <row r="900" spans="3:12" ht="12" customHeight="1">
      <c r="C900" s="258"/>
      <c r="D900" s="252"/>
      <c r="E900" s="21"/>
      <c r="F900" s="21"/>
      <c r="G900" s="21"/>
      <c r="H900" s="15"/>
      <c r="I900" s="18"/>
      <c r="J900" s="266"/>
      <c r="K900" s="15"/>
      <c r="L900" s="18"/>
    </row>
    <row r="901" spans="3:12" ht="12" customHeight="1">
      <c r="C901" s="258"/>
      <c r="D901" s="252"/>
      <c r="E901" s="21"/>
      <c r="F901" s="21"/>
      <c r="G901" s="21"/>
      <c r="H901" s="15"/>
      <c r="I901" s="18"/>
      <c r="J901" s="266"/>
      <c r="K901" s="15"/>
      <c r="L901" s="18"/>
    </row>
    <row r="902" spans="3:12" ht="12" customHeight="1">
      <c r="C902" s="258"/>
      <c r="D902" s="252"/>
      <c r="E902" s="21"/>
      <c r="F902" s="21"/>
      <c r="G902" s="21"/>
      <c r="H902" s="15"/>
      <c r="I902" s="18"/>
      <c r="J902" s="266"/>
      <c r="K902" s="15"/>
      <c r="L902" s="18"/>
    </row>
    <row r="903" spans="3:12" ht="12" customHeight="1">
      <c r="C903" s="258"/>
      <c r="D903" s="252"/>
      <c r="E903" s="21"/>
      <c r="F903" s="21"/>
      <c r="G903" s="21"/>
      <c r="H903" s="15"/>
      <c r="I903" s="18"/>
      <c r="J903" s="266"/>
      <c r="K903" s="15"/>
      <c r="L903" s="18"/>
    </row>
    <row r="904" spans="3:12" ht="12" customHeight="1">
      <c r="C904" s="258"/>
      <c r="D904" s="252"/>
      <c r="E904" s="21"/>
      <c r="F904" s="21"/>
      <c r="G904" s="21"/>
      <c r="H904" s="15"/>
      <c r="I904" s="18"/>
      <c r="J904" s="266"/>
      <c r="K904" s="15"/>
      <c r="L904" s="18"/>
    </row>
    <row r="905" spans="3:12" ht="12" customHeight="1">
      <c r="C905" s="258"/>
      <c r="D905" s="252"/>
      <c r="E905" s="21"/>
      <c r="F905" s="21"/>
      <c r="G905" s="21"/>
      <c r="H905" s="15"/>
      <c r="I905" s="18"/>
      <c r="J905" s="266"/>
      <c r="K905" s="15"/>
      <c r="L905" s="18"/>
    </row>
    <row r="906" spans="3:12" ht="12" customHeight="1">
      <c r="C906" s="258"/>
      <c r="D906" s="252"/>
      <c r="E906" s="21"/>
      <c r="F906" s="21"/>
      <c r="G906" s="21"/>
      <c r="H906" s="15"/>
      <c r="I906" s="18"/>
      <c r="J906" s="266"/>
      <c r="K906" s="15"/>
      <c r="L906" s="18"/>
    </row>
    <row r="907" spans="3:12" ht="12">
      <c r="C907" s="4"/>
      <c r="H907" s="6"/>
      <c r="I907" s="19"/>
      <c r="J907" s="308"/>
      <c r="K907" s="6"/>
      <c r="L907" s="19"/>
    </row>
    <row r="908" spans="3:12" ht="12">
      <c r="C908" s="4"/>
      <c r="H908" s="6"/>
      <c r="I908" s="19"/>
      <c r="J908" s="308"/>
      <c r="K908" s="6"/>
      <c r="L908" s="19"/>
    </row>
    <row r="909" spans="3:12" ht="12">
      <c r="C909" s="4"/>
      <c r="H909" s="6"/>
      <c r="I909" s="19"/>
      <c r="J909" s="308"/>
      <c r="K909" s="6"/>
      <c r="L909" s="19"/>
    </row>
    <row r="910" spans="3:12" ht="12">
      <c r="C910" s="4"/>
      <c r="H910" s="6"/>
      <c r="I910" s="19"/>
      <c r="J910" s="308"/>
      <c r="K910" s="6"/>
      <c r="L910" s="19"/>
    </row>
    <row r="911" spans="3:12" ht="12">
      <c r="C911" s="4"/>
      <c r="H911" s="6"/>
      <c r="I911" s="19"/>
      <c r="J911" s="308"/>
      <c r="K911" s="6"/>
      <c r="L911" s="19"/>
    </row>
    <row r="912" spans="3:12" ht="12">
      <c r="C912" s="4"/>
      <c r="H912" s="6"/>
      <c r="I912" s="19"/>
      <c r="J912" s="308"/>
      <c r="K912" s="6"/>
      <c r="L912" s="19"/>
    </row>
    <row r="913" spans="3:12" ht="12">
      <c r="C913" s="4"/>
      <c r="H913" s="6"/>
      <c r="I913" s="19"/>
      <c r="J913" s="308"/>
      <c r="K913" s="6"/>
      <c r="L913" s="19"/>
    </row>
    <row r="914" spans="3:12" ht="12">
      <c r="C914" s="4"/>
      <c r="H914" s="6"/>
      <c r="I914" s="19"/>
      <c r="J914" s="308"/>
      <c r="K914" s="6"/>
      <c r="L914" s="19"/>
    </row>
    <row r="915" spans="3:12" ht="12">
      <c r="C915" s="4"/>
      <c r="H915" s="6"/>
      <c r="I915" s="19"/>
      <c r="J915" s="308"/>
      <c r="K915" s="6"/>
      <c r="L915" s="19"/>
    </row>
    <row r="916" spans="3:12" ht="12">
      <c r="C916" s="4"/>
      <c r="H916" s="6"/>
      <c r="I916" s="19"/>
      <c r="J916" s="308"/>
      <c r="K916" s="6"/>
      <c r="L916" s="19"/>
    </row>
    <row r="917" spans="3:12" ht="12">
      <c r="C917" s="4"/>
      <c r="H917" s="6"/>
      <c r="I917" s="19"/>
      <c r="J917" s="308"/>
      <c r="K917" s="6"/>
      <c r="L917" s="19"/>
    </row>
    <row r="918" spans="3:12" ht="12">
      <c r="C918" s="4"/>
      <c r="H918" s="6"/>
      <c r="I918" s="19"/>
      <c r="J918" s="308"/>
      <c r="K918" s="6"/>
      <c r="L918" s="19"/>
    </row>
    <row r="919" spans="3:12" ht="12">
      <c r="C919" s="4"/>
      <c r="H919" s="6"/>
      <c r="I919" s="19"/>
      <c r="J919" s="308"/>
      <c r="K919" s="6"/>
      <c r="L919" s="19"/>
    </row>
    <row r="920" spans="3:12" ht="12">
      <c r="C920" s="4"/>
      <c r="H920" s="6"/>
      <c r="I920" s="19"/>
      <c r="J920" s="308"/>
      <c r="K920" s="6"/>
      <c r="L920" s="19"/>
    </row>
    <row r="921" spans="3:12" ht="12">
      <c r="C921" s="4"/>
      <c r="H921" s="6"/>
      <c r="I921" s="19"/>
      <c r="J921" s="308"/>
      <c r="K921" s="6"/>
      <c r="L921" s="19"/>
    </row>
    <row r="922" spans="3:12" ht="12">
      <c r="C922" s="4"/>
      <c r="H922" s="6"/>
      <c r="I922" s="19"/>
      <c r="J922" s="308"/>
      <c r="K922" s="6"/>
      <c r="L922" s="19"/>
    </row>
    <row r="923" spans="3:12" ht="12">
      <c r="C923" s="4"/>
      <c r="H923" s="6"/>
      <c r="I923" s="19"/>
      <c r="J923" s="308"/>
      <c r="K923" s="6"/>
      <c r="L923" s="19"/>
    </row>
    <row r="924" spans="3:12" ht="12">
      <c r="C924" s="4"/>
      <c r="H924" s="6"/>
      <c r="I924" s="19"/>
      <c r="J924" s="308"/>
      <c r="K924" s="6"/>
      <c r="L924" s="19"/>
    </row>
    <row r="925" spans="3:12" ht="12">
      <c r="C925" s="4"/>
      <c r="H925" s="6"/>
      <c r="I925" s="19"/>
      <c r="J925" s="308"/>
      <c r="K925" s="6"/>
      <c r="L925" s="19"/>
    </row>
    <row r="926" spans="3:12" ht="12">
      <c r="C926" s="4"/>
      <c r="H926" s="6"/>
      <c r="I926" s="19"/>
      <c r="J926" s="308"/>
      <c r="K926" s="6"/>
      <c r="L926" s="19"/>
    </row>
    <row r="927" spans="3:12" ht="12">
      <c r="C927" s="4"/>
      <c r="H927" s="6"/>
      <c r="I927" s="19"/>
      <c r="J927" s="308"/>
      <c r="K927" s="6"/>
      <c r="L927" s="19"/>
    </row>
    <row r="928" spans="3:12" ht="12">
      <c r="C928" s="4"/>
      <c r="H928" s="6"/>
      <c r="I928" s="19"/>
      <c r="J928" s="308"/>
      <c r="K928" s="6"/>
      <c r="L928" s="19"/>
    </row>
    <row r="929" spans="3:12" ht="12">
      <c r="C929" s="4"/>
      <c r="H929" s="6"/>
      <c r="I929" s="19"/>
      <c r="J929" s="308"/>
      <c r="K929" s="6"/>
      <c r="L929" s="19"/>
    </row>
    <row r="930" spans="3:12" ht="12">
      <c r="C930" s="4"/>
      <c r="H930" s="6"/>
      <c r="I930" s="19"/>
      <c r="J930" s="308"/>
      <c r="K930" s="6"/>
      <c r="L930" s="19"/>
    </row>
    <row r="931" spans="3:12" ht="12">
      <c r="C931" s="4"/>
      <c r="H931" s="6"/>
      <c r="I931" s="19"/>
      <c r="J931" s="308"/>
      <c r="K931" s="6"/>
      <c r="L931" s="19"/>
    </row>
    <row r="970" spans="3:12" ht="12">
      <c r="C970" s="1"/>
      <c r="E970" s="21"/>
      <c r="F970" s="21"/>
      <c r="G970" s="21"/>
      <c r="H970" s="6"/>
      <c r="I970" s="19"/>
      <c r="K970" s="6"/>
      <c r="L970" s="19"/>
    </row>
  </sheetData>
  <sheetProtection/>
  <mergeCells count="26">
    <mergeCell ref="A4:L4"/>
    <mergeCell ref="A7:L7"/>
    <mergeCell ref="A8:L8"/>
    <mergeCell ref="A19:L19"/>
    <mergeCell ref="A32:L32"/>
    <mergeCell ref="A72:L72"/>
    <mergeCell ref="A112:L112"/>
    <mergeCell ref="B183:L183"/>
    <mergeCell ref="A361:L361"/>
    <mergeCell ref="A398:L398"/>
    <mergeCell ref="A150:L150"/>
    <mergeCell ref="A436:L436"/>
    <mergeCell ref="A474:L474"/>
    <mergeCell ref="A511:L511"/>
    <mergeCell ref="A548:L548"/>
    <mergeCell ref="A585:L585"/>
    <mergeCell ref="C827:E827"/>
    <mergeCell ref="F829:G829"/>
    <mergeCell ref="H829:I829"/>
    <mergeCell ref="K829:L829"/>
    <mergeCell ref="A622:L622"/>
    <mergeCell ref="A658:L658"/>
    <mergeCell ref="A716:L716"/>
    <mergeCell ref="A755:L755"/>
    <mergeCell ref="A791:L791"/>
    <mergeCell ref="A826:L826"/>
  </mergeCells>
  <printOptions horizontalCentered="1"/>
  <pageMargins left="0.3" right="0.3" top="1" bottom="1" header="0.5" footer="0.24"/>
  <pageSetup fitToHeight="47" horizontalDpi="600" verticalDpi="600" orientation="landscape" scale="85" r:id="rId3"/>
  <rowBreaks count="22" manualBreakCount="22">
    <brk id="30" max="11" man="1"/>
    <brk id="70" max="255" man="1"/>
    <brk id="110" max="255" man="1"/>
    <brk id="148" max="255" man="1"/>
    <brk id="181" max="255" man="1"/>
    <brk id="218" max="11" man="1"/>
    <brk id="264" max="255" man="1"/>
    <brk id="288" max="255" man="1"/>
    <brk id="326" max="255" man="1"/>
    <brk id="359" max="255" man="1"/>
    <brk id="396" max="255" man="1"/>
    <brk id="434" max="255" man="1"/>
    <brk id="472" max="255" man="1"/>
    <brk id="509" max="255" man="1"/>
    <brk id="546" max="255" man="1"/>
    <brk id="583" max="255" man="1"/>
    <brk id="620" max="255" man="1"/>
    <brk id="656" max="255" man="1"/>
    <brk id="714" max="255" man="1"/>
    <brk id="753" max="255" man="1"/>
    <brk id="789" max="255" man="1"/>
    <brk id="824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S934"/>
  <sheetViews>
    <sheetView showGridLines="0" showZeros="0" view="pageBreakPreview" zoomScale="75" zoomScaleNormal="75" zoomScaleSheetLayoutView="75" workbookViewId="0" topLeftCell="A815">
      <selection activeCell="A160" sqref="A160"/>
    </sheetView>
  </sheetViews>
  <sheetFormatPr defaultColWidth="9.625" defaultRowHeight="12.75"/>
  <cols>
    <col min="1" max="1" width="4.625" style="48" customWidth="1"/>
    <col min="2" max="2" width="33.00390625" style="48" customWidth="1"/>
    <col min="3" max="3" width="15.625" style="48" customWidth="1"/>
    <col min="4" max="4" width="8.125" style="48" customWidth="1"/>
    <col min="5" max="5" width="5.375" style="48" customWidth="1"/>
    <col min="6" max="6" width="11.625" style="85" customWidth="1"/>
    <col min="7" max="7" width="11.625" style="57" customWidth="1"/>
    <col min="8" max="8" width="10.375" style="85" bestFit="1" customWidth="1"/>
    <col min="9" max="9" width="11.625" style="57" customWidth="1"/>
    <col min="10" max="10" width="4.75390625" style="57" customWidth="1"/>
    <col min="11" max="11" width="10.375" style="192" bestFit="1" customWidth="1"/>
    <col min="12" max="12" width="14.00390625" style="48" bestFit="1" customWidth="1"/>
    <col min="13" max="16384" width="9.625" style="48" customWidth="1"/>
  </cols>
  <sheetData>
    <row r="1" spans="11:14" s="5" customFormat="1" ht="12">
      <c r="K1" s="26"/>
      <c r="L1" s="28" t="s">
        <v>71</v>
      </c>
      <c r="N1" s="26"/>
    </row>
    <row r="2" spans="11:15" s="5" customFormat="1" ht="12">
      <c r="K2" s="26"/>
      <c r="L2" s="16"/>
      <c r="N2" s="26"/>
      <c r="O2" s="16"/>
    </row>
    <row r="3" spans="1:15" s="5" customFormat="1" ht="45">
      <c r="A3" s="385" t="s">
        <v>35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</row>
    <row r="4" spans="11:15" s="5" customFormat="1" ht="12">
      <c r="K4" s="26"/>
      <c r="L4" s="16"/>
      <c r="N4" s="26"/>
      <c r="O4" s="16"/>
    </row>
    <row r="5" spans="11:15" s="5" customFormat="1" ht="12">
      <c r="K5" s="26"/>
      <c r="L5" s="16"/>
      <c r="N5" s="26"/>
      <c r="O5" s="16"/>
    </row>
    <row r="6" spans="1:15" s="29" customFormat="1" ht="33">
      <c r="A6" s="386" t="s">
        <v>72</v>
      </c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</row>
    <row r="7" spans="1:15" s="29" customFormat="1" ht="33">
      <c r="A7" s="386" t="s">
        <v>73</v>
      </c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</row>
    <row r="8" spans="11:15" s="5" customFormat="1" ht="12">
      <c r="K8" s="26"/>
      <c r="L8" s="16"/>
      <c r="N8" s="26"/>
      <c r="O8" s="16"/>
    </row>
    <row r="9" spans="11:15" s="5" customFormat="1" ht="12">
      <c r="K9" s="26"/>
      <c r="L9" s="16"/>
      <c r="N9" s="26"/>
      <c r="O9" s="16"/>
    </row>
    <row r="10" spans="11:15" s="5" customFormat="1" ht="12">
      <c r="K10" s="26"/>
      <c r="L10" s="16"/>
      <c r="N10" s="26"/>
      <c r="O10" s="16"/>
    </row>
    <row r="11" spans="11:15" s="5" customFormat="1" ht="12">
      <c r="K11" s="26"/>
      <c r="L11" s="16"/>
      <c r="N11" s="26"/>
      <c r="O11" s="16"/>
    </row>
    <row r="12" spans="11:15" s="5" customFormat="1" ht="12">
      <c r="K12" s="26"/>
      <c r="L12" s="16"/>
      <c r="N12" s="26"/>
      <c r="O12" s="16"/>
    </row>
    <row r="13" spans="11:15" s="5" customFormat="1" ht="12">
      <c r="K13" s="26"/>
      <c r="L13" s="16"/>
      <c r="N13" s="26"/>
      <c r="O13" s="16"/>
    </row>
    <row r="14" spans="11:15" s="5" customFormat="1" ht="12">
      <c r="K14" s="26"/>
      <c r="L14" s="16"/>
      <c r="N14" s="26"/>
      <c r="O14" s="16"/>
    </row>
    <row r="15" spans="11:15" s="5" customFormat="1" ht="12">
      <c r="K15" s="26"/>
      <c r="L15" s="16"/>
      <c r="N15" s="26"/>
      <c r="O15" s="16"/>
    </row>
    <row r="16" spans="11:15" s="5" customFormat="1" ht="12">
      <c r="K16" s="26"/>
      <c r="L16" s="16"/>
      <c r="N16" s="26"/>
      <c r="O16" s="16"/>
    </row>
    <row r="17" spans="11:15" s="5" customFormat="1" ht="12">
      <c r="K17" s="26"/>
      <c r="L17" s="16"/>
      <c r="N17" s="26"/>
      <c r="O17" s="16"/>
    </row>
    <row r="18" spans="1:15" s="5" customFormat="1" ht="45">
      <c r="A18" s="452" t="s">
        <v>609</v>
      </c>
      <c r="B18" s="452"/>
      <c r="C18" s="452"/>
      <c r="D18" s="452"/>
      <c r="E18" s="452"/>
      <c r="F18" s="452"/>
      <c r="G18" s="452"/>
      <c r="H18" s="452"/>
      <c r="I18" s="452"/>
      <c r="J18" s="452"/>
      <c r="K18" s="452"/>
      <c r="L18" s="452"/>
      <c r="M18" s="90"/>
      <c r="N18" s="90"/>
      <c r="O18" s="90"/>
    </row>
    <row r="19" spans="11:15" s="5" customFormat="1" ht="12">
      <c r="K19" s="26"/>
      <c r="L19" s="16"/>
      <c r="N19" s="26"/>
      <c r="O19" s="16"/>
    </row>
    <row r="20" spans="11:15" s="5" customFormat="1" ht="12">
      <c r="K20" s="26"/>
      <c r="L20" s="16"/>
      <c r="N20" s="26"/>
      <c r="O20" s="16"/>
    </row>
    <row r="21" spans="11:15" s="5" customFormat="1" ht="12">
      <c r="K21" s="26"/>
      <c r="L21" s="16"/>
      <c r="N21" s="26"/>
      <c r="O21" s="16"/>
    </row>
    <row r="22" spans="11:15" s="5" customFormat="1" ht="12">
      <c r="K22" s="26"/>
      <c r="L22" s="16"/>
      <c r="N22" s="26"/>
      <c r="O22" s="16"/>
    </row>
    <row r="23" spans="11:15" s="5" customFormat="1" ht="12">
      <c r="K23" s="26"/>
      <c r="L23" s="16"/>
      <c r="N23" s="26"/>
      <c r="O23" s="16"/>
    </row>
    <row r="24" spans="11:15" s="5" customFormat="1" ht="12">
      <c r="K24" s="26"/>
      <c r="L24" s="16"/>
      <c r="N24" s="26"/>
      <c r="O24" s="16"/>
    </row>
    <row r="25" spans="11:15" s="5" customFormat="1" ht="12">
      <c r="K25" s="26"/>
      <c r="L25" s="16"/>
      <c r="N25" s="26"/>
      <c r="O25" s="16"/>
    </row>
    <row r="26" spans="11:15" s="5" customFormat="1" ht="12">
      <c r="K26" s="26"/>
      <c r="L26" s="16"/>
      <c r="N26" s="26"/>
      <c r="O26" s="16"/>
    </row>
    <row r="27" spans="11:15" s="5" customFormat="1" ht="12">
      <c r="K27" s="26"/>
      <c r="L27" s="16"/>
      <c r="N27" s="26"/>
      <c r="O27" s="16"/>
    </row>
    <row r="28" spans="11:15" s="5" customFormat="1" ht="12">
      <c r="K28" s="26"/>
      <c r="L28" s="16"/>
      <c r="N28" s="26"/>
      <c r="O28" s="16"/>
    </row>
    <row r="29" spans="11:15" s="5" customFormat="1" ht="12">
      <c r="K29" s="26"/>
      <c r="L29" s="16"/>
      <c r="N29" s="26"/>
      <c r="O29" s="16"/>
    </row>
    <row r="30" spans="11:15" s="5" customFormat="1" ht="12">
      <c r="K30" s="26"/>
      <c r="L30" s="16"/>
      <c r="N30" s="26"/>
      <c r="O30" s="16"/>
    </row>
    <row r="31" spans="1:12" ht="12">
      <c r="A31" s="91" t="s">
        <v>528</v>
      </c>
      <c r="F31" s="84"/>
      <c r="I31" s="48"/>
      <c r="J31" s="92"/>
      <c r="L31" s="92" t="s">
        <v>76</v>
      </c>
    </row>
    <row r="32" spans="1:12" s="93" customFormat="1" ht="12">
      <c r="A32" s="455" t="s">
        <v>77</v>
      </c>
      <c r="B32" s="455"/>
      <c r="C32" s="455"/>
      <c r="D32" s="455"/>
      <c r="E32" s="455"/>
      <c r="F32" s="455"/>
      <c r="G32" s="455"/>
      <c r="H32" s="455"/>
      <c r="I32" s="455"/>
      <c r="J32" s="455"/>
      <c r="K32" s="455"/>
      <c r="L32" s="455"/>
    </row>
    <row r="33" spans="1:12" ht="12">
      <c r="A33" s="91" t="s">
        <v>527</v>
      </c>
      <c r="F33" s="84"/>
      <c r="H33" s="84"/>
      <c r="I33" s="48"/>
      <c r="J33" s="94"/>
      <c r="L33" s="94" t="s">
        <v>71</v>
      </c>
    </row>
    <row r="34" spans="1:12" ht="12">
      <c r="A34" s="45" t="s">
        <v>1</v>
      </c>
      <c r="B34" s="45" t="s">
        <v>1</v>
      </c>
      <c r="C34" s="45" t="s">
        <v>1</v>
      </c>
      <c r="D34" s="45" t="s">
        <v>1</v>
      </c>
      <c r="E34" s="45" t="s">
        <v>1</v>
      </c>
      <c r="F34" s="95" t="s">
        <v>1</v>
      </c>
      <c r="G34" s="71" t="s">
        <v>1</v>
      </c>
      <c r="H34" s="95" t="s">
        <v>1</v>
      </c>
      <c r="I34" s="71" t="s">
        <v>1</v>
      </c>
      <c r="J34" s="71"/>
      <c r="K34" s="193" t="s">
        <v>1</v>
      </c>
      <c r="L34" s="71" t="s">
        <v>1</v>
      </c>
    </row>
    <row r="35" spans="1:12" ht="12">
      <c r="A35" s="59" t="s">
        <v>2</v>
      </c>
      <c r="B35" s="47" t="s">
        <v>3</v>
      </c>
      <c r="D35" s="59" t="s">
        <v>2</v>
      </c>
      <c r="E35" s="77"/>
      <c r="F35" s="96"/>
      <c r="G35" s="87" t="s">
        <v>62</v>
      </c>
      <c r="H35" s="96"/>
      <c r="I35" s="77" t="s">
        <v>65</v>
      </c>
      <c r="J35" s="87"/>
      <c r="L35" s="77" t="s">
        <v>70</v>
      </c>
    </row>
    <row r="36" spans="1:12" ht="12">
      <c r="A36" s="59" t="s">
        <v>4</v>
      </c>
      <c r="B36" s="80" t="s">
        <v>5</v>
      </c>
      <c r="D36" s="59" t="s">
        <v>4</v>
      </c>
      <c r="E36" s="77"/>
      <c r="F36" s="96" t="s">
        <v>6</v>
      </c>
      <c r="G36" s="87" t="s">
        <v>7</v>
      </c>
      <c r="H36" s="96" t="s">
        <v>6</v>
      </c>
      <c r="I36" s="87" t="s">
        <v>7</v>
      </c>
      <c r="J36" s="87"/>
      <c r="K36" s="192" t="s">
        <v>19</v>
      </c>
      <c r="L36" s="77" t="s">
        <v>8</v>
      </c>
    </row>
    <row r="37" spans="1:12" ht="12">
      <c r="A37" s="45" t="s">
        <v>1</v>
      </c>
      <c r="B37" s="45" t="s">
        <v>1</v>
      </c>
      <c r="C37" s="45" t="s">
        <v>1</v>
      </c>
      <c r="D37" s="45" t="s">
        <v>1</v>
      </c>
      <c r="E37" s="45" t="s">
        <v>1</v>
      </c>
      <c r="F37" s="95" t="s">
        <v>1</v>
      </c>
      <c r="G37" s="95" t="s">
        <v>1</v>
      </c>
      <c r="H37" s="95" t="s">
        <v>1</v>
      </c>
      <c r="I37" s="71" t="s">
        <v>1</v>
      </c>
      <c r="J37" s="71"/>
      <c r="K37" s="193" t="s">
        <v>1</v>
      </c>
      <c r="L37" s="71" t="s">
        <v>1</v>
      </c>
    </row>
    <row r="38" spans="1:12" ht="12">
      <c r="A38" s="72">
        <v>1</v>
      </c>
      <c r="B38" s="47" t="s">
        <v>9</v>
      </c>
      <c r="C38" s="81" t="s">
        <v>24</v>
      </c>
      <c r="D38" s="72">
        <v>1</v>
      </c>
      <c r="F38" s="97">
        <v>747.9799999999999</v>
      </c>
      <c r="G38" s="98">
        <v>70483754</v>
      </c>
      <c r="H38" s="97">
        <v>810.8443619358095</v>
      </c>
      <c r="I38" s="98">
        <v>73863394</v>
      </c>
      <c r="J38" s="98"/>
      <c r="K38" s="204">
        <v>790.8302920741999</v>
      </c>
      <c r="L38" s="235">
        <v>72724935</v>
      </c>
    </row>
    <row r="39" spans="1:12" ht="12">
      <c r="A39" s="72">
        <v>2</v>
      </c>
      <c r="B39" s="47" t="s">
        <v>10</v>
      </c>
      <c r="C39" s="81" t="s">
        <v>25</v>
      </c>
      <c r="D39" s="72">
        <v>2</v>
      </c>
      <c r="F39" s="97">
        <v>0</v>
      </c>
      <c r="G39" s="98">
        <v>67321</v>
      </c>
      <c r="H39" s="97">
        <v>0</v>
      </c>
      <c r="I39" s="98">
        <v>85070</v>
      </c>
      <c r="J39" s="98"/>
      <c r="K39" s="204">
        <v>0</v>
      </c>
      <c r="L39" s="235">
        <v>9241</v>
      </c>
    </row>
    <row r="40" spans="1:12" ht="12">
      <c r="A40" s="72">
        <v>3</v>
      </c>
      <c r="B40" s="47" t="s">
        <v>11</v>
      </c>
      <c r="C40" s="81" t="s">
        <v>26</v>
      </c>
      <c r="D40" s="72">
        <v>3</v>
      </c>
      <c r="F40" s="97">
        <v>1.384352008719656</v>
      </c>
      <c r="G40" s="98">
        <v>200101</v>
      </c>
      <c r="H40" s="97">
        <v>1.53720662978189</v>
      </c>
      <c r="I40" s="98">
        <v>242322</v>
      </c>
      <c r="J40" s="98"/>
      <c r="K40" s="204">
        <v>1.08835760067293</v>
      </c>
      <c r="L40" s="235">
        <v>140130</v>
      </c>
    </row>
    <row r="41" spans="1:12" ht="12">
      <c r="A41" s="72">
        <v>4</v>
      </c>
      <c r="B41" s="47" t="s">
        <v>12</v>
      </c>
      <c r="C41" s="81" t="s">
        <v>27</v>
      </c>
      <c r="D41" s="72">
        <v>4</v>
      </c>
      <c r="F41" s="97">
        <v>201.60596440158878</v>
      </c>
      <c r="G41" s="98">
        <v>18797701</v>
      </c>
      <c r="H41" s="97">
        <v>196.5131647196292</v>
      </c>
      <c r="I41" s="98">
        <v>18647758</v>
      </c>
      <c r="J41" s="98"/>
      <c r="K41" s="204">
        <v>207.0867691818808</v>
      </c>
      <c r="L41" s="235">
        <v>18761283</v>
      </c>
    </row>
    <row r="42" spans="1:12" ht="12">
      <c r="A42" s="72">
        <v>5</v>
      </c>
      <c r="B42" s="47" t="s">
        <v>13</v>
      </c>
      <c r="C42" s="81" t="s">
        <v>28</v>
      </c>
      <c r="D42" s="72">
        <v>5</v>
      </c>
      <c r="F42" s="97">
        <v>76.01269576867719</v>
      </c>
      <c r="G42" s="98">
        <v>6890748</v>
      </c>
      <c r="H42" s="97">
        <v>76.01187970676636</v>
      </c>
      <c r="I42" s="98">
        <v>6964260</v>
      </c>
      <c r="J42" s="98"/>
      <c r="K42" s="204">
        <v>71.69046410477912</v>
      </c>
      <c r="L42" s="235">
        <v>6715863</v>
      </c>
    </row>
    <row r="43" spans="1:12" ht="12">
      <c r="A43" s="72">
        <v>6</v>
      </c>
      <c r="B43" s="47" t="s">
        <v>14</v>
      </c>
      <c r="C43" s="81" t="s">
        <v>29</v>
      </c>
      <c r="D43" s="72">
        <v>6</v>
      </c>
      <c r="F43" s="97">
        <v>106.85682670198344</v>
      </c>
      <c r="G43" s="98">
        <v>13258732</v>
      </c>
      <c r="H43" s="97">
        <v>118.88784940038619</v>
      </c>
      <c r="I43" s="98">
        <v>12528182</v>
      </c>
      <c r="J43" s="98"/>
      <c r="K43" s="204">
        <v>104.3488625234182</v>
      </c>
      <c r="L43" s="235">
        <v>12424419</v>
      </c>
    </row>
    <row r="44" spans="1:12" ht="12">
      <c r="A44" s="72">
        <v>7</v>
      </c>
      <c r="B44" s="47" t="s">
        <v>20</v>
      </c>
      <c r="C44" s="81" t="s">
        <v>30</v>
      </c>
      <c r="D44" s="72">
        <v>7</v>
      </c>
      <c r="F44" s="97">
        <v>21.64840787904994</v>
      </c>
      <c r="G44" s="98">
        <v>6353279</v>
      </c>
      <c r="H44" s="97">
        <v>23.136560988764586</v>
      </c>
      <c r="I44" s="98">
        <v>6455790</v>
      </c>
      <c r="J44" s="98"/>
      <c r="K44" s="204">
        <v>21.614177324448754</v>
      </c>
      <c r="L44" s="235">
        <v>6445523</v>
      </c>
    </row>
    <row r="45" spans="1:12" ht="12">
      <c r="A45" s="72">
        <v>8</v>
      </c>
      <c r="B45" s="47" t="s">
        <v>15</v>
      </c>
      <c r="C45" s="81" t="s">
        <v>31</v>
      </c>
      <c r="D45" s="72">
        <v>8</v>
      </c>
      <c r="F45" s="97">
        <v>0</v>
      </c>
      <c r="G45" s="98">
        <v>6298426</v>
      </c>
      <c r="H45" s="97">
        <v>0</v>
      </c>
      <c r="I45" s="98">
        <v>7473171</v>
      </c>
      <c r="J45" s="98"/>
      <c r="K45" s="204">
        <v>0</v>
      </c>
      <c r="L45" s="235">
        <v>8519000</v>
      </c>
    </row>
    <row r="46" spans="1:12" ht="12">
      <c r="A46" s="72">
        <v>9</v>
      </c>
      <c r="B46" s="47" t="s">
        <v>22</v>
      </c>
      <c r="C46" s="81" t="s">
        <v>32</v>
      </c>
      <c r="D46" s="72">
        <v>9</v>
      </c>
      <c r="F46" s="234">
        <v>0</v>
      </c>
      <c r="G46" s="234">
        <v>0</v>
      </c>
      <c r="H46" s="234">
        <v>0</v>
      </c>
      <c r="I46" s="234">
        <v>0</v>
      </c>
      <c r="J46" s="234"/>
      <c r="K46" s="204">
        <v>0</v>
      </c>
      <c r="L46" s="235">
        <v>0</v>
      </c>
    </row>
    <row r="47" spans="1:12" ht="12">
      <c r="A47" s="72">
        <v>10</v>
      </c>
      <c r="B47" s="47" t="s">
        <v>16</v>
      </c>
      <c r="C47" s="81" t="s">
        <v>21</v>
      </c>
      <c r="D47" s="72">
        <v>10</v>
      </c>
      <c r="F47" s="97">
        <v>0</v>
      </c>
      <c r="G47" s="98">
        <v>12009203</v>
      </c>
      <c r="H47" s="97">
        <v>0</v>
      </c>
      <c r="I47" s="98">
        <v>21188543</v>
      </c>
      <c r="J47" s="98"/>
      <c r="K47" s="204">
        <v>0</v>
      </c>
      <c r="L47" s="235">
        <v>25551071</v>
      </c>
    </row>
    <row r="48" spans="1:12" ht="12">
      <c r="A48" s="72"/>
      <c r="B48" s="47"/>
      <c r="C48" s="81"/>
      <c r="D48" s="72"/>
      <c r="E48" s="45" t="s">
        <v>1</v>
      </c>
      <c r="F48" s="95" t="s">
        <v>1</v>
      </c>
      <c r="G48" s="100"/>
      <c r="H48" s="95"/>
      <c r="I48" s="100"/>
      <c r="J48" s="100"/>
      <c r="K48" s="193" t="s">
        <v>1</v>
      </c>
      <c r="L48" s="193" t="s">
        <v>1</v>
      </c>
    </row>
    <row r="49" spans="1:12" ht="15.75" customHeight="1">
      <c r="A49" s="48">
        <v>11</v>
      </c>
      <c r="B49" s="47" t="s">
        <v>59</v>
      </c>
      <c r="D49" s="48">
        <v>11</v>
      </c>
      <c r="F49" s="97">
        <v>1155.488246760019</v>
      </c>
      <c r="G49" s="98">
        <v>134359265</v>
      </c>
      <c r="H49" s="97">
        <v>1226.9310233811377</v>
      </c>
      <c r="I49" s="98">
        <v>147448490</v>
      </c>
      <c r="J49" s="98"/>
      <c r="K49" s="204">
        <v>1196.6589228093994</v>
      </c>
      <c r="L49" s="235">
        <v>151291465</v>
      </c>
    </row>
    <row r="50" spans="1:12" ht="12">
      <c r="A50" s="72"/>
      <c r="D50" s="72"/>
      <c r="E50" s="45" t="s">
        <v>1</v>
      </c>
      <c r="F50" s="95" t="s">
        <v>1</v>
      </c>
      <c r="G50" s="71"/>
      <c r="H50" s="95"/>
      <c r="I50" s="71"/>
      <c r="J50" s="71"/>
      <c r="K50" s="193" t="s">
        <v>1</v>
      </c>
      <c r="L50" s="193" t="s">
        <v>1</v>
      </c>
    </row>
    <row r="51" spans="1:12" ht="12">
      <c r="A51" s="48">
        <v>12</v>
      </c>
      <c r="B51" s="47" t="s">
        <v>17</v>
      </c>
      <c r="D51" s="48">
        <v>12</v>
      </c>
      <c r="F51" s="102"/>
      <c r="G51" s="102"/>
      <c r="H51" s="97"/>
      <c r="I51" s="102"/>
      <c r="J51" s="102"/>
      <c r="L51" s="57"/>
    </row>
    <row r="52" spans="1:12" ht="12">
      <c r="A52" s="72">
        <v>13</v>
      </c>
      <c r="B52" s="47" t="s">
        <v>51</v>
      </c>
      <c r="C52" s="81" t="s">
        <v>57</v>
      </c>
      <c r="D52" s="72">
        <v>13</v>
      </c>
      <c r="F52" s="97">
        <v>0</v>
      </c>
      <c r="G52" s="98">
        <v>0</v>
      </c>
      <c r="H52" s="97">
        <v>0</v>
      </c>
      <c r="I52" s="98">
        <v>0</v>
      </c>
      <c r="J52" s="98"/>
      <c r="L52" s="98">
        <v>0</v>
      </c>
    </row>
    <row r="53" spans="1:12" ht="12">
      <c r="A53" s="72">
        <v>14</v>
      </c>
      <c r="B53" s="47" t="s">
        <v>52</v>
      </c>
      <c r="C53" s="81" t="s">
        <v>58</v>
      </c>
      <c r="D53" s="72">
        <v>14</v>
      </c>
      <c r="F53" s="97">
        <v>0</v>
      </c>
      <c r="G53" s="98">
        <v>11954377.66</v>
      </c>
      <c r="H53" s="97">
        <v>0</v>
      </c>
      <c r="I53" s="98">
        <v>5758437</v>
      </c>
      <c r="J53" s="98"/>
      <c r="L53" s="235">
        <v>10908607</v>
      </c>
    </row>
    <row r="54" spans="1:12" ht="12">
      <c r="A54" s="72">
        <v>15</v>
      </c>
      <c r="B54" s="47" t="s">
        <v>54</v>
      </c>
      <c r="C54" s="81"/>
      <c r="D54" s="72">
        <v>15</v>
      </c>
      <c r="F54" s="97"/>
      <c r="G54" s="98">
        <v>13360157</v>
      </c>
      <c r="H54" s="97"/>
      <c r="I54" s="98">
        <v>9192519</v>
      </c>
      <c r="J54" s="98"/>
      <c r="L54" s="235">
        <v>13274732</v>
      </c>
    </row>
    <row r="55" spans="1:12" ht="12">
      <c r="A55" s="72">
        <v>16</v>
      </c>
      <c r="B55" s="47" t="s">
        <v>53</v>
      </c>
      <c r="C55" s="81"/>
      <c r="D55" s="72">
        <v>16</v>
      </c>
      <c r="F55" s="97">
        <v>0</v>
      </c>
      <c r="G55" s="98">
        <v>42479690</v>
      </c>
      <c r="H55" s="97"/>
      <c r="I55" s="98">
        <v>48908365</v>
      </c>
      <c r="J55" s="98"/>
      <c r="K55" s="97"/>
      <c r="L55" s="235">
        <v>53203275</v>
      </c>
    </row>
    <row r="56" spans="1:253" ht="12">
      <c r="A56" s="81">
        <v>17</v>
      </c>
      <c r="B56" s="103" t="s">
        <v>55</v>
      </c>
      <c r="C56" s="81" t="s">
        <v>377</v>
      </c>
      <c r="D56" s="81">
        <v>17</v>
      </c>
      <c r="E56" s="81"/>
      <c r="F56" s="97">
        <v>6634.42</v>
      </c>
      <c r="G56" s="98">
        <v>55839847</v>
      </c>
      <c r="H56" s="97">
        <v>7116.95</v>
      </c>
      <c r="I56" s="98">
        <v>58100884</v>
      </c>
      <c r="J56" s="98"/>
      <c r="K56" s="97">
        <v>7181</v>
      </c>
      <c r="L56" s="235">
        <v>66478007</v>
      </c>
      <c r="M56" s="81"/>
      <c r="N56" s="103"/>
      <c r="O56" s="81"/>
      <c r="P56" s="103"/>
      <c r="Q56" s="81"/>
      <c r="R56" s="103"/>
      <c r="S56" s="81"/>
      <c r="T56" s="103"/>
      <c r="U56" s="81"/>
      <c r="V56" s="103"/>
      <c r="W56" s="81"/>
      <c r="X56" s="103"/>
      <c r="Y56" s="81"/>
      <c r="Z56" s="103"/>
      <c r="AA56" s="81"/>
      <c r="AB56" s="103"/>
      <c r="AC56" s="81"/>
      <c r="AD56" s="103"/>
      <c r="AE56" s="81"/>
      <c r="AF56" s="103"/>
      <c r="AG56" s="81"/>
      <c r="AH56" s="103"/>
      <c r="AI56" s="81"/>
      <c r="AJ56" s="103"/>
      <c r="AK56" s="81"/>
      <c r="AL56" s="103"/>
      <c r="AM56" s="81"/>
      <c r="AN56" s="103"/>
      <c r="AO56" s="81"/>
      <c r="AP56" s="103"/>
      <c r="AQ56" s="81"/>
      <c r="AR56" s="103"/>
      <c r="AS56" s="81"/>
      <c r="AT56" s="103"/>
      <c r="AU56" s="81"/>
      <c r="AV56" s="103"/>
      <c r="AW56" s="81"/>
      <c r="AX56" s="103"/>
      <c r="AY56" s="81"/>
      <c r="AZ56" s="103"/>
      <c r="BA56" s="81"/>
      <c r="BB56" s="103"/>
      <c r="BC56" s="81"/>
      <c r="BD56" s="103"/>
      <c r="BE56" s="81"/>
      <c r="BF56" s="103"/>
      <c r="BG56" s="81"/>
      <c r="BH56" s="103"/>
      <c r="BI56" s="81"/>
      <c r="BJ56" s="103"/>
      <c r="BK56" s="81"/>
      <c r="BL56" s="103"/>
      <c r="BM56" s="81"/>
      <c r="BN56" s="103"/>
      <c r="BO56" s="81"/>
      <c r="BP56" s="103"/>
      <c r="BQ56" s="81"/>
      <c r="BR56" s="103"/>
      <c r="BS56" s="81"/>
      <c r="BT56" s="103"/>
      <c r="BU56" s="81"/>
      <c r="BV56" s="103"/>
      <c r="BW56" s="81"/>
      <c r="BX56" s="103"/>
      <c r="BY56" s="81"/>
      <c r="BZ56" s="103"/>
      <c r="CA56" s="81"/>
      <c r="CB56" s="103"/>
      <c r="CC56" s="81"/>
      <c r="CD56" s="103"/>
      <c r="CE56" s="81"/>
      <c r="CF56" s="103"/>
      <c r="CG56" s="81"/>
      <c r="CH56" s="103"/>
      <c r="CI56" s="81"/>
      <c r="CJ56" s="103"/>
      <c r="CK56" s="81"/>
      <c r="CL56" s="103"/>
      <c r="CM56" s="81"/>
      <c r="CN56" s="103"/>
      <c r="CO56" s="81"/>
      <c r="CP56" s="103"/>
      <c r="CQ56" s="81"/>
      <c r="CR56" s="103"/>
      <c r="CS56" s="81"/>
      <c r="CT56" s="103"/>
      <c r="CU56" s="81"/>
      <c r="CV56" s="103"/>
      <c r="CW56" s="81"/>
      <c r="CX56" s="103"/>
      <c r="CY56" s="81"/>
      <c r="CZ56" s="103"/>
      <c r="DA56" s="81"/>
      <c r="DB56" s="103"/>
      <c r="DC56" s="81"/>
      <c r="DD56" s="103"/>
      <c r="DE56" s="81"/>
      <c r="DF56" s="103"/>
      <c r="DG56" s="81"/>
      <c r="DH56" s="103"/>
      <c r="DI56" s="81"/>
      <c r="DJ56" s="103"/>
      <c r="DK56" s="81"/>
      <c r="DL56" s="103"/>
      <c r="DM56" s="81"/>
      <c r="DN56" s="103"/>
      <c r="DO56" s="81"/>
      <c r="DP56" s="103"/>
      <c r="DQ56" s="81"/>
      <c r="DR56" s="103"/>
      <c r="DS56" s="81"/>
      <c r="DT56" s="103"/>
      <c r="DU56" s="81"/>
      <c r="DV56" s="103"/>
      <c r="DW56" s="81"/>
      <c r="DX56" s="103"/>
      <c r="DY56" s="81"/>
      <c r="DZ56" s="103"/>
      <c r="EA56" s="81"/>
      <c r="EB56" s="103"/>
      <c r="EC56" s="81"/>
      <c r="ED56" s="103"/>
      <c r="EE56" s="81"/>
      <c r="EF56" s="103"/>
      <c r="EG56" s="81"/>
      <c r="EH56" s="103"/>
      <c r="EI56" s="81"/>
      <c r="EJ56" s="103"/>
      <c r="EK56" s="81"/>
      <c r="EL56" s="103"/>
      <c r="EM56" s="81"/>
      <c r="EN56" s="103"/>
      <c r="EO56" s="81"/>
      <c r="EP56" s="103"/>
      <c r="EQ56" s="81"/>
      <c r="ER56" s="103"/>
      <c r="ES56" s="81"/>
      <c r="ET56" s="103"/>
      <c r="EU56" s="81"/>
      <c r="EV56" s="103"/>
      <c r="EW56" s="81"/>
      <c r="EX56" s="103"/>
      <c r="EY56" s="81"/>
      <c r="EZ56" s="103"/>
      <c r="FA56" s="81"/>
      <c r="FB56" s="103"/>
      <c r="FC56" s="81"/>
      <c r="FD56" s="103"/>
      <c r="FE56" s="81"/>
      <c r="FF56" s="103"/>
      <c r="FG56" s="81"/>
      <c r="FH56" s="103"/>
      <c r="FI56" s="81"/>
      <c r="FJ56" s="103"/>
      <c r="FK56" s="81"/>
      <c r="FL56" s="103"/>
      <c r="FM56" s="81"/>
      <c r="FN56" s="103"/>
      <c r="FO56" s="81"/>
      <c r="FP56" s="103"/>
      <c r="FQ56" s="81"/>
      <c r="FR56" s="103"/>
      <c r="FS56" s="81"/>
      <c r="FT56" s="103"/>
      <c r="FU56" s="81"/>
      <c r="FV56" s="103"/>
      <c r="FW56" s="81"/>
      <c r="FX56" s="103"/>
      <c r="FY56" s="81"/>
      <c r="FZ56" s="103"/>
      <c r="GA56" s="81"/>
      <c r="GB56" s="103"/>
      <c r="GC56" s="81"/>
      <c r="GD56" s="103"/>
      <c r="GE56" s="81"/>
      <c r="GF56" s="103"/>
      <c r="GG56" s="81"/>
      <c r="GH56" s="103"/>
      <c r="GI56" s="81"/>
      <c r="GJ56" s="103"/>
      <c r="GK56" s="81"/>
      <c r="GL56" s="103"/>
      <c r="GM56" s="81"/>
      <c r="GN56" s="103"/>
      <c r="GO56" s="81"/>
      <c r="GP56" s="103"/>
      <c r="GQ56" s="81"/>
      <c r="GR56" s="103"/>
      <c r="GS56" s="81"/>
      <c r="GT56" s="103"/>
      <c r="GU56" s="81"/>
      <c r="GV56" s="103"/>
      <c r="GW56" s="81"/>
      <c r="GX56" s="103"/>
      <c r="GY56" s="81"/>
      <c r="GZ56" s="103"/>
      <c r="HA56" s="81"/>
      <c r="HB56" s="103"/>
      <c r="HC56" s="81"/>
      <c r="HD56" s="103"/>
      <c r="HE56" s="81"/>
      <c r="HF56" s="103"/>
      <c r="HG56" s="81"/>
      <c r="HH56" s="103"/>
      <c r="HI56" s="81"/>
      <c r="HJ56" s="103"/>
      <c r="HK56" s="81"/>
      <c r="HL56" s="103"/>
      <c r="HM56" s="81"/>
      <c r="HN56" s="103"/>
      <c r="HO56" s="81"/>
      <c r="HP56" s="103"/>
      <c r="HQ56" s="81"/>
      <c r="HR56" s="103"/>
      <c r="HS56" s="81"/>
      <c r="HT56" s="103"/>
      <c r="HU56" s="81"/>
      <c r="HV56" s="103"/>
      <c r="HW56" s="81"/>
      <c r="HX56" s="103"/>
      <c r="HY56" s="81"/>
      <c r="HZ56" s="103"/>
      <c r="IA56" s="81"/>
      <c r="IB56" s="103"/>
      <c r="IC56" s="81"/>
      <c r="ID56" s="103"/>
      <c r="IE56" s="81"/>
      <c r="IF56" s="103"/>
      <c r="IG56" s="81"/>
      <c r="IH56" s="103"/>
      <c r="II56" s="81"/>
      <c r="IJ56" s="103"/>
      <c r="IK56" s="81"/>
      <c r="IL56" s="103"/>
      <c r="IM56" s="81"/>
      <c r="IN56" s="103"/>
      <c r="IO56" s="81"/>
      <c r="IP56" s="103"/>
      <c r="IQ56" s="81"/>
      <c r="IR56" s="103"/>
      <c r="IS56" s="81"/>
    </row>
    <row r="57" spans="1:12" ht="12">
      <c r="A57" s="72">
        <v>18</v>
      </c>
      <c r="B57" s="47" t="s">
        <v>56</v>
      </c>
      <c r="C57" s="81" t="s">
        <v>377</v>
      </c>
      <c r="D57" s="72">
        <v>18</v>
      </c>
      <c r="F57" s="97">
        <v>2099.8</v>
      </c>
      <c r="G57" s="98">
        <v>23066914</v>
      </c>
      <c r="H57" s="97">
        <v>2329.86</v>
      </c>
      <c r="I57" s="98">
        <v>25968744</v>
      </c>
      <c r="J57" s="98"/>
      <c r="K57" s="97">
        <v>2239</v>
      </c>
      <c r="L57" s="235">
        <v>26581339</v>
      </c>
    </row>
    <row r="58" spans="1:12" ht="12">
      <c r="A58" s="72">
        <v>19</v>
      </c>
      <c r="B58" s="47" t="s">
        <v>37</v>
      </c>
      <c r="C58" s="81" t="s">
        <v>377</v>
      </c>
      <c r="D58" s="72">
        <v>19</v>
      </c>
      <c r="F58" s="97">
        <v>955.0500000000001</v>
      </c>
      <c r="G58" s="98">
        <v>21157331</v>
      </c>
      <c r="H58" s="97">
        <v>1080.1499999999999</v>
      </c>
      <c r="I58" s="98">
        <v>24010467</v>
      </c>
      <c r="J58" s="98"/>
      <c r="K58" s="97">
        <v>1136</v>
      </c>
      <c r="L58" s="235">
        <v>25570170</v>
      </c>
    </row>
    <row r="59" spans="1:12" ht="12">
      <c r="A59" s="72">
        <v>20</v>
      </c>
      <c r="B59" s="47" t="s">
        <v>36</v>
      </c>
      <c r="C59" s="81" t="s">
        <v>377</v>
      </c>
      <c r="D59" s="72">
        <v>20</v>
      </c>
      <c r="F59" s="97">
        <v>9689.27</v>
      </c>
      <c r="G59" s="98">
        <v>100064092</v>
      </c>
      <c r="H59" s="97">
        <v>10526.96</v>
      </c>
      <c r="I59" s="98">
        <v>108080095</v>
      </c>
      <c r="J59" s="98"/>
      <c r="K59" s="97">
        <v>10556</v>
      </c>
      <c r="L59" s="235">
        <v>118629516</v>
      </c>
    </row>
    <row r="60" spans="1:12" ht="12">
      <c r="A60" s="81" t="s">
        <v>68</v>
      </c>
      <c r="B60" s="47" t="s">
        <v>66</v>
      </c>
      <c r="C60" s="81" t="s">
        <v>378</v>
      </c>
      <c r="D60" s="72">
        <v>21</v>
      </c>
      <c r="F60" s="97">
        <v>0</v>
      </c>
      <c r="G60" s="98">
        <v>5716579</v>
      </c>
      <c r="H60" s="97">
        <v>0</v>
      </c>
      <c r="I60" s="98">
        <v>9771925</v>
      </c>
      <c r="J60" s="98"/>
      <c r="K60" s="201">
        <v>0</v>
      </c>
      <c r="L60" s="98">
        <v>10529162</v>
      </c>
    </row>
    <row r="61" spans="1:12" ht="12">
      <c r="A61" s="81" t="s">
        <v>69</v>
      </c>
      <c r="B61" s="47" t="s">
        <v>67</v>
      </c>
      <c r="C61" s="81"/>
      <c r="D61" s="72"/>
      <c r="F61" s="97"/>
      <c r="G61" s="98">
        <v>7770460</v>
      </c>
      <c r="H61" s="97"/>
      <c r="I61" s="98">
        <v>18080483</v>
      </c>
      <c r="J61" s="98"/>
      <c r="K61" s="201"/>
      <c r="L61" s="235">
        <v>5764220</v>
      </c>
    </row>
    <row r="62" spans="1:12" ht="12">
      <c r="A62" s="72">
        <v>22</v>
      </c>
      <c r="B62" s="53"/>
      <c r="D62" s="72">
        <v>22</v>
      </c>
      <c r="E62" s="45" t="s">
        <v>1</v>
      </c>
      <c r="F62" s="95"/>
      <c r="G62" s="71"/>
      <c r="H62" s="95"/>
      <c r="I62" s="71"/>
      <c r="J62" s="71"/>
      <c r="K62" s="193" t="s">
        <v>1</v>
      </c>
      <c r="L62" s="193" t="s">
        <v>1</v>
      </c>
    </row>
    <row r="63" spans="1:12" ht="12">
      <c r="A63" s="72">
        <v>23</v>
      </c>
      <c r="B63" s="48" t="s">
        <v>38</v>
      </c>
      <c r="C63" s="83"/>
      <c r="D63" s="72">
        <v>23</v>
      </c>
      <c r="E63" s="51"/>
      <c r="F63" s="97"/>
      <c r="G63" s="98">
        <v>125505508.66</v>
      </c>
      <c r="H63" s="97"/>
      <c r="I63" s="98">
        <v>141690940</v>
      </c>
      <c r="J63" s="98"/>
      <c r="L63" s="235">
        <v>145831505</v>
      </c>
    </row>
    <row r="64" spans="1:12" ht="12">
      <c r="A64" s="72">
        <v>24</v>
      </c>
      <c r="B64" s="53"/>
      <c r="C64" s="47"/>
      <c r="D64" s="72">
        <v>24</v>
      </c>
      <c r="L64" s="235"/>
    </row>
    <row r="65" spans="1:12" ht="12">
      <c r="A65" s="72">
        <v>25</v>
      </c>
      <c r="B65" s="47" t="s">
        <v>47</v>
      </c>
      <c r="C65" s="81" t="s">
        <v>379</v>
      </c>
      <c r="D65" s="72">
        <v>25</v>
      </c>
      <c r="F65" s="97"/>
      <c r="G65" s="98">
        <v>8853756.379999999</v>
      </c>
      <c r="H65" s="97"/>
      <c r="I65" s="98">
        <v>5757550</v>
      </c>
      <c r="J65" s="98"/>
      <c r="L65" s="235">
        <v>5459960</v>
      </c>
    </row>
    <row r="66" spans="1:12" ht="12">
      <c r="A66" s="48">
        <v>26</v>
      </c>
      <c r="D66" s="48">
        <v>26</v>
      </c>
      <c r="E66" s="45" t="s">
        <v>1</v>
      </c>
      <c r="F66" s="95"/>
      <c r="G66" s="71"/>
      <c r="H66" s="95"/>
      <c r="I66" s="71"/>
      <c r="J66" s="71"/>
      <c r="K66" s="193" t="s">
        <v>1</v>
      </c>
      <c r="L66" s="193" t="s">
        <v>1</v>
      </c>
    </row>
    <row r="67" spans="1:12" ht="15.75" customHeight="1">
      <c r="A67" s="72">
        <v>27</v>
      </c>
      <c r="B67" s="47" t="s">
        <v>60</v>
      </c>
      <c r="D67" s="72">
        <v>27</v>
      </c>
      <c r="E67" s="49"/>
      <c r="F67" s="97"/>
      <c r="G67" s="98">
        <v>134359265.04</v>
      </c>
      <c r="H67" s="97"/>
      <c r="I67" s="236">
        <v>147448490</v>
      </c>
      <c r="J67" s="98"/>
      <c r="L67" s="235">
        <v>151291465</v>
      </c>
    </row>
    <row r="68" spans="1:12" ht="12">
      <c r="A68" s="72"/>
      <c r="B68" s="47"/>
      <c r="D68" s="72"/>
      <c r="E68" s="49"/>
      <c r="F68" s="102"/>
      <c r="G68" s="234">
        <v>0.03999999165534973</v>
      </c>
      <c r="H68" s="102"/>
      <c r="I68" s="234">
        <v>0</v>
      </c>
      <c r="J68" s="234"/>
      <c r="L68" s="234">
        <v>0</v>
      </c>
    </row>
    <row r="69" spans="2:12" ht="12">
      <c r="B69" s="105" t="s">
        <v>23</v>
      </c>
      <c r="C69" s="106"/>
      <c r="D69" s="105"/>
      <c r="E69" s="107"/>
      <c r="F69" s="109"/>
      <c r="G69" s="219">
        <v>17330877</v>
      </c>
      <c r="H69" s="109"/>
      <c r="I69" s="219">
        <v>20308206</v>
      </c>
      <c r="J69" s="219"/>
      <c r="K69" s="233"/>
      <c r="L69" s="219">
        <v>21451804</v>
      </c>
    </row>
    <row r="70" spans="3:10" ht="12" hidden="1">
      <c r="C70" s="81"/>
      <c r="E70" s="45"/>
      <c r="F70" s="95"/>
      <c r="H70" s="95"/>
      <c r="I70" s="71"/>
      <c r="J70" s="71"/>
    </row>
    <row r="71" spans="3:10" ht="12" hidden="1">
      <c r="C71" s="81"/>
      <c r="E71" s="45"/>
      <c r="F71" s="95"/>
      <c r="H71" s="95"/>
      <c r="I71" s="71"/>
      <c r="J71" s="71"/>
    </row>
    <row r="72" ht="12" hidden="1">
      <c r="D72" s="68"/>
    </row>
    <row r="73" ht="12" hidden="1">
      <c r="A73" s="93" t="s">
        <v>63</v>
      </c>
    </row>
    <row r="74" spans="1:12" ht="12" hidden="1">
      <c r="A74" s="91" t="s">
        <v>528</v>
      </c>
      <c r="B74" s="93"/>
      <c r="C74" s="93"/>
      <c r="D74" s="112"/>
      <c r="E74" s="93"/>
      <c r="F74" s="113"/>
      <c r="G74" s="114"/>
      <c r="H74" s="113"/>
      <c r="I74" s="48"/>
      <c r="J74" s="92"/>
      <c r="L74" s="92" t="s">
        <v>61</v>
      </c>
    </row>
    <row r="75" spans="1:12" ht="12" hidden="1">
      <c r="A75" s="477" t="s">
        <v>64</v>
      </c>
      <c r="B75" s="477"/>
      <c r="C75" s="477"/>
      <c r="D75" s="477"/>
      <c r="E75" s="477"/>
      <c r="F75" s="477"/>
      <c r="G75" s="477"/>
      <c r="H75" s="477"/>
      <c r="I75" s="477"/>
      <c r="J75" s="477"/>
      <c r="K75" s="477"/>
      <c r="L75" s="477"/>
    </row>
    <row r="76" spans="1:12" ht="12" hidden="1">
      <c r="A76" s="91" t="s">
        <v>527</v>
      </c>
      <c r="G76" s="58"/>
      <c r="H76" s="84"/>
      <c r="I76" s="48"/>
      <c r="J76" s="94"/>
      <c r="L76" s="94" t="s">
        <v>71</v>
      </c>
    </row>
    <row r="77" spans="1:12" ht="12" hidden="1">
      <c r="A77" s="45" t="s">
        <v>1</v>
      </c>
      <c r="B77" s="45" t="s">
        <v>1</v>
      </c>
      <c r="C77" s="45" t="s">
        <v>1</v>
      </c>
      <c r="D77" s="45" t="s">
        <v>1</v>
      </c>
      <c r="E77" s="45" t="s">
        <v>1</v>
      </c>
      <c r="F77" s="95" t="s">
        <v>1</v>
      </c>
      <c r="G77" s="71" t="s">
        <v>1</v>
      </c>
      <c r="H77" s="95" t="s">
        <v>1</v>
      </c>
      <c r="I77" s="71" t="s">
        <v>1</v>
      </c>
      <c r="J77" s="95" t="s">
        <v>1</v>
      </c>
      <c r="K77" s="193" t="s">
        <v>1</v>
      </c>
      <c r="L77" s="71" t="s">
        <v>1</v>
      </c>
    </row>
    <row r="78" spans="1:12" ht="12" hidden="1">
      <c r="A78" s="59" t="s">
        <v>2</v>
      </c>
      <c r="D78" s="59" t="s">
        <v>2</v>
      </c>
      <c r="E78" s="77"/>
      <c r="F78" s="96"/>
      <c r="G78" s="87" t="s">
        <v>62</v>
      </c>
      <c r="H78" s="96"/>
      <c r="I78" s="77" t="s">
        <v>65</v>
      </c>
      <c r="J78" s="87"/>
      <c r="L78" s="77" t="s">
        <v>70</v>
      </c>
    </row>
    <row r="79" spans="1:12" ht="12" hidden="1">
      <c r="A79" s="59" t="s">
        <v>4</v>
      </c>
      <c r="B79" s="80" t="s">
        <v>18</v>
      </c>
      <c r="D79" s="59" t="s">
        <v>4</v>
      </c>
      <c r="E79" s="77"/>
      <c r="F79" s="96"/>
      <c r="G79" s="87" t="s">
        <v>7</v>
      </c>
      <c r="H79" s="96"/>
      <c r="I79" s="87" t="s">
        <v>7</v>
      </c>
      <c r="J79" s="87"/>
      <c r="L79" s="77" t="s">
        <v>8</v>
      </c>
    </row>
    <row r="80" spans="1:12" ht="12" hidden="1">
      <c r="A80" s="45" t="s">
        <v>1</v>
      </c>
      <c r="B80" s="45" t="s">
        <v>1</v>
      </c>
      <c r="C80" s="45" t="s">
        <v>1</v>
      </c>
      <c r="D80" s="45" t="s">
        <v>1</v>
      </c>
      <c r="E80" s="45" t="s">
        <v>1</v>
      </c>
      <c r="F80" s="95" t="s">
        <v>1</v>
      </c>
      <c r="G80" s="71" t="s">
        <v>1</v>
      </c>
      <c r="H80" s="95" t="s">
        <v>1</v>
      </c>
      <c r="I80" s="71" t="s">
        <v>1</v>
      </c>
      <c r="J80" s="95" t="s">
        <v>1</v>
      </c>
      <c r="K80" s="193" t="s">
        <v>1</v>
      </c>
      <c r="L80" s="71" t="s">
        <v>1</v>
      </c>
    </row>
    <row r="81" spans="1:4" ht="12" hidden="1">
      <c r="A81" s="48">
        <v>1</v>
      </c>
      <c r="B81" s="48" t="s">
        <v>49</v>
      </c>
      <c r="D81" s="48">
        <v>1</v>
      </c>
    </row>
    <row r="82" spans="1:4" ht="12" hidden="1">
      <c r="A82" s="48">
        <v>2</v>
      </c>
      <c r="B82" s="48" t="s">
        <v>39</v>
      </c>
      <c r="D82" s="48">
        <v>2</v>
      </c>
    </row>
    <row r="83" spans="1:4" ht="12" hidden="1">
      <c r="A83" s="48">
        <v>3</v>
      </c>
      <c r="B83" s="48" t="s">
        <v>40</v>
      </c>
      <c r="D83" s="48">
        <v>3</v>
      </c>
    </row>
    <row r="84" spans="1:4" ht="12" hidden="1">
      <c r="A84" s="48">
        <v>7</v>
      </c>
      <c r="B84" s="48" t="s">
        <v>41</v>
      </c>
      <c r="D84" s="48">
        <v>7</v>
      </c>
    </row>
    <row r="85" spans="1:4" ht="12" hidden="1">
      <c r="A85" s="48">
        <v>8</v>
      </c>
      <c r="B85" s="48" t="s">
        <v>42</v>
      </c>
      <c r="D85" s="48">
        <v>8</v>
      </c>
    </row>
    <row r="86" spans="1:4" ht="12" hidden="1">
      <c r="A86" s="48">
        <v>9</v>
      </c>
      <c r="B86" s="48" t="s">
        <v>43</v>
      </c>
      <c r="D86" s="48">
        <v>9</v>
      </c>
    </row>
    <row r="87" spans="1:4" ht="12" hidden="1">
      <c r="A87" s="48">
        <v>10</v>
      </c>
      <c r="B87" s="48" t="s">
        <v>44</v>
      </c>
      <c r="D87" s="48">
        <v>10</v>
      </c>
    </row>
    <row r="88" spans="1:4" ht="12" hidden="1">
      <c r="A88" s="48">
        <v>11</v>
      </c>
      <c r="B88" s="48" t="s">
        <v>45</v>
      </c>
      <c r="D88" s="48">
        <v>11</v>
      </c>
    </row>
    <row r="89" spans="2:4" ht="12" hidden="1">
      <c r="B89" s="48" t="s">
        <v>46</v>
      </c>
      <c r="D89" s="68"/>
    </row>
    <row r="90" spans="1:12" ht="12" hidden="1">
      <c r="A90" s="48">
        <v>12</v>
      </c>
      <c r="B90" s="48" t="s">
        <v>50</v>
      </c>
      <c r="D90" s="68">
        <v>12</v>
      </c>
      <c r="G90" s="48">
        <v>0</v>
      </c>
      <c r="I90" s="57">
        <v>0</v>
      </c>
      <c r="L90" s="57">
        <v>0</v>
      </c>
    </row>
    <row r="91" ht="12" hidden="1">
      <c r="D91" s="68"/>
    </row>
    <row r="92" ht="12" hidden="1">
      <c r="D92" s="68"/>
    </row>
    <row r="93" ht="12" hidden="1">
      <c r="D93" s="68"/>
    </row>
    <row r="94" spans="4:11" ht="12" hidden="1">
      <c r="D94" s="68"/>
      <c r="F94" s="48"/>
      <c r="G94" s="48"/>
      <c r="H94" s="48"/>
      <c r="I94" s="48"/>
      <c r="J94" s="48"/>
      <c r="K94" s="48"/>
    </row>
    <row r="95" spans="4:11" ht="12" hidden="1">
      <c r="D95" s="68"/>
      <c r="F95" s="48"/>
      <c r="G95" s="48"/>
      <c r="H95" s="48"/>
      <c r="I95" s="48"/>
      <c r="J95" s="48"/>
      <c r="K95" s="48"/>
    </row>
    <row r="96" spans="4:11" ht="12" hidden="1">
      <c r="D96" s="68"/>
      <c r="F96" s="48"/>
      <c r="G96" s="48"/>
      <c r="H96" s="48"/>
      <c r="I96" s="48"/>
      <c r="J96" s="48"/>
      <c r="K96" s="48"/>
    </row>
    <row r="97" spans="4:11" ht="12" hidden="1">
      <c r="D97" s="68"/>
      <c r="F97" s="48"/>
      <c r="G97" s="48"/>
      <c r="H97" s="48"/>
      <c r="I97" s="48"/>
      <c r="J97" s="48"/>
      <c r="K97" s="48"/>
    </row>
    <row r="98" spans="4:11" ht="12" hidden="1">
      <c r="D98" s="68"/>
      <c r="F98" s="48"/>
      <c r="G98" s="48"/>
      <c r="H98" s="48"/>
      <c r="I98" s="48"/>
      <c r="J98" s="48"/>
      <c r="K98" s="48"/>
    </row>
    <row r="99" spans="4:11" ht="12" hidden="1">
      <c r="D99" s="68"/>
      <c r="F99" s="48"/>
      <c r="G99" s="48"/>
      <c r="H99" s="48"/>
      <c r="I99" s="48"/>
      <c r="J99" s="48"/>
      <c r="K99" s="48"/>
    </row>
    <row r="100" spans="4:11" ht="12" hidden="1">
      <c r="D100" s="68"/>
      <c r="F100" s="48"/>
      <c r="G100" s="48"/>
      <c r="H100" s="48"/>
      <c r="I100" s="48"/>
      <c r="J100" s="48"/>
      <c r="K100" s="48"/>
    </row>
    <row r="101" spans="4:11" ht="12" hidden="1">
      <c r="D101" s="68"/>
      <c r="F101" s="48"/>
      <c r="G101" s="48"/>
      <c r="H101" s="48"/>
      <c r="I101" s="48"/>
      <c r="J101" s="48"/>
      <c r="K101" s="48"/>
    </row>
    <row r="102" spans="4:11" ht="12" hidden="1">
      <c r="D102" s="68"/>
      <c r="F102" s="48"/>
      <c r="G102" s="48"/>
      <c r="H102" s="48"/>
      <c r="I102" s="48"/>
      <c r="J102" s="48"/>
      <c r="K102" s="48"/>
    </row>
    <row r="103" spans="2:11" ht="12" hidden="1">
      <c r="B103" s="48" t="s">
        <v>48</v>
      </c>
      <c r="D103" s="68"/>
      <c r="F103" s="48"/>
      <c r="G103" s="48"/>
      <c r="H103" s="48"/>
      <c r="I103" s="48"/>
      <c r="J103" s="48"/>
      <c r="K103" s="48"/>
    </row>
    <row r="104" spans="4:11" ht="12" hidden="1">
      <c r="D104" s="68"/>
      <c r="F104" s="48"/>
      <c r="G104" s="48"/>
      <c r="H104" s="48"/>
      <c r="I104" s="48"/>
      <c r="J104" s="48"/>
      <c r="K104" s="48"/>
    </row>
    <row r="105" spans="2:11" ht="12.75" hidden="1">
      <c r="B105" s="116"/>
      <c r="C105" s="117"/>
      <c r="D105" s="117"/>
      <c r="E105" s="117"/>
      <c r="F105" s="48"/>
      <c r="G105" s="48"/>
      <c r="H105" s="48"/>
      <c r="I105" s="48"/>
      <c r="J105" s="48"/>
      <c r="K105" s="48"/>
    </row>
    <row r="106" spans="2:11" ht="12.75" hidden="1">
      <c r="B106" s="116"/>
      <c r="C106" s="117"/>
      <c r="D106" s="117"/>
      <c r="E106" s="117"/>
      <c r="F106" s="48"/>
      <c r="G106" s="48"/>
      <c r="H106" s="48"/>
      <c r="I106" s="48"/>
      <c r="J106" s="48"/>
      <c r="K106" s="48"/>
    </row>
    <row r="107" spans="4:11" ht="12" hidden="1">
      <c r="D107" s="68"/>
      <c r="F107" s="48"/>
      <c r="G107" s="48"/>
      <c r="H107" s="48"/>
      <c r="I107" s="48"/>
      <c r="J107" s="48"/>
      <c r="K107" s="48"/>
    </row>
    <row r="108" spans="4:11" ht="12" hidden="1">
      <c r="D108" s="68"/>
      <c r="F108" s="48"/>
      <c r="G108" s="48"/>
      <c r="H108" s="48"/>
      <c r="I108" s="48"/>
      <c r="J108" s="48"/>
      <c r="K108" s="48"/>
    </row>
    <row r="109" spans="4:11" ht="12" hidden="1">
      <c r="D109" s="68"/>
      <c r="F109" s="48"/>
      <c r="G109" s="48"/>
      <c r="H109" s="48"/>
      <c r="I109" s="48"/>
      <c r="J109" s="48"/>
      <c r="K109" s="48"/>
    </row>
    <row r="110" ht="12" hidden="1">
      <c r="D110" s="68"/>
    </row>
    <row r="111" ht="12" hidden="1">
      <c r="D111" s="68"/>
    </row>
    <row r="112" ht="12" hidden="1">
      <c r="D112" s="68"/>
    </row>
    <row r="113" ht="12" hidden="1">
      <c r="D113" s="68"/>
    </row>
    <row r="114" ht="12" hidden="1">
      <c r="D114" s="68"/>
    </row>
    <row r="115" ht="12" hidden="1">
      <c r="D115" s="68"/>
    </row>
    <row r="116" ht="12" hidden="1">
      <c r="D116" s="68"/>
    </row>
    <row r="117" ht="12" hidden="1">
      <c r="D117" s="68"/>
    </row>
    <row r="118" ht="12" hidden="1">
      <c r="D118" s="68"/>
    </row>
    <row r="119" ht="12">
      <c r="D119" s="68"/>
    </row>
    <row r="120" spans="1:12" ht="12">
      <c r="A120" s="91" t="s">
        <v>528</v>
      </c>
      <c r="D120" s="68"/>
      <c r="F120" s="84"/>
      <c r="G120" s="58"/>
      <c r="H120" s="84"/>
      <c r="I120" s="48"/>
      <c r="J120" s="92"/>
      <c r="K120" s="226"/>
      <c r="L120" s="92" t="s">
        <v>107</v>
      </c>
    </row>
    <row r="121" spans="1:12" s="93" customFormat="1" ht="12">
      <c r="A121" s="477" t="s">
        <v>380</v>
      </c>
      <c r="B121" s="477"/>
      <c r="C121" s="477"/>
      <c r="D121" s="477"/>
      <c r="E121" s="477"/>
      <c r="F121" s="477"/>
      <c r="G121" s="477"/>
      <c r="H121" s="477"/>
      <c r="I121" s="477"/>
      <c r="J121" s="477"/>
      <c r="K121" s="477"/>
      <c r="L121" s="477"/>
    </row>
    <row r="122" spans="1:12" ht="12">
      <c r="A122" s="91" t="s">
        <v>527</v>
      </c>
      <c r="G122" s="58"/>
      <c r="H122" s="84"/>
      <c r="I122" s="48"/>
      <c r="J122" s="94"/>
      <c r="K122" s="226"/>
      <c r="L122" s="94" t="s">
        <v>71</v>
      </c>
    </row>
    <row r="123" spans="1:12" ht="12">
      <c r="A123" s="45" t="s">
        <v>1</v>
      </c>
      <c r="B123" s="45" t="s">
        <v>1</v>
      </c>
      <c r="C123" s="45" t="s">
        <v>1</v>
      </c>
      <c r="D123" s="45" t="s">
        <v>1</v>
      </c>
      <c r="E123" s="45" t="s">
        <v>1</v>
      </c>
      <c r="F123" s="95" t="s">
        <v>1</v>
      </c>
      <c r="G123" s="71" t="s">
        <v>1</v>
      </c>
      <c r="H123" s="95" t="s">
        <v>1</v>
      </c>
      <c r="I123" s="71" t="s">
        <v>1</v>
      </c>
      <c r="J123" s="95" t="s">
        <v>1</v>
      </c>
      <c r="K123" s="193" t="s">
        <v>1</v>
      </c>
      <c r="L123" s="71" t="s">
        <v>1</v>
      </c>
    </row>
    <row r="124" spans="1:12" ht="12">
      <c r="A124" s="59" t="s">
        <v>2</v>
      </c>
      <c r="D124" s="59" t="s">
        <v>2</v>
      </c>
      <c r="F124" s="96"/>
      <c r="G124" s="87" t="s">
        <v>62</v>
      </c>
      <c r="H124" s="96"/>
      <c r="I124" s="77" t="s">
        <v>65</v>
      </c>
      <c r="J124" s="87"/>
      <c r="L124" s="77" t="s">
        <v>70</v>
      </c>
    </row>
    <row r="125" spans="1:12" ht="12">
      <c r="A125" s="59" t="s">
        <v>4</v>
      </c>
      <c r="D125" s="59" t="s">
        <v>4</v>
      </c>
      <c r="F125" s="96"/>
      <c r="G125" s="87" t="s">
        <v>7</v>
      </c>
      <c r="H125" s="96"/>
      <c r="I125" s="87" t="s">
        <v>7</v>
      </c>
      <c r="J125" s="87"/>
      <c r="L125" s="77" t="s">
        <v>8</v>
      </c>
    </row>
    <row r="126" spans="1:12" ht="12">
      <c r="A126" s="45" t="s">
        <v>1</v>
      </c>
      <c r="B126" s="45" t="s">
        <v>1</v>
      </c>
      <c r="C126" s="45" t="s">
        <v>1</v>
      </c>
      <c r="D126" s="45" t="s">
        <v>1</v>
      </c>
      <c r="E126" s="45" t="s">
        <v>1</v>
      </c>
      <c r="F126" s="95" t="s">
        <v>1</v>
      </c>
      <c r="G126" s="71" t="s">
        <v>1</v>
      </c>
      <c r="H126" s="95" t="s">
        <v>1</v>
      </c>
      <c r="I126" s="71" t="s">
        <v>1</v>
      </c>
      <c r="J126" s="95" t="s">
        <v>1</v>
      </c>
      <c r="K126" s="193" t="s">
        <v>1</v>
      </c>
      <c r="L126" s="71" t="s">
        <v>1</v>
      </c>
    </row>
    <row r="127" spans="1:10" ht="12">
      <c r="A127" s="72">
        <v>1</v>
      </c>
      <c r="B127" s="47" t="s">
        <v>109</v>
      </c>
      <c r="D127" s="72">
        <v>1</v>
      </c>
      <c r="F127" s="84"/>
      <c r="G127" s="99"/>
      <c r="H127" s="84"/>
      <c r="I127" s="99"/>
      <c r="J127" s="99"/>
    </row>
    <row r="128" spans="1:10" ht="12">
      <c r="A128" s="81" t="s">
        <v>381</v>
      </c>
      <c r="B128" s="47" t="s">
        <v>382</v>
      </c>
      <c r="D128" s="81" t="s">
        <v>381</v>
      </c>
      <c r="E128" s="51"/>
      <c r="F128" s="119"/>
      <c r="G128" s="120"/>
      <c r="H128" s="119"/>
      <c r="I128" s="120"/>
      <c r="J128" s="120"/>
    </row>
    <row r="129" spans="1:12" ht="12">
      <c r="A129" s="81" t="s">
        <v>383</v>
      </c>
      <c r="B129" s="47" t="s">
        <v>384</v>
      </c>
      <c r="D129" s="81" t="s">
        <v>383</v>
      </c>
      <c r="E129" s="51"/>
      <c r="F129" s="119"/>
      <c r="G129" s="120"/>
      <c r="H129" s="119"/>
      <c r="I129" s="120">
        <v>0</v>
      </c>
      <c r="J129" s="120"/>
      <c r="L129" s="230"/>
    </row>
    <row r="130" spans="1:12" ht="12">
      <c r="A130" s="81" t="s">
        <v>385</v>
      </c>
      <c r="B130" s="47" t="s">
        <v>386</v>
      </c>
      <c r="D130" s="81" t="s">
        <v>385</v>
      </c>
      <c r="E130" s="51"/>
      <c r="F130" s="119"/>
      <c r="G130" s="120">
        <v>6634.42</v>
      </c>
      <c r="H130" s="119"/>
      <c r="I130" s="120">
        <v>7116.95</v>
      </c>
      <c r="J130" s="120"/>
      <c r="L130" s="230">
        <v>7181</v>
      </c>
    </row>
    <row r="131" spans="1:12" ht="12">
      <c r="A131" s="72">
        <v>3</v>
      </c>
      <c r="B131" s="47" t="s">
        <v>116</v>
      </c>
      <c r="D131" s="72">
        <v>3</v>
      </c>
      <c r="E131" s="51"/>
      <c r="F131" s="119"/>
      <c r="G131" s="120">
        <v>2099.8</v>
      </c>
      <c r="H131" s="119"/>
      <c r="I131" s="120">
        <v>2329.86</v>
      </c>
      <c r="J131" s="120"/>
      <c r="L131" s="230">
        <v>2239</v>
      </c>
    </row>
    <row r="132" spans="1:12" ht="12">
      <c r="A132" s="72">
        <v>4</v>
      </c>
      <c r="B132" s="47" t="s">
        <v>117</v>
      </c>
      <c r="D132" s="72">
        <v>4</v>
      </c>
      <c r="E132" s="51"/>
      <c r="F132" s="119"/>
      <c r="G132" s="120">
        <v>8734.220000000001</v>
      </c>
      <c r="H132" s="119"/>
      <c r="I132" s="120">
        <v>9446.81</v>
      </c>
      <c r="J132" s="120"/>
      <c r="L132" s="231">
        <v>9420</v>
      </c>
    </row>
    <row r="133" spans="1:12" ht="12">
      <c r="A133" s="72">
        <v>5</v>
      </c>
      <c r="D133" s="72">
        <v>5</v>
      </c>
      <c r="E133" s="51"/>
      <c r="F133" s="119"/>
      <c r="G133" s="120"/>
      <c r="H133" s="119"/>
      <c r="I133" s="120"/>
      <c r="J133" s="120"/>
      <c r="L133" s="230"/>
    </row>
    <row r="134" spans="1:12" ht="12">
      <c r="A134" s="72">
        <v>6</v>
      </c>
      <c r="B134" s="47" t="s">
        <v>118</v>
      </c>
      <c r="D134" s="72">
        <v>6</v>
      </c>
      <c r="E134" s="51"/>
      <c r="F134" s="119"/>
      <c r="G134" s="120">
        <v>618.58</v>
      </c>
      <c r="H134" s="119"/>
      <c r="I134" s="120">
        <v>723.06</v>
      </c>
      <c r="J134" s="120"/>
      <c r="L134" s="230">
        <v>780</v>
      </c>
    </row>
    <row r="135" spans="1:12" ht="12">
      <c r="A135" s="72">
        <v>7</v>
      </c>
      <c r="B135" s="47" t="s">
        <v>119</v>
      </c>
      <c r="D135" s="72">
        <v>7</v>
      </c>
      <c r="E135" s="51"/>
      <c r="F135" s="119"/>
      <c r="G135" s="120">
        <v>336.47</v>
      </c>
      <c r="H135" s="119"/>
      <c r="I135" s="120">
        <v>357.09</v>
      </c>
      <c r="J135" s="120"/>
      <c r="L135" s="230">
        <v>356</v>
      </c>
    </row>
    <row r="136" spans="1:12" ht="12">
      <c r="A136" s="72">
        <v>8</v>
      </c>
      <c r="B136" s="47" t="s">
        <v>120</v>
      </c>
      <c r="D136" s="72">
        <v>8</v>
      </c>
      <c r="E136" s="51"/>
      <c r="F136" s="119"/>
      <c r="G136" s="120">
        <v>955.0500000000001</v>
      </c>
      <c r="H136" s="119"/>
      <c r="I136" s="120">
        <v>1080.1499999999999</v>
      </c>
      <c r="J136" s="120"/>
      <c r="L136" s="231">
        <v>1136</v>
      </c>
    </row>
    <row r="137" spans="1:12" ht="12">
      <c r="A137" s="72">
        <v>9</v>
      </c>
      <c r="D137" s="72">
        <v>9</v>
      </c>
      <c r="E137" s="51"/>
      <c r="F137" s="119"/>
      <c r="G137" s="120"/>
      <c r="H137" s="119"/>
      <c r="I137" s="120"/>
      <c r="J137" s="120"/>
      <c r="L137" s="230"/>
    </row>
    <row r="138" spans="1:12" ht="12">
      <c r="A138" s="72">
        <v>10</v>
      </c>
      <c r="B138" s="47" t="s">
        <v>121</v>
      </c>
      <c r="D138" s="72">
        <v>10</v>
      </c>
      <c r="E138" s="51"/>
      <c r="F138" s="119"/>
      <c r="G138" s="120">
        <v>7253</v>
      </c>
      <c r="H138" s="119"/>
      <c r="I138" s="120">
        <v>7840.01</v>
      </c>
      <c r="J138" s="120"/>
      <c r="L138" s="231">
        <v>7961</v>
      </c>
    </row>
    <row r="139" spans="1:12" ht="12">
      <c r="A139" s="72">
        <v>11</v>
      </c>
      <c r="B139" s="47" t="s">
        <v>122</v>
      </c>
      <c r="D139" s="72">
        <v>11</v>
      </c>
      <c r="E139" s="51"/>
      <c r="F139" s="119"/>
      <c r="G139" s="120">
        <v>2436.2700000000004</v>
      </c>
      <c r="H139" s="119"/>
      <c r="I139" s="120">
        <v>2686.9500000000003</v>
      </c>
      <c r="J139" s="120"/>
      <c r="L139" s="231">
        <v>2595</v>
      </c>
    </row>
    <row r="140" spans="1:12" ht="12">
      <c r="A140" s="72">
        <v>12</v>
      </c>
      <c r="B140" s="47" t="s">
        <v>123</v>
      </c>
      <c r="D140" s="72">
        <v>12</v>
      </c>
      <c r="E140" s="51"/>
      <c r="F140" s="119"/>
      <c r="G140" s="120">
        <v>9689.27</v>
      </c>
      <c r="H140" s="119"/>
      <c r="I140" s="120">
        <v>10526.960000000001</v>
      </c>
      <c r="J140" s="120"/>
      <c r="L140" s="231">
        <v>10556</v>
      </c>
    </row>
    <row r="141" spans="1:12" ht="12">
      <c r="A141" s="72">
        <v>13</v>
      </c>
      <c r="D141" s="72">
        <v>13</v>
      </c>
      <c r="F141" s="119"/>
      <c r="G141" s="121"/>
      <c r="H141" s="119"/>
      <c r="I141" s="121"/>
      <c r="J141" s="121"/>
      <c r="L141" s="230"/>
    </row>
    <row r="142" spans="1:12" ht="12">
      <c r="A142" s="72">
        <v>15</v>
      </c>
      <c r="B142" s="47" t="s">
        <v>124</v>
      </c>
      <c r="D142" s="72">
        <v>15</v>
      </c>
      <c r="F142" s="119"/>
      <c r="G142" s="123"/>
      <c r="H142" s="119"/>
      <c r="I142" s="123"/>
      <c r="J142" s="123"/>
      <c r="L142" s="230"/>
    </row>
    <row r="143" spans="1:12" ht="12">
      <c r="A143" s="72">
        <v>16</v>
      </c>
      <c r="B143" s="47" t="s">
        <v>387</v>
      </c>
      <c r="D143" s="72">
        <v>16</v>
      </c>
      <c r="F143" s="119"/>
      <c r="G143" s="121">
        <v>13010.046955033764</v>
      </c>
      <c r="H143" s="119"/>
      <c r="I143" s="121">
        <v>13543.744537834284</v>
      </c>
      <c r="J143" s="121"/>
      <c r="L143" s="232">
        <v>13881.834975369458</v>
      </c>
    </row>
    <row r="144" spans="1:12" ht="12">
      <c r="A144" s="72">
        <v>17</v>
      </c>
      <c r="B144" s="47" t="s">
        <v>388</v>
      </c>
      <c r="D144" s="72">
        <v>17</v>
      </c>
      <c r="F144" s="119"/>
      <c r="G144" s="122">
        <v>2040</v>
      </c>
      <c r="H144" s="119"/>
      <c r="I144" s="122">
        <v>1320</v>
      </c>
      <c r="J144" s="122"/>
      <c r="K144" s="48"/>
      <c r="L144" s="220">
        <v>1860</v>
      </c>
    </row>
    <row r="145" spans="1:12" ht="12">
      <c r="A145" s="72">
        <v>18</v>
      </c>
      <c r="D145" s="72">
        <v>18</v>
      </c>
      <c r="F145" s="119"/>
      <c r="G145" s="122"/>
      <c r="H145" s="119"/>
      <c r="I145" s="122"/>
      <c r="J145" s="122"/>
      <c r="L145" s="230"/>
    </row>
    <row r="146" spans="1:12" ht="12">
      <c r="A146" s="48">
        <v>19</v>
      </c>
      <c r="B146" s="47" t="s">
        <v>389</v>
      </c>
      <c r="D146" s="48">
        <v>19</v>
      </c>
      <c r="F146" s="119"/>
      <c r="G146" s="122"/>
      <c r="H146" s="119"/>
      <c r="I146" s="122"/>
      <c r="J146" s="122"/>
      <c r="L146" s="230"/>
    </row>
    <row r="147" spans="1:12" ht="12">
      <c r="A147" s="72">
        <v>20</v>
      </c>
      <c r="B147" s="47" t="s">
        <v>128</v>
      </c>
      <c r="D147" s="72">
        <v>20</v>
      </c>
      <c r="E147" s="66"/>
      <c r="F147" s="125"/>
      <c r="G147" s="124">
        <v>694.8</v>
      </c>
      <c r="H147" s="125"/>
      <c r="I147" s="124">
        <v>753.3833314397951</v>
      </c>
      <c r="J147" s="124"/>
      <c r="L147" s="206">
        <v>739.2291551520107</v>
      </c>
    </row>
    <row r="148" spans="1:12" ht="12">
      <c r="A148" s="72">
        <v>21</v>
      </c>
      <c r="B148" s="47" t="s">
        <v>129</v>
      </c>
      <c r="D148" s="72">
        <v>21</v>
      </c>
      <c r="E148" s="66"/>
      <c r="F148" s="125"/>
      <c r="G148" s="124">
        <v>548.05</v>
      </c>
      <c r="H148" s="125"/>
      <c r="I148" s="124">
        <v>589.5769770472086</v>
      </c>
      <c r="J148" s="124"/>
      <c r="L148" s="206">
        <v>584.0846321539541</v>
      </c>
    </row>
    <row r="149" spans="1:12" ht="12">
      <c r="A149" s="72">
        <v>22</v>
      </c>
      <c r="B149" s="47" t="s">
        <v>130</v>
      </c>
      <c r="D149" s="72">
        <v>22</v>
      </c>
      <c r="E149" s="66"/>
      <c r="F149" s="125"/>
      <c r="G149" s="124">
        <v>146.75</v>
      </c>
      <c r="H149" s="125"/>
      <c r="I149" s="124">
        <v>163.80635439258654</v>
      </c>
      <c r="J149" s="124"/>
      <c r="L149" s="206">
        <v>155.14452299805652</v>
      </c>
    </row>
    <row r="150" spans="1:12" ht="12">
      <c r="A150" s="72">
        <v>23</v>
      </c>
      <c r="D150" s="72">
        <v>23</v>
      </c>
      <c r="E150" s="66"/>
      <c r="F150" s="125"/>
      <c r="G150" s="124"/>
      <c r="H150" s="125"/>
      <c r="I150" s="125"/>
      <c r="J150" s="125"/>
      <c r="L150" s="206"/>
    </row>
    <row r="151" spans="1:12" ht="12">
      <c r="A151" s="72">
        <v>24</v>
      </c>
      <c r="B151" s="47" t="s">
        <v>131</v>
      </c>
      <c r="D151" s="72">
        <v>24</v>
      </c>
      <c r="E151" s="66"/>
      <c r="F151" s="125"/>
      <c r="G151" s="125"/>
      <c r="H151" s="125"/>
      <c r="I151" s="125"/>
      <c r="J151" s="125"/>
      <c r="L151" s="206"/>
    </row>
    <row r="152" spans="1:12" ht="12">
      <c r="A152" s="72">
        <v>25</v>
      </c>
      <c r="B152" s="47" t="s">
        <v>132</v>
      </c>
      <c r="D152" s="72">
        <v>25</v>
      </c>
      <c r="F152" s="119"/>
      <c r="G152" s="122">
        <v>86351.00028785263</v>
      </c>
      <c r="H152" s="119"/>
      <c r="I152" s="122">
        <v>85529.80044946655</v>
      </c>
      <c r="J152" s="122"/>
      <c r="L152" s="220">
        <v>86547.67003452919</v>
      </c>
    </row>
    <row r="153" spans="1:12" ht="12">
      <c r="A153" s="72">
        <v>26</v>
      </c>
      <c r="B153" s="47" t="s">
        <v>133</v>
      </c>
      <c r="D153" s="72">
        <v>26</v>
      </c>
      <c r="F153" s="119"/>
      <c r="G153" s="122">
        <v>99966.62713256091</v>
      </c>
      <c r="H153" s="119"/>
      <c r="I153" s="122">
        <v>99429.10134244623</v>
      </c>
      <c r="J153" s="122"/>
      <c r="L153" s="220">
        <v>100106.15205604014</v>
      </c>
    </row>
    <row r="154" spans="1:12" ht="12">
      <c r="A154" s="72">
        <v>27</v>
      </c>
      <c r="B154" s="47" t="s">
        <v>134</v>
      </c>
      <c r="D154" s="72">
        <v>27</v>
      </c>
      <c r="F154" s="119"/>
      <c r="G154" s="122">
        <v>35502.31686541738</v>
      </c>
      <c r="H154" s="119"/>
      <c r="I154" s="122">
        <v>35503</v>
      </c>
      <c r="J154" s="122"/>
      <c r="L154" s="220">
        <v>35503</v>
      </c>
    </row>
    <row r="155" spans="1:12" ht="12">
      <c r="A155" s="72">
        <v>28</v>
      </c>
      <c r="D155" s="72">
        <v>28</v>
      </c>
      <c r="F155" s="119"/>
      <c r="G155" s="122"/>
      <c r="H155" s="119"/>
      <c r="I155" s="122"/>
      <c r="J155" s="122"/>
      <c r="L155" s="232"/>
    </row>
    <row r="156" spans="1:12" ht="12">
      <c r="A156" s="72">
        <v>29</v>
      </c>
      <c r="B156" s="47" t="s">
        <v>390</v>
      </c>
      <c r="D156" s="72">
        <v>29</v>
      </c>
      <c r="E156" s="56"/>
      <c r="F156" s="119"/>
      <c r="G156" s="120">
        <v>1155.488246760019</v>
      </c>
      <c r="H156" s="119"/>
      <c r="I156" s="120">
        <v>1226.9310233811377</v>
      </c>
      <c r="J156" s="120"/>
      <c r="L156" s="231">
        <v>1196.6589228093994</v>
      </c>
    </row>
    <row r="157" spans="1:12" ht="12">
      <c r="A157" s="47"/>
      <c r="G157" s="58"/>
      <c r="I157" s="58"/>
      <c r="J157" s="58"/>
      <c r="L157" s="230"/>
    </row>
    <row r="158" spans="1:12" ht="12">
      <c r="A158" s="91" t="s">
        <v>528</v>
      </c>
      <c r="D158" s="68"/>
      <c r="F158" s="84"/>
      <c r="G158" s="58"/>
      <c r="H158" s="84"/>
      <c r="J158" s="92"/>
      <c r="K158" s="226"/>
      <c r="L158" s="92" t="s">
        <v>136</v>
      </c>
    </row>
    <row r="159" spans="1:12" s="93" customFormat="1" ht="12">
      <c r="A159" s="477" t="s">
        <v>391</v>
      </c>
      <c r="B159" s="477"/>
      <c r="C159" s="477"/>
      <c r="D159" s="477"/>
      <c r="E159" s="477"/>
      <c r="F159" s="477"/>
      <c r="G159" s="477"/>
      <c r="H159" s="477"/>
      <c r="I159" s="477"/>
      <c r="J159" s="477"/>
      <c r="K159" s="477"/>
      <c r="L159" s="477"/>
    </row>
    <row r="160" spans="1:12" ht="12">
      <c r="A160" s="91" t="s">
        <v>527</v>
      </c>
      <c r="G160" s="58"/>
      <c r="H160" s="84"/>
      <c r="J160" s="94"/>
      <c r="K160" s="226"/>
      <c r="L160" s="94" t="s">
        <v>71</v>
      </c>
    </row>
    <row r="161" spans="1:12" ht="12">
      <c r="A161" s="45" t="s">
        <v>1</v>
      </c>
      <c r="B161" s="45" t="s">
        <v>1</v>
      </c>
      <c r="C161" s="45" t="s">
        <v>1</v>
      </c>
      <c r="D161" s="45" t="s">
        <v>1</v>
      </c>
      <c r="E161" s="45" t="s">
        <v>1</v>
      </c>
      <c r="F161" s="95" t="s">
        <v>1</v>
      </c>
      <c r="G161" s="71" t="s">
        <v>1</v>
      </c>
      <c r="H161" s="95" t="s">
        <v>1</v>
      </c>
      <c r="I161" s="71" t="s">
        <v>1</v>
      </c>
      <c r="J161" s="95" t="s">
        <v>1</v>
      </c>
      <c r="K161" s="193" t="s">
        <v>1</v>
      </c>
      <c r="L161" s="71" t="s">
        <v>1</v>
      </c>
    </row>
    <row r="162" spans="1:12" ht="12">
      <c r="A162" s="59" t="s">
        <v>2</v>
      </c>
      <c r="D162" s="59" t="s">
        <v>2</v>
      </c>
      <c r="F162" s="96"/>
      <c r="G162" s="87" t="s">
        <v>62</v>
      </c>
      <c r="H162" s="96"/>
      <c r="I162" s="77" t="s">
        <v>65</v>
      </c>
      <c r="J162" s="87"/>
      <c r="L162" s="77" t="s">
        <v>70</v>
      </c>
    </row>
    <row r="163" spans="1:12" ht="12">
      <c r="A163" s="59" t="s">
        <v>4</v>
      </c>
      <c r="B163" s="47" t="s">
        <v>0</v>
      </c>
      <c r="D163" s="59" t="s">
        <v>4</v>
      </c>
      <c r="F163" s="96"/>
      <c r="G163" s="87" t="s">
        <v>7</v>
      </c>
      <c r="H163" s="96"/>
      <c r="I163" s="87" t="s">
        <v>7</v>
      </c>
      <c r="J163" s="87"/>
      <c r="L163" s="77" t="s">
        <v>8</v>
      </c>
    </row>
    <row r="164" spans="1:12" ht="12">
      <c r="A164" s="45" t="s">
        <v>1</v>
      </c>
      <c r="B164" s="45" t="s">
        <v>1</v>
      </c>
      <c r="C164" s="45" t="s">
        <v>1</v>
      </c>
      <c r="D164" s="45" t="s">
        <v>1</v>
      </c>
      <c r="E164" s="45" t="s">
        <v>1</v>
      </c>
      <c r="F164" s="95" t="s">
        <v>1</v>
      </c>
      <c r="G164" s="71" t="s">
        <v>1</v>
      </c>
      <c r="H164" s="95" t="s">
        <v>1</v>
      </c>
      <c r="I164" s="71" t="s">
        <v>1</v>
      </c>
      <c r="J164" s="95" t="s">
        <v>1</v>
      </c>
      <c r="K164" s="193" t="s">
        <v>1</v>
      </c>
      <c r="L164" s="71" t="s">
        <v>1</v>
      </c>
    </row>
    <row r="165" spans="1:10" ht="12">
      <c r="A165" s="72">
        <v>1</v>
      </c>
      <c r="B165" s="47" t="s">
        <v>392</v>
      </c>
      <c r="D165" s="72">
        <v>1</v>
      </c>
      <c r="F165" s="119"/>
      <c r="G165" s="119"/>
      <c r="H165" s="127"/>
      <c r="I165" s="128"/>
      <c r="J165" s="128"/>
    </row>
    <row r="166" spans="1:10" ht="12">
      <c r="A166" s="72">
        <v>2</v>
      </c>
      <c r="B166" s="47" t="s">
        <v>140</v>
      </c>
      <c r="D166" s="72">
        <v>2</v>
      </c>
      <c r="E166" s="51"/>
      <c r="F166" s="119"/>
      <c r="G166" s="119"/>
      <c r="H166" s="127"/>
      <c r="I166" s="129"/>
      <c r="J166" s="129"/>
    </row>
    <row r="167" spans="1:12" ht="12">
      <c r="A167" s="72">
        <v>3</v>
      </c>
      <c r="B167" s="47" t="s">
        <v>549</v>
      </c>
      <c r="D167" s="72">
        <v>3</v>
      </c>
      <c r="E167" s="51"/>
      <c r="F167" s="119"/>
      <c r="G167" s="129">
        <v>5484</v>
      </c>
      <c r="H167" s="127"/>
      <c r="I167" s="129">
        <v>5712</v>
      </c>
      <c r="J167" s="129"/>
      <c r="L167" s="155">
        <v>6216</v>
      </c>
    </row>
    <row r="168" spans="1:12" ht="12">
      <c r="A168" s="72">
        <v>4</v>
      </c>
      <c r="B168" s="47"/>
      <c r="D168" s="72">
        <v>4</v>
      </c>
      <c r="E168" s="51"/>
      <c r="F168" s="119"/>
      <c r="G168" s="119"/>
      <c r="H168" s="127"/>
      <c r="I168" s="129"/>
      <c r="J168" s="129"/>
      <c r="L168" s="155"/>
    </row>
    <row r="169" spans="1:12" ht="12">
      <c r="A169" s="72">
        <v>5</v>
      </c>
      <c r="B169" s="48" t="s">
        <v>548</v>
      </c>
      <c r="D169" s="72">
        <v>5</v>
      </c>
      <c r="E169" s="51"/>
      <c r="F169" s="119"/>
      <c r="G169" s="129">
        <v>5624</v>
      </c>
      <c r="H169" s="127"/>
      <c r="I169" s="129">
        <v>6130</v>
      </c>
      <c r="J169" s="129"/>
      <c r="L169" s="155">
        <v>6672</v>
      </c>
    </row>
    <row r="170" spans="1:12" ht="12">
      <c r="A170" s="72">
        <v>6</v>
      </c>
      <c r="B170" s="47"/>
      <c r="D170" s="72">
        <v>6</v>
      </c>
      <c r="E170" s="51"/>
      <c r="F170" s="119"/>
      <c r="G170" s="119"/>
      <c r="H170" s="127"/>
      <c r="I170" s="129"/>
      <c r="J170" s="129"/>
      <c r="L170" s="155"/>
    </row>
    <row r="171" spans="1:12" ht="12">
      <c r="A171" s="72">
        <v>7</v>
      </c>
      <c r="B171" s="47" t="s">
        <v>0</v>
      </c>
      <c r="D171" s="72">
        <v>7</v>
      </c>
      <c r="E171" s="51"/>
      <c r="F171" s="119"/>
      <c r="G171" s="119"/>
      <c r="H171" s="127"/>
      <c r="I171" s="130" t="s">
        <v>0</v>
      </c>
      <c r="J171" s="130"/>
      <c r="L171" s="155"/>
    </row>
    <row r="172" spans="1:12" ht="12">
      <c r="A172" s="72">
        <v>8</v>
      </c>
      <c r="D172" s="72">
        <v>8</v>
      </c>
      <c r="F172" s="119"/>
      <c r="G172" s="119"/>
      <c r="H172" s="127"/>
      <c r="I172" s="129"/>
      <c r="J172" s="129"/>
      <c r="L172" s="155"/>
    </row>
    <row r="173" spans="1:12" ht="12">
      <c r="A173" s="72">
        <v>9</v>
      </c>
      <c r="B173" s="47" t="s">
        <v>0</v>
      </c>
      <c r="D173" s="72">
        <v>9</v>
      </c>
      <c r="F173" s="119"/>
      <c r="G173" s="119"/>
      <c r="H173" s="127"/>
      <c r="I173" s="129"/>
      <c r="J173" s="129"/>
      <c r="L173" s="155"/>
    </row>
    <row r="174" spans="1:12" ht="12">
      <c r="A174" s="72">
        <v>10</v>
      </c>
      <c r="B174" s="47" t="s">
        <v>0</v>
      </c>
      <c r="D174" s="72">
        <v>10</v>
      </c>
      <c r="F174" s="119"/>
      <c r="G174" s="119"/>
      <c r="H174" s="127"/>
      <c r="I174" s="129"/>
      <c r="J174" s="129"/>
      <c r="L174" s="155"/>
    </row>
    <row r="175" spans="1:12" ht="12">
      <c r="A175" s="72">
        <v>11</v>
      </c>
      <c r="B175" s="47" t="s">
        <v>146</v>
      </c>
      <c r="D175" s="72">
        <v>11</v>
      </c>
      <c r="F175" s="119"/>
      <c r="G175" s="119"/>
      <c r="H175" s="127"/>
      <c r="I175" s="129"/>
      <c r="J175" s="129"/>
      <c r="L175" s="155"/>
    </row>
    <row r="176" spans="1:12" ht="12">
      <c r="A176" s="72">
        <v>12</v>
      </c>
      <c r="B176" s="47" t="s">
        <v>140</v>
      </c>
      <c r="D176" s="72">
        <v>12</v>
      </c>
      <c r="F176" s="119"/>
      <c r="G176" s="119"/>
      <c r="H176" s="127"/>
      <c r="I176" s="129"/>
      <c r="J176" s="129"/>
      <c r="L176" s="155"/>
    </row>
    <row r="177" spans="1:12" ht="12">
      <c r="A177" s="72">
        <v>13</v>
      </c>
      <c r="B177" s="47" t="s">
        <v>545</v>
      </c>
      <c r="D177" s="72">
        <v>13</v>
      </c>
      <c r="F177" s="119"/>
      <c r="G177" s="129">
        <v>7130</v>
      </c>
      <c r="H177" s="127"/>
      <c r="I177" s="129">
        <v>7130</v>
      </c>
      <c r="J177" s="129"/>
      <c r="L177" s="229">
        <v>7332</v>
      </c>
    </row>
    <row r="178" spans="1:12" ht="12">
      <c r="A178" s="72">
        <v>14</v>
      </c>
      <c r="B178" s="47" t="s">
        <v>544</v>
      </c>
      <c r="D178" s="72">
        <v>14</v>
      </c>
      <c r="E178" s="66"/>
      <c r="F178" s="125"/>
      <c r="G178" s="132">
        <v>8596</v>
      </c>
      <c r="H178" s="131"/>
      <c r="I178" s="132">
        <v>8596</v>
      </c>
      <c r="J178" s="132"/>
      <c r="L178" s="158">
        <v>8850</v>
      </c>
    </row>
    <row r="179" spans="1:12" ht="12">
      <c r="A179" s="72">
        <v>15</v>
      </c>
      <c r="B179" s="47" t="s">
        <v>543</v>
      </c>
      <c r="D179" s="72">
        <v>15</v>
      </c>
      <c r="E179" s="66"/>
      <c r="F179" s="125"/>
      <c r="G179" s="132">
        <v>9968</v>
      </c>
      <c r="H179" s="131"/>
      <c r="I179" s="132">
        <v>9966</v>
      </c>
      <c r="J179" s="132"/>
      <c r="L179" s="158">
        <v>10246</v>
      </c>
    </row>
    <row r="180" spans="1:12" ht="12">
      <c r="A180" s="72">
        <v>16</v>
      </c>
      <c r="B180" s="47" t="s">
        <v>542</v>
      </c>
      <c r="D180" s="72">
        <v>16</v>
      </c>
      <c r="E180" s="66"/>
      <c r="F180" s="125"/>
      <c r="G180" s="132">
        <v>7674</v>
      </c>
      <c r="H180" s="131"/>
      <c r="I180" s="132">
        <v>7674</v>
      </c>
      <c r="J180" s="132"/>
      <c r="L180" s="158">
        <v>7674</v>
      </c>
    </row>
    <row r="181" spans="1:12" ht="12">
      <c r="A181" s="72">
        <v>17</v>
      </c>
      <c r="B181" s="47" t="s">
        <v>541</v>
      </c>
      <c r="D181" s="72">
        <v>17</v>
      </c>
      <c r="E181" s="66"/>
      <c r="F181" s="125"/>
      <c r="G181" s="132">
        <v>9968</v>
      </c>
      <c r="H181" s="131"/>
      <c r="I181" s="132">
        <v>9966</v>
      </c>
      <c r="J181" s="132"/>
      <c r="L181" s="158">
        <v>10246</v>
      </c>
    </row>
    <row r="182" spans="1:12" ht="12">
      <c r="A182" s="72">
        <v>18</v>
      </c>
      <c r="B182" s="47" t="s">
        <v>540</v>
      </c>
      <c r="D182" s="72">
        <v>18</v>
      </c>
      <c r="E182" s="66"/>
      <c r="F182" s="125"/>
      <c r="G182" s="132">
        <v>9916</v>
      </c>
      <c r="H182" s="131"/>
      <c r="I182" s="132">
        <v>9920</v>
      </c>
      <c r="J182" s="132"/>
      <c r="L182" s="158">
        <v>10214</v>
      </c>
    </row>
    <row r="183" spans="1:12" ht="12">
      <c r="A183" s="72">
        <v>19</v>
      </c>
      <c r="B183" s="48" t="s">
        <v>539</v>
      </c>
      <c r="D183" s="72">
        <v>19</v>
      </c>
      <c r="F183" s="119"/>
      <c r="G183" s="129">
        <v>8678</v>
      </c>
      <c r="H183" s="127"/>
      <c r="I183" s="129">
        <v>8680</v>
      </c>
      <c r="J183" s="129"/>
      <c r="L183" s="229">
        <v>8944</v>
      </c>
    </row>
    <row r="184" spans="1:12" ht="12">
      <c r="A184" s="72">
        <v>20</v>
      </c>
      <c r="B184" s="48" t="s">
        <v>538</v>
      </c>
      <c r="D184" s="72">
        <v>20</v>
      </c>
      <c r="F184" s="119"/>
      <c r="G184" s="129">
        <v>8678</v>
      </c>
      <c r="H184" s="127"/>
      <c r="I184" s="129">
        <v>8680</v>
      </c>
      <c r="J184" s="129"/>
      <c r="L184" s="229">
        <v>8944</v>
      </c>
    </row>
    <row r="185" spans="1:10" ht="12">
      <c r="A185" s="72">
        <v>21</v>
      </c>
      <c r="D185" s="72">
        <v>21</v>
      </c>
      <c r="F185" s="119"/>
      <c r="G185" s="119"/>
      <c r="H185" s="127"/>
      <c r="I185" s="129"/>
      <c r="J185" s="129"/>
    </row>
    <row r="186" spans="1:10" ht="12">
      <c r="A186" s="72">
        <v>22</v>
      </c>
      <c r="D186" s="72">
        <v>22</v>
      </c>
      <c r="F186" s="119"/>
      <c r="G186" s="119"/>
      <c r="H186" s="127"/>
      <c r="I186" s="129"/>
      <c r="J186" s="129"/>
    </row>
    <row r="187" spans="1:10" ht="12">
      <c r="A187" s="72">
        <v>23</v>
      </c>
      <c r="B187" s="47" t="s">
        <v>149</v>
      </c>
      <c r="D187" s="72">
        <v>23</v>
      </c>
      <c r="F187" s="119"/>
      <c r="G187" s="119"/>
      <c r="H187" s="127"/>
      <c r="I187" s="128"/>
      <c r="J187" s="128"/>
    </row>
    <row r="188" spans="1:10" ht="12">
      <c r="A188" s="72">
        <v>24</v>
      </c>
      <c r="B188" s="47" t="s">
        <v>140</v>
      </c>
      <c r="D188" s="72">
        <v>24</v>
      </c>
      <c r="F188" s="119"/>
      <c r="G188" s="119"/>
      <c r="H188" s="127"/>
      <c r="I188" s="128"/>
      <c r="J188" s="128"/>
    </row>
    <row r="189" spans="1:10" ht="12">
      <c r="A189" s="72">
        <v>25</v>
      </c>
      <c r="B189" s="47" t="s">
        <v>141</v>
      </c>
      <c r="D189" s="72">
        <v>25</v>
      </c>
      <c r="F189" s="122"/>
      <c r="G189" s="122"/>
      <c r="H189" s="133"/>
      <c r="I189" s="228"/>
      <c r="J189" s="228"/>
    </row>
    <row r="190" spans="1:10" ht="12">
      <c r="A190" s="72">
        <v>26</v>
      </c>
      <c r="B190" s="47" t="s">
        <v>0</v>
      </c>
      <c r="D190" s="72">
        <v>26</v>
      </c>
      <c r="F190" s="119"/>
      <c r="G190" s="119"/>
      <c r="H190" s="127"/>
      <c r="I190" s="128"/>
      <c r="J190" s="128"/>
    </row>
    <row r="191" spans="1:10" ht="12">
      <c r="A191" s="72">
        <v>27</v>
      </c>
      <c r="B191" s="47" t="s">
        <v>0</v>
      </c>
      <c r="D191" s="72">
        <v>27</v>
      </c>
      <c r="F191" s="119"/>
      <c r="G191" s="119"/>
      <c r="H191" s="127"/>
      <c r="I191" s="128"/>
      <c r="J191" s="128"/>
    </row>
    <row r="192" spans="1:10" ht="12">
      <c r="A192" s="72">
        <v>28</v>
      </c>
      <c r="B192" s="47" t="s">
        <v>0</v>
      </c>
      <c r="D192" s="72">
        <v>28</v>
      </c>
      <c r="F192" s="119"/>
      <c r="G192" s="119"/>
      <c r="H192" s="127"/>
      <c r="I192" s="128"/>
      <c r="J192" s="128"/>
    </row>
    <row r="193" spans="1:10" ht="12">
      <c r="A193" s="72"/>
      <c r="B193" s="47" t="s">
        <v>0</v>
      </c>
      <c r="D193" s="68"/>
      <c r="E193" s="50"/>
      <c r="F193" s="84"/>
      <c r="G193" s="58"/>
      <c r="H193" s="84"/>
      <c r="I193" s="58"/>
      <c r="J193" s="58"/>
    </row>
    <row r="194" spans="1:4" ht="12">
      <c r="A194" s="72"/>
      <c r="D194" s="68"/>
    </row>
    <row r="195" spans="1:11" s="134" customFormat="1" ht="9">
      <c r="A195" s="134" t="s">
        <v>407</v>
      </c>
      <c r="F195" s="135"/>
      <c r="G195" s="136"/>
      <c r="H195" s="135"/>
      <c r="I195" s="136"/>
      <c r="J195" s="136"/>
      <c r="K195" s="227"/>
    </row>
    <row r="196" spans="1:11" s="134" customFormat="1" ht="9">
      <c r="A196" s="137" t="s">
        <v>408</v>
      </c>
      <c r="F196" s="135"/>
      <c r="G196" s="136"/>
      <c r="H196" s="135"/>
      <c r="I196" s="136"/>
      <c r="J196" s="136"/>
      <c r="K196" s="227"/>
    </row>
    <row r="197" spans="4:12" ht="12">
      <c r="D197" s="68"/>
      <c r="F197" s="84"/>
      <c r="G197" s="58"/>
      <c r="I197" s="58"/>
      <c r="J197" s="58"/>
      <c r="L197" s="50"/>
    </row>
    <row r="198" spans="1:12" ht="12">
      <c r="A198" s="91" t="s">
        <v>528</v>
      </c>
      <c r="D198" s="68"/>
      <c r="F198" s="84"/>
      <c r="G198" s="58"/>
      <c r="H198" s="84"/>
      <c r="J198" s="92"/>
      <c r="K198" s="226"/>
      <c r="L198" s="92" t="s">
        <v>158</v>
      </c>
    </row>
    <row r="199" spans="1:13" ht="12.75" customHeight="1">
      <c r="A199" s="477" t="s">
        <v>409</v>
      </c>
      <c r="B199" s="477"/>
      <c r="C199" s="477"/>
      <c r="D199" s="477"/>
      <c r="E199" s="477"/>
      <c r="F199" s="477"/>
      <c r="G199" s="477"/>
      <c r="H199" s="477"/>
      <c r="I199" s="477"/>
      <c r="J199" s="477"/>
      <c r="K199" s="477"/>
      <c r="L199" s="477"/>
      <c r="M199" s="138"/>
    </row>
    <row r="200" spans="1:12" ht="12">
      <c r="A200" s="91" t="s">
        <v>527</v>
      </c>
      <c r="G200" s="58"/>
      <c r="H200" s="84"/>
      <c r="J200" s="94"/>
      <c r="K200" s="226"/>
      <c r="L200" s="94" t="s">
        <v>71</v>
      </c>
    </row>
    <row r="201" spans="1:12" ht="12">
      <c r="A201" s="45" t="s">
        <v>1</v>
      </c>
      <c r="B201" s="45" t="s">
        <v>1</v>
      </c>
      <c r="C201" s="45" t="s">
        <v>1</v>
      </c>
      <c r="D201" s="45" t="s">
        <v>1</v>
      </c>
      <c r="E201" s="45" t="s">
        <v>1</v>
      </c>
      <c r="F201" s="95" t="s">
        <v>1</v>
      </c>
      <c r="G201" s="71" t="s">
        <v>1</v>
      </c>
      <c r="H201" s="95" t="s">
        <v>1</v>
      </c>
      <c r="I201" s="71" t="s">
        <v>1</v>
      </c>
      <c r="J201" s="95" t="s">
        <v>1</v>
      </c>
      <c r="K201" s="193" t="s">
        <v>1</v>
      </c>
      <c r="L201" s="71" t="s">
        <v>1</v>
      </c>
    </row>
    <row r="202" spans="1:12" ht="12">
      <c r="A202" s="59" t="s">
        <v>2</v>
      </c>
      <c r="D202" s="59" t="s">
        <v>2</v>
      </c>
      <c r="F202" s="96"/>
      <c r="G202" s="87" t="s">
        <v>62</v>
      </c>
      <c r="H202" s="96"/>
      <c r="I202" s="77" t="s">
        <v>65</v>
      </c>
      <c r="J202" s="87"/>
      <c r="L202" s="77" t="s">
        <v>70</v>
      </c>
    </row>
    <row r="203" spans="1:12" ht="12">
      <c r="A203" s="59" t="s">
        <v>4</v>
      </c>
      <c r="B203" s="47" t="s">
        <v>0</v>
      </c>
      <c r="D203" s="59" t="s">
        <v>4</v>
      </c>
      <c r="F203" s="96"/>
      <c r="G203" s="87" t="s">
        <v>7</v>
      </c>
      <c r="H203" s="96"/>
      <c r="I203" s="87" t="s">
        <v>7</v>
      </c>
      <c r="J203" s="87"/>
      <c r="L203" s="77" t="s">
        <v>8</v>
      </c>
    </row>
    <row r="204" spans="1:12" ht="12">
      <c r="A204" s="45" t="s">
        <v>1</v>
      </c>
      <c r="B204" s="45" t="s">
        <v>1</v>
      </c>
      <c r="C204" s="45" t="s">
        <v>1</v>
      </c>
      <c r="D204" s="45" t="s">
        <v>1</v>
      </c>
      <c r="E204" s="45" t="s">
        <v>1</v>
      </c>
      <c r="F204" s="95" t="s">
        <v>1</v>
      </c>
      <c r="G204" s="71" t="s">
        <v>1</v>
      </c>
      <c r="H204" s="95" t="s">
        <v>1</v>
      </c>
      <c r="I204" s="71" t="s">
        <v>1</v>
      </c>
      <c r="J204" s="95" t="s">
        <v>1</v>
      </c>
      <c r="K204" s="193" t="s">
        <v>1</v>
      </c>
      <c r="L204" s="71" t="s">
        <v>1</v>
      </c>
    </row>
    <row r="205" spans="1:10" ht="12">
      <c r="A205" s="72">
        <v>1</v>
      </c>
      <c r="B205" s="47" t="s">
        <v>392</v>
      </c>
      <c r="D205" s="72">
        <v>1</v>
      </c>
      <c r="F205" s="119"/>
      <c r="G205" s="119"/>
      <c r="H205" s="84"/>
      <c r="I205" s="58"/>
      <c r="J205" s="58"/>
    </row>
    <row r="206" spans="1:10" ht="12">
      <c r="A206" s="72">
        <v>2</v>
      </c>
      <c r="B206" s="47" t="s">
        <v>140</v>
      </c>
      <c r="D206" s="72">
        <v>2</v>
      </c>
      <c r="E206" s="51"/>
      <c r="F206" s="119"/>
      <c r="G206" s="119"/>
      <c r="H206" s="84"/>
      <c r="I206" s="129"/>
      <c r="J206" s="129"/>
    </row>
    <row r="207" spans="1:12" ht="12">
      <c r="A207" s="72">
        <v>3</v>
      </c>
      <c r="B207" s="47" t="s">
        <v>547</v>
      </c>
      <c r="D207" s="72">
        <v>3</v>
      </c>
      <c r="E207" s="51"/>
      <c r="F207" s="119"/>
      <c r="G207" s="129">
        <v>18456</v>
      </c>
      <c r="H207" s="84"/>
      <c r="I207" s="129">
        <v>18744</v>
      </c>
      <c r="J207" s="129"/>
      <c r="L207" s="155">
        <v>19128</v>
      </c>
    </row>
    <row r="208" spans="1:12" ht="12">
      <c r="A208" s="72">
        <v>4</v>
      </c>
      <c r="B208" s="47" t="s">
        <v>546</v>
      </c>
      <c r="D208" s="72">
        <v>4</v>
      </c>
      <c r="E208" s="51"/>
      <c r="F208" s="119"/>
      <c r="G208" s="129">
        <v>18456</v>
      </c>
      <c r="H208" s="84"/>
      <c r="I208" s="129">
        <v>18744</v>
      </c>
      <c r="J208" s="129"/>
      <c r="L208" s="155">
        <v>19128</v>
      </c>
    </row>
    <row r="209" spans="1:12" ht="12">
      <c r="A209" s="72">
        <v>5</v>
      </c>
      <c r="D209" s="72">
        <v>5</v>
      </c>
      <c r="E209" s="51"/>
      <c r="F209" s="119"/>
      <c r="G209" s="129"/>
      <c r="H209" s="84"/>
      <c r="I209" s="129"/>
      <c r="J209" s="129"/>
      <c r="L209" s="155"/>
    </row>
    <row r="210" spans="1:12" ht="12">
      <c r="A210" s="72">
        <v>6</v>
      </c>
      <c r="B210" s="47" t="s">
        <v>0</v>
      </c>
      <c r="D210" s="72">
        <v>6</v>
      </c>
      <c r="E210" s="51"/>
      <c r="F210" s="119"/>
      <c r="G210" s="129"/>
      <c r="H210" s="84"/>
      <c r="I210" s="129"/>
      <c r="J210" s="129"/>
      <c r="L210" s="155"/>
    </row>
    <row r="211" spans="1:12" ht="12">
      <c r="A211" s="72">
        <v>7</v>
      </c>
      <c r="B211" s="47" t="s">
        <v>0</v>
      </c>
      <c r="D211" s="72">
        <v>7</v>
      </c>
      <c r="E211" s="51"/>
      <c r="F211" s="119"/>
      <c r="G211" s="129"/>
      <c r="H211" s="84"/>
      <c r="I211" s="129"/>
      <c r="J211" s="129"/>
      <c r="L211" s="155"/>
    </row>
    <row r="212" spans="1:12" ht="12">
      <c r="A212" s="72">
        <v>8</v>
      </c>
      <c r="D212" s="72">
        <v>8</v>
      </c>
      <c r="F212" s="119"/>
      <c r="G212" s="129"/>
      <c r="H212" s="84"/>
      <c r="I212" s="129"/>
      <c r="J212" s="129"/>
      <c r="L212" s="155"/>
    </row>
    <row r="213" spans="1:12" ht="12">
      <c r="A213" s="72">
        <v>9</v>
      </c>
      <c r="B213" s="47" t="s">
        <v>0</v>
      </c>
      <c r="D213" s="72">
        <v>9</v>
      </c>
      <c r="F213" s="119"/>
      <c r="G213" s="129"/>
      <c r="H213" s="84"/>
      <c r="I213" s="129"/>
      <c r="J213" s="129"/>
      <c r="L213" s="155"/>
    </row>
    <row r="214" spans="1:12" ht="12">
      <c r="A214" s="72">
        <v>10</v>
      </c>
      <c r="B214" s="47" t="s">
        <v>0</v>
      </c>
      <c r="D214" s="72">
        <v>10</v>
      </c>
      <c r="F214" s="119"/>
      <c r="G214" s="129"/>
      <c r="H214" s="84"/>
      <c r="I214" s="129"/>
      <c r="J214" s="129"/>
      <c r="L214" s="155"/>
    </row>
    <row r="215" spans="1:12" ht="12">
      <c r="A215" s="72">
        <v>11</v>
      </c>
      <c r="B215" s="47" t="s">
        <v>146</v>
      </c>
      <c r="D215" s="72">
        <v>11</v>
      </c>
      <c r="F215" s="119"/>
      <c r="G215" s="129"/>
      <c r="H215" s="84"/>
      <c r="I215" s="129"/>
      <c r="J215" s="129"/>
      <c r="L215" s="155"/>
    </row>
    <row r="216" spans="1:12" ht="12">
      <c r="A216" s="72">
        <v>12</v>
      </c>
      <c r="B216" s="47" t="s">
        <v>140</v>
      </c>
      <c r="D216" s="72">
        <v>12</v>
      </c>
      <c r="F216" s="119"/>
      <c r="G216" s="129"/>
      <c r="H216" s="84"/>
      <c r="I216" s="129"/>
      <c r="J216" s="129"/>
      <c r="L216" s="155"/>
    </row>
    <row r="217" spans="1:12" ht="12">
      <c r="A217" s="72">
        <v>13</v>
      </c>
      <c r="B217" s="47" t="s">
        <v>545</v>
      </c>
      <c r="D217" s="72">
        <v>13</v>
      </c>
      <c r="F217" s="119"/>
      <c r="G217" s="129">
        <v>17618</v>
      </c>
      <c r="H217" s="84"/>
      <c r="I217" s="129">
        <v>18990</v>
      </c>
      <c r="J217" s="129"/>
      <c r="L217" s="155">
        <v>18990</v>
      </c>
    </row>
    <row r="218" spans="1:12" ht="12">
      <c r="A218" s="72">
        <v>14</v>
      </c>
      <c r="B218" s="47" t="s">
        <v>544</v>
      </c>
      <c r="D218" s="72">
        <v>14</v>
      </c>
      <c r="E218" s="66"/>
      <c r="F218" s="125"/>
      <c r="G218" s="132">
        <v>18750</v>
      </c>
      <c r="H218" s="139"/>
      <c r="I218" s="132">
        <v>20268</v>
      </c>
      <c r="J218" s="132"/>
      <c r="L218" s="155">
        <v>20268</v>
      </c>
    </row>
    <row r="219" spans="1:12" ht="12">
      <c r="A219" s="72">
        <v>15</v>
      </c>
      <c r="B219" s="47" t="s">
        <v>543</v>
      </c>
      <c r="D219" s="72">
        <v>15</v>
      </c>
      <c r="E219" s="66"/>
      <c r="F219" s="125"/>
      <c r="G219" s="132">
        <v>19104</v>
      </c>
      <c r="H219" s="139"/>
      <c r="I219" s="132">
        <v>20628</v>
      </c>
      <c r="J219" s="132"/>
      <c r="L219" s="155">
        <v>20628</v>
      </c>
    </row>
    <row r="220" spans="1:12" ht="12">
      <c r="A220" s="72">
        <v>16</v>
      </c>
      <c r="B220" s="47" t="s">
        <v>542</v>
      </c>
      <c r="D220" s="72">
        <v>16</v>
      </c>
      <c r="E220" s="66"/>
      <c r="F220" s="125"/>
      <c r="G220" s="132">
        <v>18750</v>
      </c>
      <c r="H220" s="139"/>
      <c r="I220" s="132">
        <v>20268</v>
      </c>
      <c r="J220" s="132"/>
      <c r="L220" s="155">
        <v>20268</v>
      </c>
    </row>
    <row r="221" spans="1:12" ht="12">
      <c r="A221" s="72">
        <v>17</v>
      </c>
      <c r="B221" s="47" t="s">
        <v>541</v>
      </c>
      <c r="D221" s="72">
        <v>17</v>
      </c>
      <c r="E221" s="66"/>
      <c r="F221" s="125"/>
      <c r="G221" s="132">
        <v>19104</v>
      </c>
      <c r="H221" s="139"/>
      <c r="I221" s="132">
        <v>20628</v>
      </c>
      <c r="J221" s="132"/>
      <c r="L221" s="155">
        <v>20628</v>
      </c>
    </row>
    <row r="222" spans="1:12" ht="12">
      <c r="A222" s="72">
        <v>18</v>
      </c>
      <c r="B222" s="47" t="s">
        <v>540</v>
      </c>
      <c r="D222" s="72">
        <v>18</v>
      </c>
      <c r="E222" s="66"/>
      <c r="F222" s="125"/>
      <c r="G222" s="132">
        <v>18750</v>
      </c>
      <c r="H222" s="139"/>
      <c r="I222" s="132">
        <v>20268</v>
      </c>
      <c r="J222" s="132"/>
      <c r="L222" s="155">
        <v>20268</v>
      </c>
    </row>
    <row r="223" spans="1:12" ht="12">
      <c r="A223" s="72">
        <v>19</v>
      </c>
      <c r="B223" s="48" t="s">
        <v>539</v>
      </c>
      <c r="D223" s="72">
        <v>19</v>
      </c>
      <c r="F223" s="119"/>
      <c r="G223" s="132">
        <v>18750</v>
      </c>
      <c r="H223" s="84"/>
      <c r="I223" s="132">
        <v>20268</v>
      </c>
      <c r="J223" s="132"/>
      <c r="L223" s="155">
        <v>20268</v>
      </c>
    </row>
    <row r="224" spans="1:12" ht="12">
      <c r="A224" s="72">
        <v>20</v>
      </c>
      <c r="B224" s="48" t="s">
        <v>538</v>
      </c>
      <c r="D224" s="72">
        <v>20</v>
      </c>
      <c r="F224" s="119"/>
      <c r="G224" s="132">
        <v>18750</v>
      </c>
      <c r="H224" s="84"/>
      <c r="I224" s="132">
        <v>20268</v>
      </c>
      <c r="J224" s="132"/>
      <c r="L224" s="155">
        <v>20268</v>
      </c>
    </row>
    <row r="225" spans="1:10" ht="12">
      <c r="A225" s="72">
        <v>21</v>
      </c>
      <c r="D225" s="72">
        <v>21</v>
      </c>
      <c r="F225" s="119"/>
      <c r="G225" s="119"/>
      <c r="H225" s="84"/>
      <c r="I225" s="129"/>
      <c r="J225" s="129"/>
    </row>
    <row r="226" spans="1:10" ht="12">
      <c r="A226" s="72">
        <v>22</v>
      </c>
      <c r="D226" s="72">
        <v>22</v>
      </c>
      <c r="F226" s="119"/>
      <c r="G226" s="119"/>
      <c r="H226" s="84"/>
      <c r="I226" s="129"/>
      <c r="J226" s="129"/>
    </row>
    <row r="227" spans="1:10" ht="12">
      <c r="A227" s="72">
        <v>23</v>
      </c>
      <c r="D227" s="72">
        <v>23</v>
      </c>
      <c r="F227" s="119"/>
      <c r="G227" s="119"/>
      <c r="H227" s="84"/>
      <c r="I227" s="129"/>
      <c r="J227" s="129"/>
    </row>
    <row r="228" spans="1:10" ht="12">
      <c r="A228" s="72">
        <v>24</v>
      </c>
      <c r="B228" s="47" t="s">
        <v>149</v>
      </c>
      <c r="D228" s="72">
        <v>24</v>
      </c>
      <c r="F228" s="119"/>
      <c r="G228" s="119"/>
      <c r="H228" s="84"/>
      <c r="I228" s="58"/>
      <c r="J228" s="58"/>
    </row>
    <row r="229" spans="1:7" ht="12">
      <c r="A229" s="72">
        <v>25</v>
      </c>
      <c r="B229" s="47" t="s">
        <v>140</v>
      </c>
      <c r="D229" s="72">
        <v>25</v>
      </c>
      <c r="F229" s="122"/>
      <c r="G229" s="122"/>
    </row>
    <row r="230" spans="1:10" ht="12">
      <c r="A230" s="72">
        <v>26</v>
      </c>
      <c r="D230" s="72">
        <v>26</v>
      </c>
      <c r="F230" s="119"/>
      <c r="G230" s="119"/>
      <c r="H230" s="84"/>
      <c r="I230" s="58"/>
      <c r="J230" s="58"/>
    </row>
    <row r="231" spans="1:10" ht="12">
      <c r="A231" s="72">
        <v>27</v>
      </c>
      <c r="D231" s="72">
        <v>27</v>
      </c>
      <c r="F231" s="119"/>
      <c r="G231" s="119"/>
      <c r="H231" s="84"/>
      <c r="I231" s="58"/>
      <c r="J231" s="58"/>
    </row>
    <row r="232" spans="1:10" ht="12">
      <c r="A232" s="72">
        <v>28</v>
      </c>
      <c r="D232" s="72">
        <v>28</v>
      </c>
      <c r="F232" s="119"/>
      <c r="G232" s="119"/>
      <c r="H232" s="84"/>
      <c r="I232" s="58"/>
      <c r="J232" s="58"/>
    </row>
    <row r="233" spans="1:10" ht="12">
      <c r="A233" s="72">
        <v>29</v>
      </c>
      <c r="D233" s="72">
        <v>29</v>
      </c>
      <c r="E233" s="50"/>
      <c r="F233" s="119"/>
      <c r="G233" s="119"/>
      <c r="H233" s="84"/>
      <c r="I233" s="58"/>
      <c r="J233" s="58"/>
    </row>
    <row r="234" spans="1:7" ht="12">
      <c r="A234" s="72">
        <v>30</v>
      </c>
      <c r="D234" s="72">
        <v>30</v>
      </c>
      <c r="F234" s="122"/>
      <c r="G234" s="122"/>
    </row>
    <row r="235" spans="1:10" ht="12">
      <c r="A235" s="47"/>
      <c r="G235" s="58"/>
      <c r="I235" s="58"/>
      <c r="J235" s="58"/>
    </row>
    <row r="236" spans="1:12" ht="12">
      <c r="A236" s="91" t="s">
        <v>528</v>
      </c>
      <c r="B236" s="140"/>
      <c r="F236" s="48"/>
      <c r="G236" s="48"/>
      <c r="H236" s="48"/>
      <c r="J236" s="48"/>
      <c r="L236" s="103" t="s">
        <v>164</v>
      </c>
    </row>
    <row r="237" spans="1:10" ht="12">
      <c r="A237" s="115"/>
      <c r="B237" s="476"/>
      <c r="C237" s="476"/>
      <c r="D237" s="476"/>
      <c r="E237" s="476"/>
      <c r="F237" s="476"/>
      <c r="G237" s="476"/>
      <c r="H237" s="476"/>
      <c r="I237" s="476"/>
      <c r="J237" s="141"/>
    </row>
    <row r="238" spans="1:12" ht="12">
      <c r="A238" s="91" t="s">
        <v>527</v>
      </c>
      <c r="F238" s="48"/>
      <c r="G238" s="48"/>
      <c r="H238" s="48"/>
      <c r="J238" s="48"/>
      <c r="L238" s="94" t="s">
        <v>71</v>
      </c>
    </row>
    <row r="239" spans="1:11" ht="12">
      <c r="A239" s="45"/>
      <c r="B239" s="45" t="s">
        <v>1</v>
      </c>
      <c r="C239" s="45" t="s">
        <v>1</v>
      </c>
      <c r="D239" s="45" t="s">
        <v>1</v>
      </c>
      <c r="E239" s="45" t="s">
        <v>1</v>
      </c>
      <c r="F239" s="45" t="s">
        <v>1</v>
      </c>
      <c r="G239" s="45" t="s">
        <v>1</v>
      </c>
      <c r="H239" s="45" t="s">
        <v>1</v>
      </c>
      <c r="I239" s="71" t="s">
        <v>1</v>
      </c>
      <c r="J239" s="71"/>
      <c r="K239" s="193" t="s">
        <v>1</v>
      </c>
    </row>
    <row r="240" spans="1:10" ht="12">
      <c r="A240" s="59"/>
      <c r="C240" s="80" t="s">
        <v>62</v>
      </c>
      <c r="F240" s="80" t="s">
        <v>65</v>
      </c>
      <c r="G240" s="48"/>
      <c r="H240" s="48"/>
      <c r="I240" s="48"/>
      <c r="J240" s="48"/>
    </row>
    <row r="241" spans="1:10" ht="12">
      <c r="A241" s="59"/>
      <c r="C241" s="80" t="s">
        <v>167</v>
      </c>
      <c r="F241" s="80" t="s">
        <v>167</v>
      </c>
      <c r="G241" s="48"/>
      <c r="H241" s="48"/>
      <c r="I241" s="48"/>
      <c r="J241" s="48"/>
    </row>
    <row r="242" spans="1:10" ht="12">
      <c r="A242" s="45"/>
      <c r="C242" s="80" t="s">
        <v>19</v>
      </c>
      <c r="D242" s="80" t="s">
        <v>19</v>
      </c>
      <c r="E242" s="80" t="s">
        <v>168</v>
      </c>
      <c r="F242" s="80" t="s">
        <v>19</v>
      </c>
      <c r="G242" s="80" t="s">
        <v>19</v>
      </c>
      <c r="H242" s="80" t="s">
        <v>168</v>
      </c>
      <c r="I242" s="48"/>
      <c r="J242" s="48"/>
    </row>
    <row r="243" spans="1:10" ht="12">
      <c r="A243" s="47"/>
      <c r="B243" s="80" t="s">
        <v>169</v>
      </c>
      <c r="C243" s="80" t="s">
        <v>170</v>
      </c>
      <c r="D243" s="80" t="s">
        <v>171</v>
      </c>
      <c r="E243" s="80" t="s">
        <v>172</v>
      </c>
      <c r="F243" s="80" t="s">
        <v>170</v>
      </c>
      <c r="G243" s="80" t="s">
        <v>171</v>
      </c>
      <c r="H243" s="80" t="s">
        <v>172</v>
      </c>
      <c r="I243" s="48"/>
      <c r="J243" s="48"/>
    </row>
    <row r="244" spans="1:11" ht="12">
      <c r="A244" s="47"/>
      <c r="B244" s="45" t="s">
        <v>1</v>
      </c>
      <c r="C244" s="45" t="s">
        <v>1</v>
      </c>
      <c r="D244" s="45" t="s">
        <v>1</v>
      </c>
      <c r="E244" s="45" t="s">
        <v>1</v>
      </c>
      <c r="F244" s="45" t="s">
        <v>1</v>
      </c>
      <c r="G244" s="45" t="s">
        <v>1</v>
      </c>
      <c r="H244" s="45" t="s">
        <v>1</v>
      </c>
      <c r="I244" s="71" t="s">
        <v>1</v>
      </c>
      <c r="J244" s="71"/>
      <c r="K244" s="193" t="s">
        <v>1</v>
      </c>
    </row>
    <row r="245" spans="1:10" ht="12">
      <c r="A245" s="47"/>
      <c r="F245" s="48"/>
      <c r="G245" s="48"/>
      <c r="H245" s="48"/>
      <c r="I245" s="48"/>
      <c r="J245" s="48"/>
    </row>
    <row r="246" spans="1:10" ht="12">
      <c r="A246" s="47"/>
      <c r="B246" s="47" t="s">
        <v>173</v>
      </c>
      <c r="C246" s="142"/>
      <c r="D246" s="142"/>
      <c r="E246" s="142"/>
      <c r="F246" s="142"/>
      <c r="G246" s="142"/>
      <c r="H246" s="142"/>
      <c r="I246" s="48"/>
      <c r="J246" s="48"/>
    </row>
    <row r="247" spans="1:10" ht="12">
      <c r="A247" s="47"/>
      <c r="C247" s="142"/>
      <c r="D247" s="142"/>
      <c r="E247" s="142"/>
      <c r="F247" s="142"/>
      <c r="G247" s="142"/>
      <c r="H247" s="142"/>
      <c r="I247" s="48"/>
      <c r="J247" s="48"/>
    </row>
    <row r="248" spans="1:10" ht="12">
      <c r="A248" s="47"/>
      <c r="B248" s="47" t="s">
        <v>174</v>
      </c>
      <c r="C248" s="120">
        <v>3787</v>
      </c>
      <c r="D248" s="120">
        <v>174.1</v>
      </c>
      <c r="E248" s="121">
        <v>21.751866743251007</v>
      </c>
      <c r="F248" s="120">
        <v>4016</v>
      </c>
      <c r="G248" s="120">
        <v>171.4</v>
      </c>
      <c r="H248" s="121">
        <v>23.430571761960326</v>
      </c>
      <c r="I248" s="48"/>
      <c r="J248" s="48"/>
    </row>
    <row r="249" spans="1:10" ht="12">
      <c r="A249" s="47"/>
      <c r="C249" s="121"/>
      <c r="D249" s="121"/>
      <c r="E249" s="121"/>
      <c r="F249" s="121"/>
      <c r="G249" s="121"/>
      <c r="H249" s="121"/>
      <c r="I249" s="48"/>
      <c r="J249" s="48"/>
    </row>
    <row r="250" spans="1:10" ht="12">
      <c r="A250" s="47"/>
      <c r="B250" s="47" t="s">
        <v>175</v>
      </c>
      <c r="C250" s="120">
        <v>3535</v>
      </c>
      <c r="D250" s="120">
        <v>209.4</v>
      </c>
      <c r="E250" s="121">
        <v>16.881566380133716</v>
      </c>
      <c r="F250" s="120">
        <v>3894</v>
      </c>
      <c r="G250" s="120">
        <v>222.5</v>
      </c>
      <c r="H250" s="121">
        <v>17.501123595505618</v>
      </c>
      <c r="I250" s="48"/>
      <c r="J250" s="48"/>
    </row>
    <row r="251" spans="1:10" ht="12">
      <c r="A251" s="47"/>
      <c r="C251" s="121"/>
      <c r="D251" s="121"/>
      <c r="E251" s="121"/>
      <c r="F251" s="121"/>
      <c r="G251" s="121"/>
      <c r="H251" s="121"/>
      <c r="I251" s="48"/>
      <c r="J251" s="48"/>
    </row>
    <row r="252" spans="1:10" ht="12">
      <c r="A252" s="47"/>
      <c r="B252" s="47" t="s">
        <v>176</v>
      </c>
      <c r="C252" s="120">
        <v>7322</v>
      </c>
      <c r="D252" s="120">
        <v>383.5</v>
      </c>
      <c r="E252" s="121">
        <v>19.092568448500653</v>
      </c>
      <c r="F252" s="120">
        <v>7910</v>
      </c>
      <c r="G252" s="120">
        <v>393.9</v>
      </c>
      <c r="H252" s="121">
        <v>20.081238893120084</v>
      </c>
      <c r="I252" s="145"/>
      <c r="J252" s="145"/>
    </row>
    <row r="253" spans="1:10" ht="12">
      <c r="A253" s="47"/>
      <c r="C253" s="73"/>
      <c r="D253" s="73"/>
      <c r="E253" s="146"/>
      <c r="F253" s="146"/>
      <c r="G253" s="146"/>
      <c r="H253" s="146"/>
      <c r="I253" s="48"/>
      <c r="J253" s="48"/>
    </row>
    <row r="254" spans="1:10" ht="12">
      <c r="A254" s="47"/>
      <c r="C254" s="73"/>
      <c r="D254" s="73"/>
      <c r="E254" s="146"/>
      <c r="F254" s="146"/>
      <c r="G254" s="146"/>
      <c r="H254" s="146"/>
      <c r="I254" s="48"/>
      <c r="J254" s="48"/>
    </row>
    <row r="255" spans="1:10" ht="12">
      <c r="A255" s="47"/>
      <c r="B255" s="47" t="s">
        <v>177</v>
      </c>
      <c r="C255" s="121">
        <v>2275</v>
      </c>
      <c r="D255" s="121">
        <v>230</v>
      </c>
      <c r="E255" s="121">
        <v>9.891304347826088</v>
      </c>
      <c r="F255" s="121">
        <v>2521</v>
      </c>
      <c r="G255" s="121">
        <v>226.8</v>
      </c>
      <c r="H255" s="121">
        <v>11.115520282186948</v>
      </c>
      <c r="I255" s="48"/>
      <c r="J255" s="48"/>
    </row>
    <row r="256" spans="1:11" ht="12">
      <c r="A256" s="47"/>
      <c r="C256" s="121"/>
      <c r="D256" s="121"/>
      <c r="E256" s="121"/>
      <c r="F256" s="121"/>
      <c r="G256" s="121"/>
      <c r="H256" s="121"/>
      <c r="I256" s="48"/>
      <c r="J256" s="48"/>
      <c r="K256" s="48"/>
    </row>
    <row r="257" spans="1:11" ht="12">
      <c r="A257" s="47"/>
      <c r="B257" s="47" t="s">
        <v>178</v>
      </c>
      <c r="C257" s="121">
        <v>92</v>
      </c>
      <c r="D257" s="121">
        <v>34.1</v>
      </c>
      <c r="E257" s="121">
        <v>2.697947214076246</v>
      </c>
      <c r="F257" s="121">
        <v>96</v>
      </c>
      <c r="G257" s="121">
        <v>38.1</v>
      </c>
      <c r="H257" s="121">
        <v>2.5196850393700787</v>
      </c>
      <c r="I257" s="48"/>
      <c r="J257" s="48"/>
      <c r="K257" s="48"/>
    </row>
    <row r="258" spans="1:11" ht="12">
      <c r="A258" s="47"/>
      <c r="C258" s="121"/>
      <c r="D258" s="121"/>
      <c r="E258" s="121"/>
      <c r="F258" s="121"/>
      <c r="G258" s="121"/>
      <c r="H258" s="121"/>
      <c r="I258" s="48"/>
      <c r="J258" s="48"/>
      <c r="K258" s="48"/>
    </row>
    <row r="259" spans="1:11" ht="12">
      <c r="A259" s="47"/>
      <c r="B259" s="47" t="s">
        <v>179</v>
      </c>
      <c r="C259" s="121">
        <v>2367</v>
      </c>
      <c r="D259" s="121">
        <v>264.1</v>
      </c>
      <c r="E259" s="121">
        <v>8.962514199166982</v>
      </c>
      <c r="F259" s="121">
        <v>2617</v>
      </c>
      <c r="G259" s="121">
        <v>264.90000000000003</v>
      </c>
      <c r="H259" s="121">
        <v>9.879199697999244</v>
      </c>
      <c r="I259" s="48"/>
      <c r="J259" s="48"/>
      <c r="K259" s="48"/>
    </row>
    <row r="260" spans="1:11" ht="12">
      <c r="A260" s="47"/>
      <c r="C260" s="121"/>
      <c r="D260" s="121"/>
      <c r="E260" s="121"/>
      <c r="F260" s="73"/>
      <c r="G260" s="73"/>
      <c r="H260" s="121"/>
      <c r="I260" s="48"/>
      <c r="J260" s="48"/>
      <c r="K260" s="48"/>
    </row>
    <row r="261" spans="1:11" ht="12">
      <c r="A261" s="47"/>
      <c r="B261" s="47" t="s">
        <v>180</v>
      </c>
      <c r="C261" s="120">
        <v>9689</v>
      </c>
      <c r="D261" s="120">
        <v>647.6</v>
      </c>
      <c r="E261" s="121">
        <v>14.961395923409512</v>
      </c>
      <c r="F261" s="225">
        <v>10527</v>
      </c>
      <c r="G261" s="144">
        <v>658.8</v>
      </c>
      <c r="H261" s="121">
        <v>15.97905282331512</v>
      </c>
      <c r="I261" s="48"/>
      <c r="J261" s="48"/>
      <c r="K261" s="48"/>
    </row>
    <row r="262" spans="1:11" ht="12">
      <c r="A262" s="47"/>
      <c r="F262" s="48"/>
      <c r="G262" s="48"/>
      <c r="H262" s="48"/>
      <c r="I262" s="48"/>
      <c r="J262" s="48"/>
      <c r="K262" s="48"/>
    </row>
    <row r="263" spans="1:11" ht="12">
      <c r="A263" s="47"/>
      <c r="F263" s="48"/>
      <c r="G263" s="48"/>
      <c r="H263" s="48"/>
      <c r="I263" s="48"/>
      <c r="J263" s="48"/>
      <c r="K263" s="48"/>
    </row>
    <row r="264" spans="1:11" ht="12">
      <c r="A264" s="47"/>
      <c r="F264" s="48"/>
      <c r="G264" s="48"/>
      <c r="H264" s="48"/>
      <c r="I264" s="48"/>
      <c r="J264" s="48"/>
      <c r="K264" s="48"/>
    </row>
    <row r="265" spans="1:11" ht="12">
      <c r="A265" s="47"/>
      <c r="F265" s="48"/>
      <c r="G265" s="48"/>
      <c r="H265" s="48"/>
      <c r="I265" s="48"/>
      <c r="J265" s="48"/>
      <c r="K265" s="48"/>
    </row>
    <row r="266" spans="1:11" ht="12">
      <c r="A266" s="47"/>
      <c r="B266" s="47" t="s">
        <v>181</v>
      </c>
      <c r="F266" s="48"/>
      <c r="G266" s="48"/>
      <c r="H266" s="48"/>
      <c r="I266" s="48"/>
      <c r="J266" s="48"/>
      <c r="K266" s="48"/>
    </row>
    <row r="267" spans="1:11" ht="12">
      <c r="A267" s="47"/>
      <c r="B267" s="47" t="s">
        <v>411</v>
      </c>
      <c r="F267" s="48"/>
      <c r="G267" s="48"/>
      <c r="H267" s="48"/>
      <c r="I267" s="48"/>
      <c r="J267" s="48"/>
      <c r="K267" s="48"/>
    </row>
    <row r="268" spans="1:11" ht="12">
      <c r="A268" s="47"/>
      <c r="G268" s="58"/>
      <c r="I268" s="58"/>
      <c r="J268" s="58"/>
      <c r="K268" s="48"/>
    </row>
    <row r="269" spans="1:11" ht="12">
      <c r="A269" s="47"/>
      <c r="B269" s="48" t="s">
        <v>537</v>
      </c>
      <c r="G269" s="58"/>
      <c r="I269" s="58"/>
      <c r="J269" s="58"/>
      <c r="K269" s="48"/>
    </row>
    <row r="270" spans="1:11" ht="12">
      <c r="A270" s="47"/>
      <c r="G270" s="58"/>
      <c r="I270" s="58"/>
      <c r="J270" s="58"/>
      <c r="K270" s="48"/>
    </row>
    <row r="271" spans="1:11" ht="12">
      <c r="A271" s="47"/>
      <c r="G271" s="58"/>
      <c r="I271" s="58"/>
      <c r="J271" s="58"/>
      <c r="K271" s="48"/>
    </row>
    <row r="272" spans="1:10" ht="12">
      <c r="A272" s="47"/>
      <c r="G272" s="58"/>
      <c r="I272" s="58"/>
      <c r="J272" s="58"/>
    </row>
    <row r="273" spans="1:12" s="93" customFormat="1" ht="12">
      <c r="A273" s="91" t="s">
        <v>528</v>
      </c>
      <c r="D273" s="112"/>
      <c r="F273" s="113"/>
      <c r="G273" s="114"/>
      <c r="H273" s="113"/>
      <c r="J273" s="92"/>
      <c r="K273" s="197"/>
      <c r="L273" s="92" t="s">
        <v>183</v>
      </c>
    </row>
    <row r="274" spans="1:12" s="93" customFormat="1" ht="12.75" customHeight="1">
      <c r="A274" s="472" t="s">
        <v>413</v>
      </c>
      <c r="B274" s="472"/>
      <c r="C274" s="472"/>
      <c r="D274" s="472"/>
      <c r="E274" s="472"/>
      <c r="F274" s="472"/>
      <c r="G274" s="472"/>
      <c r="H274" s="472"/>
      <c r="I274" s="472"/>
      <c r="J274" s="472"/>
      <c r="K274" s="472"/>
      <c r="L274" s="472"/>
    </row>
    <row r="275" spans="1:12" ht="12">
      <c r="A275" s="91" t="s">
        <v>527</v>
      </c>
      <c r="E275" s="53"/>
      <c r="F275" s="147"/>
      <c r="G275" s="148"/>
      <c r="H275" s="84"/>
      <c r="J275" s="94"/>
      <c r="L275" s="94" t="s">
        <v>71</v>
      </c>
    </row>
    <row r="276" spans="1:12" ht="12">
      <c r="A276" s="45" t="s">
        <v>1</v>
      </c>
      <c r="B276" s="45" t="s">
        <v>1</v>
      </c>
      <c r="C276" s="45" t="s">
        <v>1</v>
      </c>
      <c r="D276" s="45" t="s">
        <v>1</v>
      </c>
      <c r="E276" s="45" t="s">
        <v>1</v>
      </c>
      <c r="F276" s="95" t="s">
        <v>1</v>
      </c>
      <c r="G276" s="71" t="s">
        <v>1</v>
      </c>
      <c r="H276" s="95" t="s">
        <v>1</v>
      </c>
      <c r="I276" s="71" t="s">
        <v>1</v>
      </c>
      <c r="J276" s="95" t="s">
        <v>1</v>
      </c>
      <c r="K276" s="193" t="s">
        <v>1</v>
      </c>
      <c r="L276" s="71" t="s">
        <v>1</v>
      </c>
    </row>
    <row r="277" spans="1:12" ht="12">
      <c r="A277" s="59" t="s">
        <v>2</v>
      </c>
      <c r="D277" s="59" t="s">
        <v>2</v>
      </c>
      <c r="E277" s="77"/>
      <c r="F277" s="96"/>
      <c r="G277" s="87" t="s">
        <v>62</v>
      </c>
      <c r="H277" s="96"/>
      <c r="I277" s="77" t="s">
        <v>65</v>
      </c>
      <c r="J277" s="87"/>
      <c r="L277" s="77" t="s">
        <v>70</v>
      </c>
    </row>
    <row r="278" spans="1:12" ht="12">
      <c r="A278" s="59" t="s">
        <v>4</v>
      </c>
      <c r="B278" s="80" t="s">
        <v>18</v>
      </c>
      <c r="C278" s="149"/>
      <c r="D278" s="59" t="s">
        <v>4</v>
      </c>
      <c r="E278" s="77"/>
      <c r="F278" s="96" t="s">
        <v>6</v>
      </c>
      <c r="G278" s="87" t="s">
        <v>7</v>
      </c>
      <c r="H278" s="96" t="s">
        <v>6</v>
      </c>
      <c r="I278" s="87" t="s">
        <v>7</v>
      </c>
      <c r="J278" s="87"/>
      <c r="K278" s="192" t="s">
        <v>19</v>
      </c>
      <c r="L278" s="77" t="s">
        <v>8</v>
      </c>
    </row>
    <row r="279" spans="1:12" ht="12">
      <c r="A279" s="45" t="s">
        <v>1</v>
      </c>
      <c r="B279" s="45" t="s">
        <v>1</v>
      </c>
      <c r="C279" s="45" t="s">
        <v>1</v>
      </c>
      <c r="D279" s="45" t="s">
        <v>1</v>
      </c>
      <c r="E279" s="45" t="s">
        <v>1</v>
      </c>
      <c r="F279" s="95" t="s">
        <v>1</v>
      </c>
      <c r="G279" s="71" t="s">
        <v>1</v>
      </c>
      <c r="H279" s="95" t="s">
        <v>1</v>
      </c>
      <c r="I279" s="71" t="s">
        <v>1</v>
      </c>
      <c r="J279" s="95" t="s">
        <v>1</v>
      </c>
      <c r="K279" s="193" t="s">
        <v>1</v>
      </c>
      <c r="L279" s="71" t="s">
        <v>1</v>
      </c>
    </row>
    <row r="280" spans="1:10" ht="12">
      <c r="A280" s="72">
        <v>1</v>
      </c>
      <c r="B280" s="47" t="s">
        <v>186</v>
      </c>
      <c r="D280" s="72">
        <v>1</v>
      </c>
      <c r="F280" s="84"/>
      <c r="G280" s="58"/>
      <c r="H280" s="84"/>
      <c r="I280" s="58"/>
      <c r="J280" s="58"/>
    </row>
    <row r="281" spans="1:12" ht="12">
      <c r="A281" s="72">
        <v>2</v>
      </c>
      <c r="B281" s="47" t="s">
        <v>414</v>
      </c>
      <c r="C281" s="47" t="s">
        <v>415</v>
      </c>
      <c r="D281" s="72">
        <v>2</v>
      </c>
      <c r="E281" s="66"/>
      <c r="F281" s="124">
        <v>343.1047941133348</v>
      </c>
      <c r="G281" s="125">
        <v>3769106</v>
      </c>
      <c r="H281" s="124">
        <v>398.2563905216209</v>
      </c>
      <c r="I281" s="125">
        <v>4438987</v>
      </c>
      <c r="J281" s="125"/>
      <c r="K281" s="224">
        <v>363.0423002016565</v>
      </c>
      <c r="L281" s="57">
        <v>4310027</v>
      </c>
    </row>
    <row r="282" spans="1:12" ht="12">
      <c r="A282" s="72">
        <v>3</v>
      </c>
      <c r="C282" s="47" t="s">
        <v>416</v>
      </c>
      <c r="D282" s="72">
        <v>3</v>
      </c>
      <c r="E282" s="66"/>
      <c r="F282" s="124">
        <v>583.539946573994</v>
      </c>
      <c r="G282" s="125">
        <v>4911474</v>
      </c>
      <c r="H282" s="124">
        <v>698.2110470565301</v>
      </c>
      <c r="I282" s="125">
        <v>5700009</v>
      </c>
      <c r="J282" s="125"/>
      <c r="K282" s="224">
        <v>661.9338119297108</v>
      </c>
      <c r="L282" s="57">
        <v>6127843</v>
      </c>
    </row>
    <row r="283" spans="1:12" ht="12">
      <c r="A283" s="72">
        <v>4</v>
      </c>
      <c r="B283" s="47" t="s">
        <v>417</v>
      </c>
      <c r="C283" s="47" t="s">
        <v>418</v>
      </c>
      <c r="D283" s="72">
        <v>4</v>
      </c>
      <c r="E283" s="66"/>
      <c r="F283" s="124">
        <v>27.819358347587343</v>
      </c>
      <c r="G283" s="125">
        <v>737434</v>
      </c>
      <c r="H283" s="124">
        <v>35.4558279815928</v>
      </c>
      <c r="I283" s="125">
        <v>999189</v>
      </c>
      <c r="J283" s="125"/>
      <c r="K283" s="224">
        <v>32.08716116461223</v>
      </c>
      <c r="L283" s="57">
        <v>927409</v>
      </c>
    </row>
    <row r="284" spans="1:12" ht="12">
      <c r="A284" s="72">
        <v>5</v>
      </c>
      <c r="C284" s="47" t="s">
        <v>419</v>
      </c>
      <c r="D284" s="72">
        <v>5</v>
      </c>
      <c r="E284" s="66"/>
      <c r="F284" s="124">
        <v>50.21221410365558</v>
      </c>
      <c r="G284" s="125">
        <v>993416</v>
      </c>
      <c r="H284" s="124">
        <v>77.20159589395169</v>
      </c>
      <c r="I284" s="125">
        <v>1489155</v>
      </c>
      <c r="J284" s="125"/>
      <c r="K284" s="224">
        <v>62.19527666503215</v>
      </c>
      <c r="L284" s="57">
        <v>1218451</v>
      </c>
    </row>
    <row r="285" spans="1:12" ht="12">
      <c r="A285" s="72">
        <v>6</v>
      </c>
      <c r="B285" s="47" t="s">
        <v>420</v>
      </c>
      <c r="D285" s="72">
        <v>6</v>
      </c>
      <c r="F285" s="121">
        <v>1004.6763131385717</v>
      </c>
      <c r="G285" s="122">
        <v>10411430</v>
      </c>
      <c r="H285" s="121">
        <v>1209.1248614536955</v>
      </c>
      <c r="I285" s="122">
        <v>12627340</v>
      </c>
      <c r="J285" s="122"/>
      <c r="K285" s="208">
        <v>1119.2585499610118</v>
      </c>
      <c r="L285" s="220">
        <v>12583730</v>
      </c>
    </row>
    <row r="286" spans="1:12" ht="12">
      <c r="A286" s="72">
        <v>7</v>
      </c>
      <c r="B286" s="47" t="s">
        <v>187</v>
      </c>
      <c r="D286" s="72">
        <v>7</v>
      </c>
      <c r="F286" s="120"/>
      <c r="G286" s="119"/>
      <c r="H286" s="120"/>
      <c r="I286" s="119"/>
      <c r="J286" s="119"/>
      <c r="K286" s="222"/>
      <c r="L286" s="57"/>
    </row>
    <row r="287" spans="1:12" ht="12">
      <c r="A287" s="72">
        <v>8</v>
      </c>
      <c r="B287" s="47" t="s">
        <v>414</v>
      </c>
      <c r="C287" s="47" t="s">
        <v>415</v>
      </c>
      <c r="D287" s="72">
        <v>8</v>
      </c>
      <c r="E287" s="66"/>
      <c r="F287" s="124">
        <v>874.8409138560971</v>
      </c>
      <c r="G287" s="125">
        <v>9610382</v>
      </c>
      <c r="H287" s="124">
        <v>956.8583252559308</v>
      </c>
      <c r="I287" s="125">
        <v>10665194</v>
      </c>
      <c r="J287" s="125"/>
      <c r="K287" s="224">
        <v>934.1821756232822</v>
      </c>
      <c r="L287" s="57">
        <v>11090582</v>
      </c>
    </row>
    <row r="288" spans="1:12" ht="12">
      <c r="A288" s="72">
        <v>9</v>
      </c>
      <c r="C288" s="47" t="s">
        <v>416</v>
      </c>
      <c r="D288" s="72">
        <v>9</v>
      </c>
      <c r="E288" s="66"/>
      <c r="F288" s="124">
        <v>3324.612614396669</v>
      </c>
      <c r="G288" s="125">
        <v>27982229</v>
      </c>
      <c r="H288" s="124">
        <v>3254.7262356645037</v>
      </c>
      <c r="I288" s="125">
        <v>26570718</v>
      </c>
      <c r="J288" s="125"/>
      <c r="K288" s="224">
        <v>3317.5649398003166</v>
      </c>
      <c r="L288" s="57">
        <v>30712311</v>
      </c>
    </row>
    <row r="289" spans="1:12" ht="12">
      <c r="A289" s="72">
        <v>10</v>
      </c>
      <c r="B289" s="47" t="s">
        <v>417</v>
      </c>
      <c r="C289" s="47" t="s">
        <v>418</v>
      </c>
      <c r="D289" s="72">
        <v>10</v>
      </c>
      <c r="E289" s="66"/>
      <c r="F289" s="124">
        <v>159.36663971410658</v>
      </c>
      <c r="G289" s="125">
        <v>4224482</v>
      </c>
      <c r="H289" s="124">
        <v>168.90782456877443</v>
      </c>
      <c r="I289" s="125">
        <v>4760031</v>
      </c>
      <c r="J289" s="125"/>
      <c r="K289" s="224">
        <v>168.71258000588762</v>
      </c>
      <c r="L289" s="57">
        <v>4876267</v>
      </c>
    </row>
    <row r="290" spans="1:12" ht="12">
      <c r="A290" s="72">
        <v>11</v>
      </c>
      <c r="C290" s="47" t="s">
        <v>419</v>
      </c>
      <c r="D290" s="72">
        <v>11</v>
      </c>
      <c r="E290" s="66"/>
      <c r="F290" s="124">
        <v>281.20257179914404</v>
      </c>
      <c r="G290" s="125">
        <v>5563410</v>
      </c>
      <c r="H290" s="124">
        <v>314.0982639391477</v>
      </c>
      <c r="I290" s="125">
        <v>6058696</v>
      </c>
      <c r="J290" s="125"/>
      <c r="K290" s="224">
        <v>350.1678233382334</v>
      </c>
      <c r="L290" s="57">
        <v>6860044</v>
      </c>
    </row>
    <row r="291" spans="1:12" ht="12">
      <c r="A291" s="72">
        <v>12</v>
      </c>
      <c r="B291" s="47" t="s">
        <v>421</v>
      </c>
      <c r="D291" s="72">
        <v>12</v>
      </c>
      <c r="F291" s="121">
        <v>4640.0227397660165</v>
      </c>
      <c r="G291" s="122">
        <v>47380503</v>
      </c>
      <c r="H291" s="121">
        <v>4694.590649428356</v>
      </c>
      <c r="I291" s="122">
        <v>48054639</v>
      </c>
      <c r="J291" s="122"/>
      <c r="K291" s="208">
        <v>4770.62751876772</v>
      </c>
      <c r="L291" s="220">
        <v>53539204</v>
      </c>
    </row>
    <row r="292" spans="1:12" ht="12">
      <c r="A292" s="72">
        <v>13</v>
      </c>
      <c r="B292" s="47" t="s">
        <v>188</v>
      </c>
      <c r="D292" s="72">
        <v>13</v>
      </c>
      <c r="F292" s="120"/>
      <c r="G292" s="119"/>
      <c r="H292" s="120"/>
      <c r="I292" s="119"/>
      <c r="J292" s="119"/>
      <c r="K292" s="222"/>
      <c r="L292" s="57"/>
    </row>
    <row r="293" spans="1:12" ht="12">
      <c r="A293" s="72">
        <v>14</v>
      </c>
      <c r="B293" s="47" t="s">
        <v>414</v>
      </c>
      <c r="C293" s="47" t="s">
        <v>415</v>
      </c>
      <c r="D293" s="72">
        <v>14</v>
      </c>
      <c r="E293" s="66"/>
      <c r="F293" s="124"/>
      <c r="G293" s="125"/>
      <c r="H293" s="124"/>
      <c r="I293" s="125"/>
      <c r="J293" s="125"/>
      <c r="K293" s="224"/>
      <c r="L293" s="57"/>
    </row>
    <row r="294" spans="1:12" ht="12">
      <c r="A294" s="72">
        <v>15</v>
      </c>
      <c r="B294" s="47"/>
      <c r="C294" s="47" t="s">
        <v>416</v>
      </c>
      <c r="D294" s="72">
        <v>15</v>
      </c>
      <c r="E294" s="66"/>
      <c r="F294" s="124"/>
      <c r="G294" s="125"/>
      <c r="H294" s="124"/>
      <c r="I294" s="125"/>
      <c r="J294" s="125"/>
      <c r="K294" s="224"/>
      <c r="L294" s="57"/>
    </row>
    <row r="295" spans="1:12" ht="12">
      <c r="A295" s="72">
        <v>16</v>
      </c>
      <c r="B295" s="47" t="s">
        <v>417</v>
      </c>
      <c r="C295" s="47" t="s">
        <v>418</v>
      </c>
      <c r="D295" s="72">
        <v>16</v>
      </c>
      <c r="E295" s="66"/>
      <c r="F295" s="124"/>
      <c r="G295" s="125"/>
      <c r="H295" s="124"/>
      <c r="I295" s="125"/>
      <c r="J295" s="125"/>
      <c r="K295" s="224"/>
      <c r="L295" s="57"/>
    </row>
    <row r="296" spans="1:12" ht="12">
      <c r="A296" s="72">
        <v>17</v>
      </c>
      <c r="B296" s="47"/>
      <c r="C296" s="47" t="s">
        <v>419</v>
      </c>
      <c r="D296" s="72">
        <v>17</v>
      </c>
      <c r="F296" s="121"/>
      <c r="G296" s="122"/>
      <c r="H296" s="121"/>
      <c r="I296" s="122"/>
      <c r="J296" s="122"/>
      <c r="K296" s="208"/>
      <c r="L296" s="57"/>
    </row>
    <row r="297" spans="1:12" ht="12">
      <c r="A297" s="72">
        <v>19</v>
      </c>
      <c r="B297" s="47" t="s">
        <v>189</v>
      </c>
      <c r="C297" s="47"/>
      <c r="D297" s="72">
        <v>19</v>
      </c>
      <c r="F297" s="121"/>
      <c r="G297" s="122"/>
      <c r="H297" s="121"/>
      <c r="I297" s="122"/>
      <c r="J297" s="122"/>
      <c r="K297" s="208"/>
      <c r="L297" s="57"/>
    </row>
    <row r="298" spans="1:12" ht="12">
      <c r="A298" s="72">
        <v>20</v>
      </c>
      <c r="B298" s="47" t="s">
        <v>414</v>
      </c>
      <c r="C298" s="47" t="s">
        <v>415</v>
      </c>
      <c r="D298" s="72">
        <v>20</v>
      </c>
      <c r="E298" s="60"/>
      <c r="F298" s="124">
        <v>881.8542920305681</v>
      </c>
      <c r="G298" s="125">
        <v>9687426</v>
      </c>
      <c r="H298" s="124">
        <v>974.7452842224484</v>
      </c>
      <c r="I298" s="125">
        <v>10864563</v>
      </c>
      <c r="J298" s="125"/>
      <c r="K298" s="224">
        <v>941.7755241750614</v>
      </c>
      <c r="L298" s="57">
        <v>11180730</v>
      </c>
    </row>
    <row r="299" spans="1:12" ht="12">
      <c r="A299" s="72">
        <v>21</v>
      </c>
      <c r="B299" s="47"/>
      <c r="C299" s="47" t="s">
        <v>416</v>
      </c>
      <c r="D299" s="72">
        <v>21</v>
      </c>
      <c r="E299" s="60"/>
      <c r="F299" s="124">
        <v>2726.267439029337</v>
      </c>
      <c r="G299" s="125">
        <v>22946144</v>
      </c>
      <c r="H299" s="124">
        <v>3164.012717278966</v>
      </c>
      <c r="I299" s="125">
        <v>25830157</v>
      </c>
      <c r="J299" s="125"/>
      <c r="K299" s="224">
        <v>3201.501248269973</v>
      </c>
      <c r="L299" s="57">
        <v>29637853</v>
      </c>
    </row>
    <row r="300" spans="1:12" ht="12">
      <c r="A300" s="72">
        <v>22</v>
      </c>
      <c r="B300" s="47" t="s">
        <v>417</v>
      </c>
      <c r="C300" s="47" t="s">
        <v>418</v>
      </c>
      <c r="D300" s="72">
        <v>22</v>
      </c>
      <c r="E300" s="60"/>
      <c r="F300" s="124">
        <v>149.2840019383061</v>
      </c>
      <c r="G300" s="125">
        <v>3957212</v>
      </c>
      <c r="H300" s="124">
        <v>152.72634744963275</v>
      </c>
      <c r="I300" s="125">
        <v>4304017</v>
      </c>
      <c r="J300" s="125"/>
      <c r="K300" s="224">
        <v>155.20025882950014</v>
      </c>
      <c r="L300" s="57">
        <v>4485723</v>
      </c>
    </row>
    <row r="301" spans="1:12" ht="12">
      <c r="A301" s="72">
        <v>23</v>
      </c>
      <c r="C301" s="47" t="s">
        <v>419</v>
      </c>
      <c r="D301" s="72">
        <v>23</v>
      </c>
      <c r="E301" s="60"/>
      <c r="F301" s="124">
        <v>287.1652140972004</v>
      </c>
      <c r="G301" s="125">
        <v>5681377</v>
      </c>
      <c r="H301" s="124">
        <v>331.7601401669005</v>
      </c>
      <c r="I301" s="125">
        <v>6399379</v>
      </c>
      <c r="J301" s="125"/>
      <c r="K301" s="224">
        <v>367.6368999967344</v>
      </c>
      <c r="L301" s="57">
        <v>7202276</v>
      </c>
    </row>
    <row r="302" spans="1:12" ht="12">
      <c r="A302" s="72">
        <v>24</v>
      </c>
      <c r="B302" s="47" t="s">
        <v>423</v>
      </c>
      <c r="D302" s="72">
        <v>24</v>
      </c>
      <c r="E302" s="50"/>
      <c r="F302" s="120">
        <v>4044.5709470954116</v>
      </c>
      <c r="G302" s="119">
        <v>42272159</v>
      </c>
      <c r="H302" s="120">
        <v>4623.244489117948</v>
      </c>
      <c r="I302" s="119">
        <v>47398116</v>
      </c>
      <c r="J302" s="119"/>
      <c r="K302" s="222">
        <v>4666.1139312712685</v>
      </c>
      <c r="L302" s="221">
        <v>52506582</v>
      </c>
    </row>
    <row r="303" spans="1:12" ht="12">
      <c r="A303" s="72">
        <v>25</v>
      </c>
      <c r="B303" s="47" t="s">
        <v>190</v>
      </c>
      <c r="D303" s="72">
        <v>25</v>
      </c>
      <c r="F303" s="121"/>
      <c r="G303" s="122"/>
      <c r="H303" s="121"/>
      <c r="I303" s="122"/>
      <c r="J303" s="122"/>
      <c r="K303" s="223"/>
      <c r="L303" s="57"/>
    </row>
    <row r="304" spans="1:12" ht="12">
      <c r="A304" s="72">
        <v>26</v>
      </c>
      <c r="B304" s="47" t="s">
        <v>414</v>
      </c>
      <c r="C304" s="47" t="s">
        <v>415</v>
      </c>
      <c r="D304" s="72">
        <v>26</v>
      </c>
      <c r="F304" s="121">
        <v>2099.8</v>
      </c>
      <c r="G304" s="122">
        <v>23066914</v>
      </c>
      <c r="H304" s="121">
        <v>2329.86</v>
      </c>
      <c r="I304" s="122">
        <v>25968744</v>
      </c>
      <c r="J304" s="122"/>
      <c r="K304" s="208">
        <v>2239</v>
      </c>
      <c r="L304" s="220">
        <v>26581339</v>
      </c>
    </row>
    <row r="305" spans="1:12" ht="12">
      <c r="A305" s="72">
        <v>27</v>
      </c>
      <c r="B305" s="47"/>
      <c r="C305" s="47" t="s">
        <v>416</v>
      </c>
      <c r="D305" s="72">
        <v>27</v>
      </c>
      <c r="F305" s="121">
        <v>6634.42</v>
      </c>
      <c r="G305" s="122">
        <v>55839847</v>
      </c>
      <c r="H305" s="121">
        <v>7116.95</v>
      </c>
      <c r="I305" s="122">
        <v>58100884</v>
      </c>
      <c r="J305" s="122"/>
      <c r="K305" s="208">
        <v>7181</v>
      </c>
      <c r="L305" s="220">
        <v>66478007</v>
      </c>
    </row>
    <row r="306" spans="1:12" ht="12">
      <c r="A306" s="72">
        <v>28</v>
      </c>
      <c r="B306" s="47" t="s">
        <v>417</v>
      </c>
      <c r="C306" s="47" t="s">
        <v>418</v>
      </c>
      <c r="D306" s="72">
        <v>28</v>
      </c>
      <c r="F306" s="121">
        <v>336.47</v>
      </c>
      <c r="G306" s="122">
        <v>8919128</v>
      </c>
      <c r="H306" s="121">
        <v>357.09</v>
      </c>
      <c r="I306" s="122">
        <v>10063237</v>
      </c>
      <c r="J306" s="122"/>
      <c r="K306" s="208">
        <v>356</v>
      </c>
      <c r="L306" s="220">
        <v>10289399</v>
      </c>
    </row>
    <row r="307" spans="1:12" ht="12">
      <c r="A307" s="72">
        <v>29</v>
      </c>
      <c r="C307" s="47" t="s">
        <v>419</v>
      </c>
      <c r="D307" s="72">
        <v>29</v>
      </c>
      <c r="F307" s="121">
        <v>618.58</v>
      </c>
      <c r="G307" s="122">
        <v>12238203</v>
      </c>
      <c r="H307" s="121">
        <v>723.06</v>
      </c>
      <c r="I307" s="122">
        <v>13947230</v>
      </c>
      <c r="J307" s="122"/>
      <c r="K307" s="208">
        <v>780</v>
      </c>
      <c r="L307" s="220">
        <v>15280771</v>
      </c>
    </row>
    <row r="308" spans="1:12" ht="12">
      <c r="A308" s="72">
        <v>30</v>
      </c>
      <c r="D308" s="72">
        <v>30</v>
      </c>
      <c r="F308" s="120"/>
      <c r="G308" s="119"/>
      <c r="H308" s="120"/>
      <c r="I308" s="119"/>
      <c r="J308" s="119"/>
      <c r="K308" s="222"/>
      <c r="L308" s="221"/>
    </row>
    <row r="309" spans="1:12" ht="12">
      <c r="A309" s="72">
        <v>31</v>
      </c>
      <c r="B309" s="47" t="s">
        <v>191</v>
      </c>
      <c r="D309" s="72">
        <v>31</v>
      </c>
      <c r="F309" s="121">
        <v>8734.220000000001</v>
      </c>
      <c r="G309" s="122">
        <v>78906761</v>
      </c>
      <c r="H309" s="121">
        <v>9446.81</v>
      </c>
      <c r="I309" s="122">
        <v>84069628</v>
      </c>
      <c r="J309" s="122"/>
      <c r="K309" s="208">
        <v>9420</v>
      </c>
      <c r="L309" s="220">
        <v>93059346</v>
      </c>
    </row>
    <row r="310" spans="1:12" ht="12">
      <c r="A310" s="72">
        <v>32</v>
      </c>
      <c r="B310" s="47" t="s">
        <v>192</v>
      </c>
      <c r="D310" s="72">
        <v>32</v>
      </c>
      <c r="F310" s="121">
        <v>955.0500000000001</v>
      </c>
      <c r="G310" s="122">
        <v>21157331</v>
      </c>
      <c r="H310" s="121">
        <v>1080.1499999999999</v>
      </c>
      <c r="I310" s="122">
        <v>24010467</v>
      </c>
      <c r="J310" s="122"/>
      <c r="K310" s="208">
        <v>1136</v>
      </c>
      <c r="L310" s="220">
        <v>25570170</v>
      </c>
    </row>
    <row r="311" spans="1:12" ht="12">
      <c r="A311" s="72">
        <v>33</v>
      </c>
      <c r="B311" s="47" t="s">
        <v>193</v>
      </c>
      <c r="D311" s="72">
        <v>33</v>
      </c>
      <c r="E311" s="50"/>
      <c r="F311" s="120">
        <v>2436.2700000000004</v>
      </c>
      <c r="G311" s="119">
        <v>31986042</v>
      </c>
      <c r="H311" s="120">
        <v>2686.9500000000003</v>
      </c>
      <c r="I311" s="119">
        <v>36031981</v>
      </c>
      <c r="J311" s="119"/>
      <c r="K311" s="222">
        <v>2595</v>
      </c>
      <c r="L311" s="221">
        <v>36870738</v>
      </c>
    </row>
    <row r="312" spans="1:12" ht="12">
      <c r="A312" s="72">
        <v>34</v>
      </c>
      <c r="B312" s="47" t="s">
        <v>194</v>
      </c>
      <c r="D312" s="72">
        <v>34</v>
      </c>
      <c r="E312" s="50"/>
      <c r="F312" s="120">
        <v>7253</v>
      </c>
      <c r="G312" s="119">
        <v>68078050</v>
      </c>
      <c r="H312" s="120">
        <v>7840.01</v>
      </c>
      <c r="I312" s="119">
        <v>72048114</v>
      </c>
      <c r="J312" s="119"/>
      <c r="K312" s="222">
        <v>7961</v>
      </c>
      <c r="L312" s="221">
        <v>81758778</v>
      </c>
    </row>
    <row r="313" spans="1:12" ht="12">
      <c r="A313" s="47"/>
      <c r="B313" s="45" t="s">
        <v>1</v>
      </c>
      <c r="C313" s="45" t="s">
        <v>1</v>
      </c>
      <c r="D313" s="45" t="s">
        <v>1</v>
      </c>
      <c r="E313" s="45" t="s">
        <v>1</v>
      </c>
      <c r="F313" s="45" t="s">
        <v>1</v>
      </c>
      <c r="G313" s="45" t="s">
        <v>1</v>
      </c>
      <c r="H313" s="45" t="s">
        <v>1</v>
      </c>
      <c r="I313" s="45"/>
      <c r="J313" s="45"/>
      <c r="K313" s="54" t="s">
        <v>1</v>
      </c>
      <c r="L313" s="71"/>
    </row>
    <row r="314" spans="1:13" ht="12">
      <c r="A314" s="72">
        <v>35</v>
      </c>
      <c r="B314" s="48" t="s">
        <v>424</v>
      </c>
      <c r="D314" s="72">
        <v>35</v>
      </c>
      <c r="F314" s="121">
        <v>9689.27</v>
      </c>
      <c r="G314" s="122">
        <v>100064092</v>
      </c>
      <c r="H314" s="121">
        <v>10526.960000000001</v>
      </c>
      <c r="I314" s="122">
        <v>108080095</v>
      </c>
      <c r="J314" s="122"/>
      <c r="K314" s="208">
        <v>10556</v>
      </c>
      <c r="L314" s="220">
        <v>118629516</v>
      </c>
      <c r="M314" s="57"/>
    </row>
    <row r="315" spans="2:12" ht="12">
      <c r="B315" s="47" t="s">
        <v>425</v>
      </c>
      <c r="E315" s="44" t="s">
        <v>1</v>
      </c>
      <c r="F315" s="95"/>
      <c r="G315" s="71"/>
      <c r="H315" s="95"/>
      <c r="I315" s="71"/>
      <c r="J315" s="71"/>
      <c r="K315" s="193" t="s">
        <v>1</v>
      </c>
      <c r="L315" s="71" t="s">
        <v>1</v>
      </c>
    </row>
    <row r="316" spans="1:12" ht="12">
      <c r="A316" s="48">
        <v>36</v>
      </c>
      <c r="B316" s="151" t="s">
        <v>627</v>
      </c>
      <c r="C316" s="105"/>
      <c r="D316" s="105">
        <v>36</v>
      </c>
      <c r="E316" s="152"/>
      <c r="F316" s="108"/>
      <c r="G316" s="219">
        <v>17330877</v>
      </c>
      <c r="H316" s="108"/>
      <c r="I316" s="219">
        <v>20308206</v>
      </c>
      <c r="J316" s="219"/>
      <c r="K316" s="218"/>
      <c r="L316" s="108">
        <v>21451804</v>
      </c>
    </row>
    <row r="317" spans="5:10" ht="1.5" customHeight="1">
      <c r="E317" s="44"/>
      <c r="F317" s="95"/>
      <c r="G317" s="58"/>
      <c r="H317" s="95"/>
      <c r="I317" s="58"/>
      <c r="J317" s="58"/>
    </row>
    <row r="318" spans="1:12" s="93" customFormat="1" ht="12">
      <c r="A318" s="91" t="s">
        <v>528</v>
      </c>
      <c r="D318" s="112"/>
      <c r="F318" s="113"/>
      <c r="G318" s="114"/>
      <c r="H318" s="113"/>
      <c r="J318" s="153"/>
      <c r="K318" s="197"/>
      <c r="L318" s="153" t="s">
        <v>197</v>
      </c>
    </row>
    <row r="319" spans="1:12" s="93" customFormat="1" ht="12.75" customHeight="1">
      <c r="A319" s="455" t="s">
        <v>536</v>
      </c>
      <c r="B319" s="455"/>
      <c r="C319" s="455"/>
      <c r="D319" s="455"/>
      <c r="E319" s="455"/>
      <c r="F319" s="455"/>
      <c r="G319" s="455"/>
      <c r="H319" s="455"/>
      <c r="I319" s="455"/>
      <c r="J319" s="455"/>
      <c r="K319" s="455"/>
      <c r="L319" s="455"/>
    </row>
    <row r="320" spans="1:12" ht="12">
      <c r="A320" s="91" t="s">
        <v>527</v>
      </c>
      <c r="E320" s="88"/>
      <c r="F320" s="147"/>
      <c r="G320" s="148"/>
      <c r="H320" s="84"/>
      <c r="J320" s="94"/>
      <c r="L320" s="94" t="s">
        <v>71</v>
      </c>
    </row>
    <row r="321" spans="1:12" ht="12">
      <c r="A321" s="45" t="s">
        <v>1</v>
      </c>
      <c r="B321" s="45" t="s">
        <v>1</v>
      </c>
      <c r="C321" s="45" t="s">
        <v>1</v>
      </c>
      <c r="D321" s="45" t="s">
        <v>1</v>
      </c>
      <c r="E321" s="45" t="s">
        <v>1</v>
      </c>
      <c r="F321" s="95" t="s">
        <v>1</v>
      </c>
      <c r="G321" s="71" t="s">
        <v>1</v>
      </c>
      <c r="H321" s="95" t="s">
        <v>1</v>
      </c>
      <c r="I321" s="71" t="s">
        <v>1</v>
      </c>
      <c r="J321" s="95" t="s">
        <v>1</v>
      </c>
      <c r="K321" s="193" t="s">
        <v>1</v>
      </c>
      <c r="L321" s="71" t="s">
        <v>1</v>
      </c>
    </row>
    <row r="322" spans="1:12" ht="12">
      <c r="A322" s="59" t="s">
        <v>2</v>
      </c>
      <c r="D322" s="59" t="s">
        <v>2</v>
      </c>
      <c r="F322" s="96"/>
      <c r="G322" s="87" t="s">
        <v>62</v>
      </c>
      <c r="H322" s="96"/>
      <c r="I322" s="77" t="s">
        <v>535</v>
      </c>
      <c r="J322" s="87"/>
      <c r="L322" s="77" t="s">
        <v>70</v>
      </c>
    </row>
    <row r="323" spans="1:12" ht="12">
      <c r="A323" s="59" t="s">
        <v>4</v>
      </c>
      <c r="B323" s="80" t="s">
        <v>18</v>
      </c>
      <c r="D323" s="59" t="s">
        <v>4</v>
      </c>
      <c r="F323" s="84"/>
      <c r="G323" s="87" t="s">
        <v>7</v>
      </c>
      <c r="H323" s="84"/>
      <c r="I323" s="87" t="s">
        <v>7</v>
      </c>
      <c r="J323" s="87"/>
      <c r="L323" s="77" t="s">
        <v>8</v>
      </c>
    </row>
    <row r="324" spans="1:12" ht="12">
      <c r="A324" s="45" t="s">
        <v>1</v>
      </c>
      <c r="B324" s="45" t="s">
        <v>1</v>
      </c>
      <c r="C324" s="45" t="s">
        <v>1</v>
      </c>
      <c r="D324" s="45" t="s">
        <v>1</v>
      </c>
      <c r="E324" s="45" t="s">
        <v>1</v>
      </c>
      <c r="F324" s="95" t="s">
        <v>1</v>
      </c>
      <c r="G324" s="71" t="s">
        <v>1</v>
      </c>
      <c r="H324" s="95" t="s">
        <v>1</v>
      </c>
      <c r="I324" s="71" t="s">
        <v>1</v>
      </c>
      <c r="J324" s="95" t="s">
        <v>1</v>
      </c>
      <c r="K324" s="193" t="s">
        <v>1</v>
      </c>
      <c r="L324" s="71" t="s">
        <v>1</v>
      </c>
    </row>
    <row r="325" spans="1:12" ht="12">
      <c r="A325" s="63">
        <v>1</v>
      </c>
      <c r="B325" s="47" t="s">
        <v>534</v>
      </c>
      <c r="D325" s="63">
        <v>1</v>
      </c>
      <c r="F325" s="125"/>
      <c r="G325" s="125">
        <v>7770460</v>
      </c>
      <c r="H325" s="125"/>
      <c r="I325" s="125">
        <v>18080483</v>
      </c>
      <c r="J325" s="125"/>
      <c r="L325" s="82">
        <v>5764220</v>
      </c>
    </row>
    <row r="326" spans="1:10" ht="12">
      <c r="A326" s="48">
        <v>2</v>
      </c>
      <c r="B326" s="48" t="s">
        <v>428</v>
      </c>
      <c r="D326" s="48">
        <v>2</v>
      </c>
      <c r="F326" s="48"/>
      <c r="G326" s="48"/>
      <c r="H326" s="48"/>
      <c r="I326" s="48"/>
      <c r="J326" s="48"/>
    </row>
    <row r="327" spans="1:12" ht="12">
      <c r="A327" s="63">
        <v>3</v>
      </c>
      <c r="B327" s="66" t="s">
        <v>429</v>
      </c>
      <c r="D327" s="63">
        <v>3</v>
      </c>
      <c r="F327" s="84"/>
      <c r="G327" s="125">
        <v>6493835</v>
      </c>
      <c r="H327" s="125"/>
      <c r="I327" s="125">
        <v>7197197</v>
      </c>
      <c r="J327" s="125"/>
      <c r="L327" s="82">
        <v>7413113</v>
      </c>
    </row>
    <row r="328" spans="1:12" ht="12">
      <c r="A328" s="48">
        <v>4</v>
      </c>
      <c r="B328" s="48" t="s">
        <v>430</v>
      </c>
      <c r="D328" s="48">
        <v>4</v>
      </c>
      <c r="F328" s="48"/>
      <c r="G328" s="155">
        <v>106261</v>
      </c>
      <c r="H328" s="48"/>
      <c r="I328" s="155">
        <v>3279873</v>
      </c>
      <c r="J328" s="48"/>
      <c r="L328" s="155">
        <v>3116049</v>
      </c>
    </row>
    <row r="329" spans="1:12" ht="12">
      <c r="A329" s="63"/>
      <c r="D329" s="63"/>
      <c r="E329" s="217"/>
      <c r="F329" s="216"/>
      <c r="G329" s="214"/>
      <c r="H329" s="216"/>
      <c r="I329" s="214"/>
      <c r="J329" s="214"/>
      <c r="K329" s="215"/>
      <c r="L329" s="214"/>
    </row>
    <row r="330" spans="1:12" ht="12">
      <c r="A330" s="63">
        <v>16</v>
      </c>
      <c r="B330" s="48" t="s">
        <v>431</v>
      </c>
      <c r="D330" s="63">
        <v>16</v>
      </c>
      <c r="F330" s="119"/>
      <c r="G330" s="119">
        <v>-883517</v>
      </c>
      <c r="H330" s="119"/>
      <c r="I330" s="119">
        <v>-705145</v>
      </c>
      <c r="J330" s="119"/>
      <c r="L330" s="155"/>
    </row>
    <row r="331" spans="1:10" ht="12">
      <c r="A331" s="63">
        <v>17</v>
      </c>
      <c r="B331" s="47" t="s">
        <v>0</v>
      </c>
      <c r="D331" s="63">
        <v>17</v>
      </c>
      <c r="E331" s="66"/>
      <c r="F331" s="125"/>
      <c r="G331" s="125"/>
      <c r="H331" s="125"/>
      <c r="I331" s="125"/>
      <c r="J331" s="125"/>
    </row>
    <row r="332" spans="1:10" ht="12">
      <c r="A332" s="63">
        <v>18</v>
      </c>
      <c r="D332" s="63">
        <v>18</v>
      </c>
      <c r="F332" s="122"/>
      <c r="G332" s="122"/>
      <c r="H332" s="122"/>
      <c r="I332" s="122"/>
      <c r="J332" s="122"/>
    </row>
    <row r="333" spans="1:10" ht="12">
      <c r="A333" s="63">
        <v>19</v>
      </c>
      <c r="D333" s="63">
        <v>19</v>
      </c>
      <c r="F333" s="122"/>
      <c r="G333" s="122"/>
      <c r="H333" s="122"/>
      <c r="I333" s="122"/>
      <c r="J333" s="122"/>
    </row>
    <row r="334" spans="1:12" ht="12">
      <c r="A334" s="63"/>
      <c r="B334" s="64"/>
      <c r="D334" s="63"/>
      <c r="E334" s="44" t="s">
        <v>1</v>
      </c>
      <c r="F334" s="95" t="s">
        <v>1</v>
      </c>
      <c r="G334" s="71" t="s">
        <v>1</v>
      </c>
      <c r="H334" s="95" t="s">
        <v>1</v>
      </c>
      <c r="I334" s="71" t="s">
        <v>1</v>
      </c>
      <c r="J334" s="95" t="s">
        <v>1</v>
      </c>
      <c r="K334" s="193" t="s">
        <v>1</v>
      </c>
      <c r="L334" s="71" t="s">
        <v>1</v>
      </c>
    </row>
    <row r="335" spans="1:12" ht="12">
      <c r="A335" s="63">
        <v>20</v>
      </c>
      <c r="B335" s="64" t="s">
        <v>432</v>
      </c>
      <c r="D335" s="63">
        <v>20</v>
      </c>
      <c r="F335" s="119"/>
      <c r="G335" s="122">
        <v>13487039</v>
      </c>
      <c r="H335" s="119"/>
      <c r="I335" s="122">
        <v>27852408</v>
      </c>
      <c r="J335" s="122"/>
      <c r="L335" s="122">
        <v>16293382</v>
      </c>
    </row>
    <row r="336" spans="1:12" ht="12">
      <c r="A336" s="67"/>
      <c r="B336" s="47"/>
      <c r="D336" s="68"/>
      <c r="E336" s="44" t="s">
        <v>1</v>
      </c>
      <c r="F336" s="95" t="s">
        <v>1</v>
      </c>
      <c r="G336" s="71" t="s">
        <v>1</v>
      </c>
      <c r="H336" s="95" t="s">
        <v>1</v>
      </c>
      <c r="I336" s="71" t="s">
        <v>1</v>
      </c>
      <c r="J336" s="95" t="s">
        <v>1</v>
      </c>
      <c r="K336" s="193" t="s">
        <v>1</v>
      </c>
      <c r="L336" s="71" t="s">
        <v>1</v>
      </c>
    </row>
    <row r="337" spans="1:10" ht="12">
      <c r="A337" s="48" t="s">
        <v>533</v>
      </c>
      <c r="E337" s="44"/>
      <c r="F337" s="95"/>
      <c r="G337" s="58"/>
      <c r="H337" s="95"/>
      <c r="I337" s="58"/>
      <c r="J337" s="58"/>
    </row>
    <row r="338" ht="12">
      <c r="A338" s="47"/>
    </row>
    <row r="339" spans="1:12" s="93" customFormat="1" ht="12">
      <c r="A339" s="91" t="s">
        <v>528</v>
      </c>
      <c r="D339" s="112"/>
      <c r="F339" s="113"/>
      <c r="G339" s="114"/>
      <c r="H339" s="113"/>
      <c r="J339" s="92"/>
      <c r="K339" s="197"/>
      <c r="L339" s="92" t="s">
        <v>209</v>
      </c>
    </row>
    <row r="340" spans="1:12" s="93" customFormat="1" ht="12.75" customHeight="1">
      <c r="A340" s="455" t="s">
        <v>433</v>
      </c>
      <c r="B340" s="455"/>
      <c r="C340" s="455"/>
      <c r="D340" s="455"/>
      <c r="E340" s="455"/>
      <c r="F340" s="455"/>
      <c r="G340" s="455"/>
      <c r="H340" s="455"/>
      <c r="I340" s="455"/>
      <c r="J340" s="455"/>
      <c r="K340" s="455"/>
      <c r="L340" s="455"/>
    </row>
    <row r="341" spans="1:12" ht="12">
      <c r="A341" s="91" t="s">
        <v>527</v>
      </c>
      <c r="E341" s="88"/>
      <c r="F341" s="147"/>
      <c r="G341" s="58"/>
      <c r="H341" s="84"/>
      <c r="J341" s="94"/>
      <c r="L341" s="94" t="s">
        <v>71</v>
      </c>
    </row>
    <row r="342" spans="1:12" ht="12">
      <c r="A342" s="45" t="s">
        <v>1</v>
      </c>
      <c r="B342" s="45" t="s">
        <v>1</v>
      </c>
      <c r="C342" s="45" t="s">
        <v>1</v>
      </c>
      <c r="D342" s="45" t="s">
        <v>1</v>
      </c>
      <c r="E342" s="45" t="s">
        <v>1</v>
      </c>
      <c r="F342" s="95" t="s">
        <v>1</v>
      </c>
      <c r="G342" s="71" t="s">
        <v>1</v>
      </c>
      <c r="H342" s="95" t="s">
        <v>1</v>
      </c>
      <c r="I342" s="71" t="s">
        <v>1</v>
      </c>
      <c r="J342" s="95" t="s">
        <v>1</v>
      </c>
      <c r="K342" s="193" t="s">
        <v>1</v>
      </c>
      <c r="L342" s="71" t="s">
        <v>1</v>
      </c>
    </row>
    <row r="343" spans="1:12" ht="12">
      <c r="A343" s="59" t="s">
        <v>2</v>
      </c>
      <c r="D343" s="59" t="s">
        <v>2</v>
      </c>
      <c r="F343" s="96"/>
      <c r="G343" s="87" t="s">
        <v>62</v>
      </c>
      <c r="H343" s="96"/>
      <c r="I343" s="77" t="s">
        <v>65</v>
      </c>
      <c r="J343" s="87"/>
      <c r="L343" s="77" t="s">
        <v>70</v>
      </c>
    </row>
    <row r="344" spans="1:12" ht="12">
      <c r="A344" s="59" t="s">
        <v>4</v>
      </c>
      <c r="B344" s="80" t="s">
        <v>18</v>
      </c>
      <c r="D344" s="59" t="s">
        <v>4</v>
      </c>
      <c r="F344" s="84"/>
      <c r="G344" s="87" t="s">
        <v>7</v>
      </c>
      <c r="H344" s="84"/>
      <c r="I344" s="87" t="s">
        <v>7</v>
      </c>
      <c r="J344" s="87"/>
      <c r="L344" s="77" t="s">
        <v>8</v>
      </c>
    </row>
    <row r="345" spans="1:12" ht="12">
      <c r="A345" s="45" t="s">
        <v>1</v>
      </c>
      <c r="B345" s="45" t="s">
        <v>1</v>
      </c>
      <c r="C345" s="45" t="s">
        <v>1</v>
      </c>
      <c r="D345" s="45" t="s">
        <v>1</v>
      </c>
      <c r="E345" s="45" t="s">
        <v>1</v>
      </c>
      <c r="F345" s="95" t="s">
        <v>1</v>
      </c>
      <c r="G345" s="71" t="s">
        <v>1</v>
      </c>
      <c r="H345" s="95" t="s">
        <v>1</v>
      </c>
      <c r="I345" s="71" t="s">
        <v>1</v>
      </c>
      <c r="J345" s="95" t="s">
        <v>1</v>
      </c>
      <c r="K345" s="193" t="s">
        <v>1</v>
      </c>
      <c r="L345" s="71" t="s">
        <v>1</v>
      </c>
    </row>
    <row r="346" spans="1:10" ht="12">
      <c r="A346" s="63">
        <v>1</v>
      </c>
      <c r="B346" s="47" t="s">
        <v>434</v>
      </c>
      <c r="D346" s="63">
        <v>1</v>
      </c>
      <c r="F346" s="119"/>
      <c r="G346" s="119"/>
      <c r="H346" s="119"/>
      <c r="I346" s="119"/>
      <c r="J346" s="119"/>
    </row>
    <row r="347" spans="1:10" ht="12">
      <c r="A347" s="63"/>
      <c r="B347" s="47"/>
      <c r="D347" s="63"/>
      <c r="F347" s="119"/>
      <c r="G347" s="119"/>
      <c r="H347" s="119"/>
      <c r="I347" s="119"/>
      <c r="J347" s="119"/>
    </row>
    <row r="348" spans="1:12" ht="12">
      <c r="A348" s="63">
        <v>2</v>
      </c>
      <c r="B348" s="66" t="s">
        <v>532</v>
      </c>
      <c r="D348" s="63">
        <v>2</v>
      </c>
      <c r="E348" s="66"/>
      <c r="F348" s="125"/>
      <c r="G348" s="125">
        <v>2521548</v>
      </c>
      <c r="H348" s="125"/>
      <c r="I348" s="125">
        <v>2747528</v>
      </c>
      <c r="J348" s="125"/>
      <c r="L348" s="57">
        <v>2500000</v>
      </c>
    </row>
    <row r="349" spans="1:12" ht="12">
      <c r="A349" s="63">
        <v>3</v>
      </c>
      <c r="B349" s="66" t="s">
        <v>440</v>
      </c>
      <c r="D349" s="63">
        <v>3</v>
      </c>
      <c r="E349" s="66"/>
      <c r="F349" s="125"/>
      <c r="G349" s="125"/>
      <c r="H349" s="125"/>
      <c r="I349" s="125">
        <v>-20</v>
      </c>
      <c r="J349" s="125"/>
      <c r="L349" s="48">
        <v>0</v>
      </c>
    </row>
    <row r="350" spans="1:10" ht="12">
      <c r="A350" s="63">
        <v>4</v>
      </c>
      <c r="B350" s="66" t="s">
        <v>442</v>
      </c>
      <c r="D350" s="63">
        <v>4</v>
      </c>
      <c r="E350" s="66"/>
      <c r="F350" s="125"/>
      <c r="G350" s="125"/>
      <c r="H350" s="125"/>
      <c r="I350" s="125"/>
      <c r="J350" s="125"/>
    </row>
    <row r="351" spans="1:10" ht="12">
      <c r="A351" s="63">
        <v>5</v>
      </c>
      <c r="B351" s="66" t="s">
        <v>438</v>
      </c>
      <c r="D351" s="63">
        <v>5</v>
      </c>
      <c r="E351" s="66"/>
      <c r="F351" s="125"/>
      <c r="G351" s="125"/>
      <c r="H351" s="125"/>
      <c r="I351" s="125"/>
      <c r="J351" s="125"/>
    </row>
    <row r="352" spans="1:10" ht="12">
      <c r="A352" s="63">
        <v>6</v>
      </c>
      <c r="B352" s="66" t="s">
        <v>436</v>
      </c>
      <c r="D352" s="63">
        <v>6</v>
      </c>
      <c r="E352" s="66"/>
      <c r="F352" s="125"/>
      <c r="G352" s="125"/>
      <c r="H352" s="125"/>
      <c r="I352" s="125"/>
      <c r="J352" s="125"/>
    </row>
    <row r="353" spans="1:10" ht="12">
      <c r="A353" s="63">
        <v>7</v>
      </c>
      <c r="B353" s="66"/>
      <c r="D353" s="63">
        <v>7</v>
      </c>
      <c r="E353" s="66"/>
      <c r="F353" s="125"/>
      <c r="G353" s="125"/>
      <c r="H353" s="125"/>
      <c r="I353" s="125"/>
      <c r="J353" s="125"/>
    </row>
    <row r="354" spans="1:12" ht="12">
      <c r="A354" s="63"/>
      <c r="B354" s="66"/>
      <c r="D354" s="63"/>
      <c r="E354" s="44" t="s">
        <v>1</v>
      </c>
      <c r="F354" s="95" t="s">
        <v>1</v>
      </c>
      <c r="G354" s="71"/>
      <c r="H354" s="95"/>
      <c r="I354" s="71"/>
      <c r="J354" s="71"/>
      <c r="K354" s="193"/>
      <c r="L354" s="71"/>
    </row>
    <row r="355" spans="1:10" ht="12">
      <c r="A355" s="63"/>
      <c r="B355" s="66"/>
      <c r="D355" s="63"/>
      <c r="E355" s="44"/>
      <c r="F355" s="95"/>
      <c r="G355" s="71"/>
      <c r="H355" s="95"/>
      <c r="I355" s="71"/>
      <c r="J355" s="71"/>
    </row>
    <row r="356" spans="1:12" ht="12">
      <c r="A356" s="63">
        <v>9</v>
      </c>
      <c r="B356" s="48" t="s">
        <v>443</v>
      </c>
      <c r="D356" s="63">
        <v>9</v>
      </c>
      <c r="E356" s="66"/>
      <c r="F356" s="125"/>
      <c r="G356" s="125">
        <v>2521548</v>
      </c>
      <c r="H356" s="125"/>
      <c r="I356" s="125">
        <v>2747508</v>
      </c>
      <c r="J356" s="125"/>
      <c r="L356" s="125">
        <v>2500000</v>
      </c>
    </row>
    <row r="357" spans="1:10" ht="12">
      <c r="A357" s="63"/>
      <c r="B357" s="66"/>
      <c r="D357" s="63"/>
      <c r="E357" s="66"/>
      <c r="F357" s="125"/>
      <c r="G357" s="125"/>
      <c r="H357" s="125"/>
      <c r="I357" s="125"/>
      <c r="J357" s="125"/>
    </row>
    <row r="358" spans="1:12" ht="12">
      <c r="A358" s="63">
        <v>11</v>
      </c>
      <c r="B358" s="66" t="s">
        <v>444</v>
      </c>
      <c r="D358" s="63">
        <v>10</v>
      </c>
      <c r="E358" s="66"/>
      <c r="F358" s="125"/>
      <c r="G358" s="125">
        <v>1251185</v>
      </c>
      <c r="H358" s="125"/>
      <c r="I358" s="125">
        <v>182219</v>
      </c>
      <c r="J358" s="125"/>
      <c r="L358" s="155"/>
    </row>
    <row r="359" spans="1:10" ht="12">
      <c r="A359" s="63">
        <v>12</v>
      </c>
      <c r="B359" s="66" t="s">
        <v>445</v>
      </c>
      <c r="D359" s="63">
        <v>11</v>
      </c>
      <c r="E359" s="66"/>
      <c r="F359" s="125"/>
      <c r="G359" s="125"/>
      <c r="H359" s="125"/>
      <c r="I359" s="125">
        <v>0</v>
      </c>
      <c r="J359" s="125"/>
    </row>
    <row r="360" spans="1:12" ht="12">
      <c r="A360" s="63">
        <v>13</v>
      </c>
      <c r="B360" s="66" t="s">
        <v>446</v>
      </c>
      <c r="D360" s="63">
        <v>12</v>
      </c>
      <c r="E360" s="66"/>
      <c r="F360" s="125"/>
      <c r="G360" s="125">
        <v>4528674.38</v>
      </c>
      <c r="H360" s="125"/>
      <c r="I360" s="125">
        <v>1944306</v>
      </c>
      <c r="J360" s="125"/>
      <c r="L360" s="155">
        <v>2254815</v>
      </c>
    </row>
    <row r="361" spans="1:10" ht="12">
      <c r="A361" s="63"/>
      <c r="B361" s="66"/>
      <c r="D361" s="63">
        <v>13</v>
      </c>
      <c r="E361" s="66"/>
      <c r="F361" s="125"/>
      <c r="G361" s="125"/>
      <c r="H361" s="125"/>
      <c r="I361" s="125"/>
      <c r="J361" s="125"/>
    </row>
    <row r="362" spans="2:12" ht="12">
      <c r="B362" s="66"/>
      <c r="E362" s="44" t="s">
        <v>1</v>
      </c>
      <c r="F362" s="95" t="s">
        <v>1</v>
      </c>
      <c r="G362" s="71"/>
      <c r="H362" s="95"/>
      <c r="I362" s="71"/>
      <c r="J362" s="71"/>
      <c r="K362" s="193"/>
      <c r="L362" s="71"/>
    </row>
    <row r="363" spans="1:12" ht="12">
      <c r="A363" s="63">
        <v>14</v>
      </c>
      <c r="B363" s="48" t="s">
        <v>447</v>
      </c>
      <c r="D363" s="63">
        <v>14</v>
      </c>
      <c r="F363" s="119"/>
      <c r="G363" s="122">
        <v>5779859.38</v>
      </c>
      <c r="H363" s="119"/>
      <c r="I363" s="122">
        <v>2126525</v>
      </c>
      <c r="J363" s="122"/>
      <c r="L363" s="122">
        <v>2254815</v>
      </c>
    </row>
    <row r="364" spans="1:12" ht="12">
      <c r="A364" s="63"/>
      <c r="B364" s="66"/>
      <c r="D364" s="63"/>
      <c r="E364" s="44" t="s">
        <v>1</v>
      </c>
      <c r="F364" s="95" t="s">
        <v>1</v>
      </c>
      <c r="G364" s="71"/>
      <c r="H364" s="95"/>
      <c r="I364" s="71"/>
      <c r="J364" s="71"/>
      <c r="K364" s="193"/>
      <c r="L364" s="71"/>
    </row>
    <row r="365" spans="1:12" ht="12">
      <c r="A365" s="63">
        <v>15</v>
      </c>
      <c r="B365" s="47" t="s">
        <v>448</v>
      </c>
      <c r="D365" s="63">
        <v>15</v>
      </c>
      <c r="F365" s="119"/>
      <c r="G365" s="122">
        <v>8301407.38</v>
      </c>
      <c r="H365" s="119"/>
      <c r="I365" s="122">
        <v>4874033</v>
      </c>
      <c r="J365" s="122"/>
      <c r="L365" s="122">
        <v>4754815</v>
      </c>
    </row>
    <row r="366" spans="1:10" ht="12">
      <c r="A366" s="63"/>
      <c r="B366" s="47"/>
      <c r="D366" s="63"/>
      <c r="F366" s="119"/>
      <c r="G366" s="122"/>
      <c r="H366" s="119"/>
      <c r="I366" s="122"/>
      <c r="J366" s="122"/>
    </row>
    <row r="367" spans="1:12" ht="12">
      <c r="A367" s="63">
        <v>16</v>
      </c>
      <c r="B367" s="47" t="s">
        <v>449</v>
      </c>
      <c r="D367" s="63">
        <v>16</v>
      </c>
      <c r="F367" s="119"/>
      <c r="G367" s="119"/>
      <c r="H367" s="119"/>
      <c r="I367" s="119"/>
      <c r="J367" s="119"/>
      <c r="L367" s="213"/>
    </row>
    <row r="368" spans="1:12" ht="12">
      <c r="A368" s="63">
        <v>17</v>
      </c>
      <c r="B368" s="48" t="s">
        <v>450</v>
      </c>
      <c r="D368" s="63">
        <v>17</v>
      </c>
      <c r="F368" s="119"/>
      <c r="G368" s="119">
        <v>552349</v>
      </c>
      <c r="H368" s="119"/>
      <c r="I368" s="119">
        <v>883517</v>
      </c>
      <c r="J368" s="119"/>
      <c r="L368" s="213">
        <v>705145</v>
      </c>
    </row>
    <row r="369" spans="1:10" ht="12">
      <c r="A369" s="63">
        <v>18</v>
      </c>
      <c r="D369" s="63">
        <v>18</v>
      </c>
      <c r="F369" s="122"/>
      <c r="G369" s="122"/>
      <c r="H369" s="122"/>
      <c r="I369" s="122"/>
      <c r="J369" s="122"/>
    </row>
    <row r="370" spans="1:10" ht="12">
      <c r="A370" s="63">
        <v>19</v>
      </c>
      <c r="D370" s="63">
        <v>19</v>
      </c>
      <c r="F370" s="122"/>
      <c r="G370" s="122"/>
      <c r="H370" s="122"/>
      <c r="I370" s="122"/>
      <c r="J370" s="122"/>
    </row>
    <row r="371" spans="1:12" ht="12">
      <c r="A371" s="63"/>
      <c r="B371" s="64"/>
      <c r="D371" s="63"/>
      <c r="E371" s="44" t="s">
        <v>1</v>
      </c>
      <c r="F371" s="95" t="s">
        <v>1</v>
      </c>
      <c r="G371" s="71"/>
      <c r="H371" s="95"/>
      <c r="I371" s="71"/>
      <c r="J371" s="71"/>
      <c r="K371" s="193"/>
      <c r="L371" s="71"/>
    </row>
    <row r="372" spans="1:12" ht="12">
      <c r="A372" s="63">
        <v>20</v>
      </c>
      <c r="B372" s="64" t="s">
        <v>451</v>
      </c>
      <c r="D372" s="63">
        <v>20</v>
      </c>
      <c r="F372" s="119"/>
      <c r="G372" s="122">
        <v>8853756.379999999</v>
      </c>
      <c r="H372" s="119"/>
      <c r="I372" s="122">
        <v>5757550</v>
      </c>
      <c r="J372" s="122"/>
      <c r="L372" s="122">
        <v>5459960</v>
      </c>
    </row>
    <row r="373" spans="1:12" ht="12">
      <c r="A373" s="67"/>
      <c r="B373" s="47"/>
      <c r="D373" s="68"/>
      <c r="E373" s="44" t="s">
        <v>1</v>
      </c>
      <c r="F373" s="95" t="s">
        <v>1</v>
      </c>
      <c r="G373" s="71" t="s">
        <v>1</v>
      </c>
      <c r="H373" s="95" t="s">
        <v>1</v>
      </c>
      <c r="I373" s="71" t="s">
        <v>1</v>
      </c>
      <c r="J373" s="71"/>
      <c r="K373" s="193"/>
      <c r="L373" s="71"/>
    </row>
    <row r="374" spans="1:10" ht="12">
      <c r="A374" s="67" t="s">
        <v>531</v>
      </c>
      <c r="E374" s="44"/>
      <c r="F374" s="95"/>
      <c r="G374" s="58"/>
      <c r="H374" s="95"/>
      <c r="I374" s="58"/>
      <c r="J374" s="58"/>
    </row>
    <row r="375" ht="12">
      <c r="A375" s="47"/>
    </row>
    <row r="376" spans="1:12" s="93" customFormat="1" ht="12">
      <c r="A376" s="91" t="s">
        <v>528</v>
      </c>
      <c r="D376" s="112"/>
      <c r="F376" s="113"/>
      <c r="G376" s="114"/>
      <c r="H376" s="113"/>
      <c r="J376" s="92"/>
      <c r="K376" s="197"/>
      <c r="L376" s="92" t="s">
        <v>224</v>
      </c>
    </row>
    <row r="377" spans="1:12" s="93" customFormat="1" ht="12.75" customHeight="1">
      <c r="A377" s="455" t="s">
        <v>452</v>
      </c>
      <c r="B377" s="455"/>
      <c r="C377" s="455"/>
      <c r="D377" s="455"/>
      <c r="E377" s="455"/>
      <c r="F377" s="455"/>
      <c r="G377" s="455"/>
      <c r="H377" s="455"/>
      <c r="I377" s="455"/>
      <c r="J377" s="455"/>
      <c r="K377" s="455"/>
      <c r="L377" s="455"/>
    </row>
    <row r="378" spans="1:12" ht="12">
      <c r="A378" s="91" t="s">
        <v>527</v>
      </c>
      <c r="E378" s="88"/>
      <c r="F378" s="147"/>
      <c r="G378" s="58"/>
      <c r="H378" s="84"/>
      <c r="J378" s="94"/>
      <c r="L378" s="94" t="s">
        <v>71</v>
      </c>
    </row>
    <row r="379" spans="1:12" ht="12">
      <c r="A379" s="45" t="s">
        <v>1</v>
      </c>
      <c r="B379" s="45" t="s">
        <v>1</v>
      </c>
      <c r="C379" s="45" t="s">
        <v>1</v>
      </c>
      <c r="D379" s="45" t="s">
        <v>1</v>
      </c>
      <c r="E379" s="45" t="s">
        <v>1</v>
      </c>
      <c r="F379" s="95" t="s">
        <v>1</v>
      </c>
      <c r="G379" s="71" t="s">
        <v>1</v>
      </c>
      <c r="H379" s="95" t="s">
        <v>1</v>
      </c>
      <c r="I379" s="71" t="s">
        <v>1</v>
      </c>
      <c r="J379" s="71"/>
      <c r="K379" s="193" t="s">
        <v>1</v>
      </c>
      <c r="L379" s="71" t="s">
        <v>1</v>
      </c>
    </row>
    <row r="380" spans="1:12" ht="12">
      <c r="A380" s="59" t="s">
        <v>2</v>
      </c>
      <c r="D380" s="59" t="s">
        <v>2</v>
      </c>
      <c r="F380" s="96"/>
      <c r="G380" s="87" t="s">
        <v>62</v>
      </c>
      <c r="H380" s="96"/>
      <c r="I380" s="77" t="s">
        <v>65</v>
      </c>
      <c r="J380" s="87"/>
      <c r="L380" s="77" t="s">
        <v>70</v>
      </c>
    </row>
    <row r="381" spans="1:12" ht="12">
      <c r="A381" s="59" t="s">
        <v>4</v>
      </c>
      <c r="B381" s="80" t="s">
        <v>18</v>
      </c>
      <c r="D381" s="59" t="s">
        <v>4</v>
      </c>
      <c r="F381" s="84"/>
      <c r="G381" s="87" t="s">
        <v>7</v>
      </c>
      <c r="H381" s="84"/>
      <c r="I381" s="87" t="s">
        <v>7</v>
      </c>
      <c r="J381" s="87"/>
      <c r="L381" s="77" t="s">
        <v>8</v>
      </c>
    </row>
    <row r="382" spans="1:12" ht="12">
      <c r="A382" s="45" t="s">
        <v>1</v>
      </c>
      <c r="B382" s="45" t="s">
        <v>1</v>
      </c>
      <c r="C382" s="45" t="s">
        <v>1</v>
      </c>
      <c r="D382" s="45" t="s">
        <v>1</v>
      </c>
      <c r="E382" s="45" t="s">
        <v>1</v>
      </c>
      <c r="F382" s="95" t="s">
        <v>1</v>
      </c>
      <c r="G382" s="71" t="s">
        <v>1</v>
      </c>
      <c r="H382" s="95" t="s">
        <v>1</v>
      </c>
      <c r="I382" s="71" t="s">
        <v>1</v>
      </c>
      <c r="J382" s="71"/>
      <c r="K382" s="193" t="s">
        <v>1</v>
      </c>
      <c r="L382" s="71" t="s">
        <v>1</v>
      </c>
    </row>
    <row r="383" spans="1:10" ht="12">
      <c r="A383" s="63">
        <v>1</v>
      </c>
      <c r="B383" s="47" t="s">
        <v>453</v>
      </c>
      <c r="D383" s="63">
        <v>1</v>
      </c>
      <c r="F383" s="119"/>
      <c r="G383" s="119"/>
      <c r="H383" s="119"/>
      <c r="I383" s="119"/>
      <c r="J383" s="119"/>
    </row>
    <row r="384" spans="1:10" ht="12">
      <c r="A384" s="63"/>
      <c r="B384" s="47"/>
      <c r="D384" s="63"/>
      <c r="F384" s="119"/>
      <c r="G384" s="119"/>
      <c r="H384" s="119"/>
      <c r="I384" s="119"/>
      <c r="J384" s="119"/>
    </row>
    <row r="385" spans="1:10" ht="12">
      <c r="A385" s="63">
        <v>2</v>
      </c>
      <c r="B385" s="66" t="s">
        <v>454</v>
      </c>
      <c r="D385" s="63">
        <v>2</v>
      </c>
      <c r="E385" s="66"/>
      <c r="F385" s="125"/>
      <c r="G385" s="125">
        <v>0</v>
      </c>
      <c r="H385" s="125"/>
      <c r="I385" s="125">
        <v>0</v>
      </c>
      <c r="J385" s="125"/>
    </row>
    <row r="386" spans="1:10" ht="12">
      <c r="A386" s="63">
        <v>3</v>
      </c>
      <c r="B386" s="66" t="s">
        <v>455</v>
      </c>
      <c r="D386" s="63">
        <v>3</v>
      </c>
      <c r="E386" s="66"/>
      <c r="F386" s="125"/>
      <c r="G386" s="125">
        <v>0</v>
      </c>
      <c r="H386" s="125"/>
      <c r="I386" s="125">
        <v>0</v>
      </c>
      <c r="J386" s="125"/>
    </row>
    <row r="387" spans="1:10" ht="12">
      <c r="A387" s="63">
        <v>4</v>
      </c>
      <c r="B387" s="66" t="s">
        <v>456</v>
      </c>
      <c r="D387" s="63">
        <v>4</v>
      </c>
      <c r="E387" s="66"/>
      <c r="F387" s="125"/>
      <c r="G387" s="125"/>
      <c r="H387" s="125"/>
      <c r="I387" s="125"/>
      <c r="J387" s="125"/>
    </row>
    <row r="388" spans="1:12" ht="12">
      <c r="A388" s="63"/>
      <c r="B388" s="66"/>
      <c r="D388" s="63"/>
      <c r="E388" s="44" t="s">
        <v>1</v>
      </c>
      <c r="F388" s="95" t="s">
        <v>1</v>
      </c>
      <c r="G388" s="71"/>
      <c r="H388" s="95"/>
      <c r="I388" s="71"/>
      <c r="J388" s="71"/>
      <c r="K388" s="193"/>
      <c r="L388" s="71"/>
    </row>
    <row r="389" spans="1:12" ht="12">
      <c r="A389" s="63">
        <v>9</v>
      </c>
      <c r="B389" s="48" t="s">
        <v>50</v>
      </c>
      <c r="D389" s="63">
        <v>9</v>
      </c>
      <c r="E389" s="66"/>
      <c r="F389" s="125"/>
      <c r="G389" s="125">
        <v>0</v>
      </c>
      <c r="H389" s="125"/>
      <c r="I389" s="125">
        <v>0</v>
      </c>
      <c r="J389" s="125"/>
      <c r="L389" s="125">
        <v>0</v>
      </c>
    </row>
    <row r="390" spans="1:10" ht="12">
      <c r="A390" s="63"/>
      <c r="B390" s="66"/>
      <c r="D390" s="63"/>
      <c r="E390" s="66"/>
      <c r="F390" s="125"/>
      <c r="G390" s="125"/>
      <c r="H390" s="125"/>
      <c r="I390" s="125"/>
      <c r="J390" s="125"/>
    </row>
    <row r="392" spans="1:12" s="93" customFormat="1" ht="12">
      <c r="A392" s="91" t="s">
        <v>528</v>
      </c>
      <c r="D392" s="112"/>
      <c r="F392" s="113"/>
      <c r="G392" s="114"/>
      <c r="H392" s="113"/>
      <c r="J392" s="92"/>
      <c r="K392" s="197"/>
      <c r="L392" s="92" t="s">
        <v>232</v>
      </c>
    </row>
    <row r="393" spans="1:12" ht="12.75" customHeight="1">
      <c r="A393" s="477" t="s">
        <v>233</v>
      </c>
      <c r="B393" s="477"/>
      <c r="C393" s="477"/>
      <c r="D393" s="477"/>
      <c r="E393" s="477"/>
      <c r="F393" s="477"/>
      <c r="G393" s="477"/>
      <c r="H393" s="477"/>
      <c r="I393" s="477"/>
      <c r="J393" s="477"/>
      <c r="K393" s="477"/>
      <c r="L393" s="477"/>
    </row>
    <row r="394" spans="1:12" ht="12">
      <c r="A394" s="91" t="s">
        <v>527</v>
      </c>
      <c r="G394" s="58"/>
      <c r="H394" s="84"/>
      <c r="J394" s="94"/>
      <c r="L394" s="94" t="s">
        <v>71</v>
      </c>
    </row>
    <row r="395" spans="1:12" ht="12">
      <c r="A395" s="45" t="s">
        <v>1</v>
      </c>
      <c r="B395" s="45" t="s">
        <v>1</v>
      </c>
      <c r="C395" s="45" t="s">
        <v>1</v>
      </c>
      <c r="D395" s="45" t="s">
        <v>1</v>
      </c>
      <c r="E395" s="45" t="s">
        <v>1</v>
      </c>
      <c r="F395" s="95" t="s">
        <v>1</v>
      </c>
      <c r="G395" s="71" t="s">
        <v>1</v>
      </c>
      <c r="H395" s="95" t="s">
        <v>1</v>
      </c>
      <c r="I395" s="71" t="s">
        <v>1</v>
      </c>
      <c r="J395" s="95" t="s">
        <v>1</v>
      </c>
      <c r="K395" s="193" t="s">
        <v>1</v>
      </c>
      <c r="L395" s="71" t="s">
        <v>1</v>
      </c>
    </row>
    <row r="396" spans="1:12" ht="12">
      <c r="A396" s="59" t="s">
        <v>2</v>
      </c>
      <c r="D396" s="59" t="s">
        <v>2</v>
      </c>
      <c r="E396" s="77"/>
      <c r="F396" s="96"/>
      <c r="G396" s="87" t="s">
        <v>62</v>
      </c>
      <c r="H396" s="96"/>
      <c r="I396" s="77" t="s">
        <v>65</v>
      </c>
      <c r="J396" s="87"/>
      <c r="L396" s="77" t="s">
        <v>70</v>
      </c>
    </row>
    <row r="397" spans="1:12" ht="12">
      <c r="A397" s="59" t="s">
        <v>4</v>
      </c>
      <c r="B397" s="80" t="s">
        <v>18</v>
      </c>
      <c r="D397" s="59" t="s">
        <v>4</v>
      </c>
      <c r="E397" s="77"/>
      <c r="F397" s="96"/>
      <c r="G397" s="87" t="s">
        <v>7</v>
      </c>
      <c r="H397" s="96"/>
      <c r="I397" s="87" t="s">
        <v>7</v>
      </c>
      <c r="J397" s="87"/>
      <c r="L397" s="77" t="s">
        <v>8</v>
      </c>
    </row>
    <row r="398" spans="1:12" ht="12">
      <c r="A398" s="45" t="s">
        <v>1</v>
      </c>
      <c r="B398" s="45" t="s">
        <v>1</v>
      </c>
      <c r="C398" s="45" t="s">
        <v>1</v>
      </c>
      <c r="D398" s="45" t="s">
        <v>1</v>
      </c>
      <c r="E398" s="45" t="s">
        <v>1</v>
      </c>
      <c r="F398" s="95" t="s">
        <v>1</v>
      </c>
      <c r="G398" s="71" t="s">
        <v>1</v>
      </c>
      <c r="H398" s="95" t="s">
        <v>1</v>
      </c>
      <c r="I398" s="71" t="s">
        <v>1</v>
      </c>
      <c r="J398" s="95" t="s">
        <v>1</v>
      </c>
      <c r="K398" s="193" t="s">
        <v>1</v>
      </c>
      <c r="L398" s="71" t="s">
        <v>1</v>
      </c>
    </row>
    <row r="399" spans="1:12" ht="12">
      <c r="A399" s="70">
        <v>1</v>
      </c>
      <c r="B399" s="47" t="s">
        <v>457</v>
      </c>
      <c r="D399" s="70">
        <v>1</v>
      </c>
      <c r="E399" s="66"/>
      <c r="F399" s="139"/>
      <c r="H399" s="139"/>
      <c r="I399" s="157"/>
      <c r="J399" s="157"/>
      <c r="L399" s="82"/>
    </row>
    <row r="400" spans="1:10" ht="12">
      <c r="A400" s="70">
        <v>2</v>
      </c>
      <c r="D400" s="70">
        <v>2</v>
      </c>
      <c r="E400" s="66"/>
      <c r="F400" s="158"/>
      <c r="G400" s="158"/>
      <c r="H400" s="158"/>
      <c r="I400" s="158"/>
      <c r="J400" s="158"/>
    </row>
    <row r="401" spans="1:10" ht="12">
      <c r="A401" s="70">
        <v>3</v>
      </c>
      <c r="B401" s="47"/>
      <c r="D401" s="70">
        <v>3</v>
      </c>
      <c r="E401" s="66"/>
      <c r="F401" s="158"/>
      <c r="G401" s="158"/>
      <c r="H401" s="158"/>
      <c r="I401" s="158"/>
      <c r="J401" s="158"/>
    </row>
    <row r="402" spans="1:10" ht="12">
      <c r="A402" s="70">
        <v>4</v>
      </c>
      <c r="B402" s="47"/>
      <c r="D402" s="70">
        <v>4</v>
      </c>
      <c r="E402" s="66"/>
      <c r="F402" s="158"/>
      <c r="G402" s="158"/>
      <c r="H402" s="158"/>
      <c r="I402" s="158"/>
      <c r="J402" s="158"/>
    </row>
    <row r="403" spans="1:10" ht="12">
      <c r="A403" s="70">
        <v>5</v>
      </c>
      <c r="B403" s="66"/>
      <c r="D403" s="70">
        <v>5</v>
      </c>
      <c r="E403" s="66"/>
      <c r="F403" s="158"/>
      <c r="G403" s="158"/>
      <c r="H403" s="158"/>
      <c r="I403" s="158"/>
      <c r="J403" s="158"/>
    </row>
    <row r="404" spans="1:10" ht="12">
      <c r="A404" s="70">
        <v>6</v>
      </c>
      <c r="B404" s="47"/>
      <c r="D404" s="70">
        <v>6</v>
      </c>
      <c r="E404" s="66"/>
      <c r="F404" s="158"/>
      <c r="G404" s="158"/>
      <c r="H404" s="158"/>
      <c r="I404" s="158"/>
      <c r="J404" s="158"/>
    </row>
    <row r="405" spans="1:10" ht="12">
      <c r="A405" s="70">
        <v>7</v>
      </c>
      <c r="B405" s="47"/>
      <c r="D405" s="70">
        <v>7</v>
      </c>
      <c r="E405" s="66"/>
      <c r="F405" s="158"/>
      <c r="G405" s="158"/>
      <c r="H405" s="158"/>
      <c r="I405" s="158"/>
      <c r="J405" s="158"/>
    </row>
    <row r="406" spans="1:10" ht="12">
      <c r="A406" s="70">
        <v>8</v>
      </c>
      <c r="B406" s="66"/>
      <c r="D406" s="70">
        <v>8</v>
      </c>
      <c r="E406" s="66"/>
      <c r="F406" s="158"/>
      <c r="G406" s="158">
        <v>0</v>
      </c>
      <c r="H406" s="158"/>
      <c r="I406" s="158"/>
      <c r="J406" s="158"/>
    </row>
    <row r="407" spans="1:10" ht="12">
      <c r="A407" s="70">
        <v>9</v>
      </c>
      <c r="B407" s="66"/>
      <c r="D407" s="70">
        <v>9</v>
      </c>
      <c r="E407" s="66"/>
      <c r="F407" s="158"/>
      <c r="G407" s="158"/>
      <c r="H407" s="158"/>
      <c r="I407" s="158"/>
      <c r="J407" s="158"/>
    </row>
    <row r="408" spans="1:10" ht="12">
      <c r="A408" s="70">
        <v>10</v>
      </c>
      <c r="D408" s="70">
        <v>10</v>
      </c>
      <c r="E408" s="66"/>
      <c r="F408" s="158"/>
      <c r="G408" s="158"/>
      <c r="H408" s="158"/>
      <c r="I408" s="158"/>
      <c r="J408" s="158"/>
    </row>
    <row r="409" spans="1:10" ht="12">
      <c r="A409" s="70">
        <v>11</v>
      </c>
      <c r="D409" s="70">
        <v>11</v>
      </c>
      <c r="E409" s="66"/>
      <c r="F409" s="158"/>
      <c r="G409" s="158"/>
      <c r="H409" s="158"/>
      <c r="I409" s="158"/>
      <c r="J409" s="158"/>
    </row>
    <row r="410" spans="1:10" ht="12">
      <c r="A410" s="70">
        <v>12</v>
      </c>
      <c r="D410" s="70">
        <v>12</v>
      </c>
      <c r="E410" s="66"/>
      <c r="F410" s="158"/>
      <c r="G410" s="158"/>
      <c r="H410" s="158"/>
      <c r="I410" s="158"/>
      <c r="J410" s="158"/>
    </row>
    <row r="411" spans="1:10" ht="12">
      <c r="A411" s="70">
        <v>13</v>
      </c>
      <c r="B411" s="66"/>
      <c r="D411" s="70">
        <v>13</v>
      </c>
      <c r="E411" s="66"/>
      <c r="F411" s="158"/>
      <c r="G411" s="158"/>
      <c r="H411" s="158"/>
      <c r="I411" s="158"/>
      <c r="J411" s="158"/>
    </row>
    <row r="412" spans="1:10" ht="12">
      <c r="A412" s="70">
        <v>14</v>
      </c>
      <c r="B412" s="66" t="s">
        <v>460</v>
      </c>
      <c r="D412" s="70">
        <v>14</v>
      </c>
      <c r="E412" s="66"/>
      <c r="F412" s="158"/>
      <c r="G412" s="158"/>
      <c r="H412" s="158"/>
      <c r="I412" s="158"/>
      <c r="J412" s="158"/>
    </row>
    <row r="413" spans="1:10" ht="12">
      <c r="A413" s="70">
        <v>15</v>
      </c>
      <c r="B413" s="66"/>
      <c r="D413" s="70">
        <v>15</v>
      </c>
      <c r="E413" s="66"/>
      <c r="F413" s="158"/>
      <c r="G413" s="158">
        <v>0</v>
      </c>
      <c r="H413" s="158"/>
      <c r="I413" s="158"/>
      <c r="J413" s="158"/>
    </row>
    <row r="414" spans="1:10" ht="12">
      <c r="A414" s="70">
        <v>16</v>
      </c>
      <c r="B414" s="66"/>
      <c r="D414" s="70">
        <v>16</v>
      </c>
      <c r="E414" s="66"/>
      <c r="F414" s="158"/>
      <c r="G414" s="158"/>
      <c r="H414" s="158"/>
      <c r="I414" s="158"/>
      <c r="J414" s="158"/>
    </row>
    <row r="415" spans="1:10" ht="12">
      <c r="A415" s="70">
        <v>17</v>
      </c>
      <c r="B415" s="66"/>
      <c r="D415" s="70">
        <v>17</v>
      </c>
      <c r="E415" s="66"/>
      <c r="F415" s="158"/>
      <c r="G415" s="158"/>
      <c r="H415" s="158"/>
      <c r="I415" s="158"/>
      <c r="J415" s="158"/>
    </row>
    <row r="416" spans="1:10" ht="12">
      <c r="A416" s="70">
        <v>18</v>
      </c>
      <c r="B416" s="66"/>
      <c r="D416" s="70">
        <v>18</v>
      </c>
      <c r="E416" s="66"/>
      <c r="F416" s="158"/>
      <c r="G416" s="158"/>
      <c r="H416" s="158"/>
      <c r="I416" s="158"/>
      <c r="J416" s="158"/>
    </row>
    <row r="417" spans="1:10" ht="12">
      <c r="A417" s="70">
        <v>19</v>
      </c>
      <c r="B417" s="66"/>
      <c r="D417" s="70">
        <v>19</v>
      </c>
      <c r="E417" s="66"/>
      <c r="F417" s="158"/>
      <c r="G417" s="158"/>
      <c r="H417" s="158"/>
      <c r="I417" s="158"/>
      <c r="J417" s="158"/>
    </row>
    <row r="418" spans="1:10" ht="12">
      <c r="A418" s="70">
        <v>20</v>
      </c>
      <c r="B418" s="66"/>
      <c r="D418" s="70">
        <v>20</v>
      </c>
      <c r="E418" s="66"/>
      <c r="F418" s="158"/>
      <c r="G418" s="158"/>
      <c r="H418" s="158"/>
      <c r="I418" s="158"/>
      <c r="J418" s="158"/>
    </row>
    <row r="419" spans="1:10" ht="12">
      <c r="A419" s="70">
        <v>21</v>
      </c>
      <c r="B419" s="66"/>
      <c r="D419" s="70">
        <v>21</v>
      </c>
      <c r="E419" s="66"/>
      <c r="F419" s="158"/>
      <c r="G419" s="158"/>
      <c r="H419" s="158"/>
      <c r="I419" s="158"/>
      <c r="J419" s="158"/>
    </row>
    <row r="420" spans="1:10" ht="12">
      <c r="A420" s="70">
        <v>22</v>
      </c>
      <c r="B420" s="66"/>
      <c r="D420" s="70">
        <v>22</v>
      </c>
      <c r="E420" s="66"/>
      <c r="F420" s="158"/>
      <c r="G420" s="158"/>
      <c r="H420" s="158"/>
      <c r="I420" s="158"/>
      <c r="J420" s="158"/>
    </row>
    <row r="421" spans="1:10" ht="12">
      <c r="A421" s="70">
        <v>23</v>
      </c>
      <c r="B421" s="66"/>
      <c r="D421" s="70">
        <v>23</v>
      </c>
      <c r="E421" s="66"/>
      <c r="F421" s="158"/>
      <c r="G421" s="158"/>
      <c r="H421" s="158"/>
      <c r="I421" s="158"/>
      <c r="J421" s="158"/>
    </row>
    <row r="422" spans="1:10" ht="12">
      <c r="A422" s="70">
        <v>24</v>
      </c>
      <c r="B422" s="66"/>
      <c r="D422" s="70">
        <v>24</v>
      </c>
      <c r="E422" s="66"/>
      <c r="F422" s="158"/>
      <c r="G422" s="158"/>
      <c r="H422" s="158"/>
      <c r="I422" s="158"/>
      <c r="J422" s="158"/>
    </row>
    <row r="423" spans="1:12" ht="12">
      <c r="A423" s="89"/>
      <c r="D423" s="89"/>
      <c r="E423" s="44" t="s">
        <v>1</v>
      </c>
      <c r="F423" s="95" t="s">
        <v>1</v>
      </c>
      <c r="G423" s="71"/>
      <c r="H423" s="95"/>
      <c r="I423" s="71"/>
      <c r="J423" s="71"/>
      <c r="K423" s="193"/>
      <c r="L423" s="71"/>
    </row>
    <row r="424" spans="1:12" ht="12">
      <c r="A424" s="70">
        <v>25</v>
      </c>
      <c r="B424" s="47" t="s">
        <v>461</v>
      </c>
      <c r="D424" s="70">
        <v>25</v>
      </c>
      <c r="F424" s="160"/>
      <c r="G424" s="159">
        <v>0</v>
      </c>
      <c r="H424" s="160"/>
      <c r="I424" s="159">
        <v>0</v>
      </c>
      <c r="J424" s="159"/>
      <c r="L424" s="159">
        <v>0</v>
      </c>
    </row>
    <row r="425" spans="1:12" ht="12">
      <c r="A425" s="70"/>
      <c r="B425" s="47"/>
      <c r="D425" s="70"/>
      <c r="E425" s="44" t="s">
        <v>1</v>
      </c>
      <c r="F425" s="95" t="s">
        <v>1</v>
      </c>
      <c r="G425" s="71"/>
      <c r="H425" s="95"/>
      <c r="I425" s="71"/>
      <c r="J425" s="71"/>
      <c r="K425" s="193"/>
      <c r="L425" s="71"/>
    </row>
    <row r="426" ht="12">
      <c r="D426" s="68"/>
    </row>
    <row r="427" ht="12">
      <c r="D427" s="68"/>
    </row>
    <row r="428" spans="1:12" ht="12">
      <c r="A428" s="91" t="s">
        <v>528</v>
      </c>
      <c r="B428" s="93"/>
      <c r="C428" s="93"/>
      <c r="D428" s="112"/>
      <c r="E428" s="93"/>
      <c r="F428" s="113"/>
      <c r="G428" s="114"/>
      <c r="H428" s="113"/>
      <c r="J428" s="92"/>
      <c r="L428" s="92" t="s">
        <v>241</v>
      </c>
    </row>
    <row r="429" spans="1:12" ht="12">
      <c r="A429" s="477" t="s">
        <v>462</v>
      </c>
      <c r="B429" s="477"/>
      <c r="C429" s="477"/>
      <c r="D429" s="477"/>
      <c r="E429" s="477"/>
      <c r="F429" s="477"/>
      <c r="G429" s="477"/>
      <c r="H429" s="477"/>
      <c r="I429" s="477"/>
      <c r="J429" s="477"/>
      <c r="K429" s="477"/>
      <c r="L429" s="477"/>
    </row>
    <row r="430" spans="1:12" ht="12">
      <c r="A430" s="91" t="s">
        <v>527</v>
      </c>
      <c r="G430" s="58"/>
      <c r="H430" s="84"/>
      <c r="J430" s="94"/>
      <c r="L430" s="94" t="s">
        <v>71</v>
      </c>
    </row>
    <row r="431" spans="1:12" ht="12">
      <c r="A431" s="45" t="s">
        <v>1</v>
      </c>
      <c r="B431" s="45" t="s">
        <v>1</v>
      </c>
      <c r="C431" s="45" t="s">
        <v>1</v>
      </c>
      <c r="D431" s="45" t="s">
        <v>1</v>
      </c>
      <c r="E431" s="45" t="s">
        <v>1</v>
      </c>
      <c r="F431" s="95" t="s">
        <v>1</v>
      </c>
      <c r="G431" s="71" t="s">
        <v>1</v>
      </c>
      <c r="H431" s="95" t="s">
        <v>1</v>
      </c>
      <c r="I431" s="71" t="s">
        <v>1</v>
      </c>
      <c r="J431" s="95" t="s">
        <v>1</v>
      </c>
      <c r="K431" s="193" t="s">
        <v>1</v>
      </c>
      <c r="L431" s="71" t="s">
        <v>1</v>
      </c>
    </row>
    <row r="432" spans="1:12" ht="12">
      <c r="A432" s="59" t="s">
        <v>2</v>
      </c>
      <c r="D432" s="59" t="s">
        <v>2</v>
      </c>
      <c r="E432" s="77"/>
      <c r="F432" s="96"/>
      <c r="G432" s="87" t="s">
        <v>62</v>
      </c>
      <c r="H432" s="96"/>
      <c r="I432" s="77" t="s">
        <v>65</v>
      </c>
      <c r="J432" s="87"/>
      <c r="L432" s="77" t="s">
        <v>70</v>
      </c>
    </row>
    <row r="433" spans="1:12" ht="12">
      <c r="A433" s="59" t="s">
        <v>4</v>
      </c>
      <c r="B433" s="80" t="s">
        <v>18</v>
      </c>
      <c r="D433" s="59" t="s">
        <v>4</v>
      </c>
      <c r="E433" s="77"/>
      <c r="F433" s="96"/>
      <c r="G433" s="87" t="s">
        <v>7</v>
      </c>
      <c r="H433" s="96"/>
      <c r="I433" s="87" t="s">
        <v>7</v>
      </c>
      <c r="J433" s="87"/>
      <c r="L433" s="77" t="s">
        <v>8</v>
      </c>
    </row>
    <row r="434" spans="1:12" ht="12">
      <c r="A434" s="45" t="s">
        <v>1</v>
      </c>
      <c r="B434" s="45" t="s">
        <v>1</v>
      </c>
      <c r="C434" s="45" t="s">
        <v>1</v>
      </c>
      <c r="D434" s="45" t="s">
        <v>1</v>
      </c>
      <c r="E434" s="45" t="s">
        <v>1</v>
      </c>
      <c r="F434" s="95" t="s">
        <v>1</v>
      </c>
      <c r="G434" s="71" t="s">
        <v>1</v>
      </c>
      <c r="H434" s="95" t="s">
        <v>1</v>
      </c>
      <c r="I434" s="71" t="s">
        <v>1</v>
      </c>
      <c r="J434" s="95" t="s">
        <v>1</v>
      </c>
      <c r="K434" s="193" t="s">
        <v>1</v>
      </c>
      <c r="L434" s="71" t="s">
        <v>1</v>
      </c>
    </row>
    <row r="435" spans="1:12" ht="12">
      <c r="A435" s="48">
        <v>1</v>
      </c>
      <c r="B435" s="48" t="s">
        <v>463</v>
      </c>
      <c r="D435" s="48">
        <v>1</v>
      </c>
      <c r="F435" s="155"/>
      <c r="G435" s="155">
        <v>11954377.66</v>
      </c>
      <c r="H435" s="155"/>
      <c r="I435" s="155">
        <v>5758437</v>
      </c>
      <c r="J435" s="155"/>
      <c r="L435" s="86">
        <v>10908607</v>
      </c>
    </row>
    <row r="436" ht="12">
      <c r="D436" s="68"/>
    </row>
    <row r="437" ht="12">
      <c r="D437" s="68"/>
    </row>
    <row r="438" ht="12">
      <c r="D438" s="68"/>
    </row>
    <row r="439" spans="4:10" ht="12">
      <c r="D439" s="68"/>
      <c r="F439" s="84"/>
      <c r="G439" s="58"/>
      <c r="H439" s="84"/>
      <c r="I439" s="58"/>
      <c r="J439" s="58"/>
    </row>
    <row r="440" spans="1:12" s="93" customFormat="1" ht="12">
      <c r="A440" s="91" t="s">
        <v>528</v>
      </c>
      <c r="D440" s="112"/>
      <c r="F440" s="113"/>
      <c r="G440" s="114"/>
      <c r="H440" s="113"/>
      <c r="J440" s="92"/>
      <c r="K440" s="197"/>
      <c r="L440" s="92" t="s">
        <v>245</v>
      </c>
    </row>
    <row r="441" spans="1:12" s="93" customFormat="1" ht="12">
      <c r="A441" s="472" t="s">
        <v>246</v>
      </c>
      <c r="B441" s="472"/>
      <c r="C441" s="472"/>
      <c r="D441" s="472"/>
      <c r="E441" s="472"/>
      <c r="F441" s="472"/>
      <c r="G441" s="472"/>
      <c r="H441" s="472"/>
      <c r="I441" s="472"/>
      <c r="J441" s="472"/>
      <c r="K441" s="472"/>
      <c r="L441" s="472"/>
    </row>
    <row r="442" spans="1:12" ht="12">
      <c r="A442" s="91" t="s">
        <v>527</v>
      </c>
      <c r="F442" s="161"/>
      <c r="G442" s="58"/>
      <c r="H442" s="84"/>
      <c r="J442" s="94"/>
      <c r="L442" s="94" t="s">
        <v>71</v>
      </c>
    </row>
    <row r="443" spans="1:12" ht="12">
      <c r="A443" s="45" t="s">
        <v>1</v>
      </c>
      <c r="B443" s="45" t="s">
        <v>1</v>
      </c>
      <c r="C443" s="45" t="s">
        <v>1</v>
      </c>
      <c r="D443" s="45" t="s">
        <v>1</v>
      </c>
      <c r="E443" s="45" t="s">
        <v>1</v>
      </c>
      <c r="F443" s="95" t="s">
        <v>1</v>
      </c>
      <c r="G443" s="71" t="s">
        <v>1</v>
      </c>
      <c r="H443" s="95" t="s">
        <v>1</v>
      </c>
      <c r="I443" s="71" t="s">
        <v>1</v>
      </c>
      <c r="J443" s="95" t="s">
        <v>1</v>
      </c>
      <c r="K443" s="193" t="s">
        <v>1</v>
      </c>
      <c r="L443" s="71" t="s">
        <v>1</v>
      </c>
    </row>
    <row r="444" spans="1:12" ht="12">
      <c r="A444" s="59" t="s">
        <v>2</v>
      </c>
      <c r="D444" s="59" t="s">
        <v>2</v>
      </c>
      <c r="E444" s="77"/>
      <c r="F444" s="96"/>
      <c r="G444" s="87" t="s">
        <v>62</v>
      </c>
      <c r="H444" s="96"/>
      <c r="I444" s="77" t="s">
        <v>65</v>
      </c>
      <c r="J444" s="87"/>
      <c r="L444" s="77" t="s">
        <v>70</v>
      </c>
    </row>
    <row r="445" spans="1:12" ht="12">
      <c r="A445" s="59" t="s">
        <v>4</v>
      </c>
      <c r="B445" s="80" t="s">
        <v>18</v>
      </c>
      <c r="D445" s="59" t="s">
        <v>4</v>
      </c>
      <c r="E445" s="77"/>
      <c r="F445" s="96" t="s">
        <v>6</v>
      </c>
      <c r="G445" s="87" t="s">
        <v>7</v>
      </c>
      <c r="H445" s="96" t="s">
        <v>6</v>
      </c>
      <c r="I445" s="87" t="s">
        <v>7</v>
      </c>
      <c r="J445" s="87"/>
      <c r="K445" s="204" t="s">
        <v>19</v>
      </c>
      <c r="L445" s="77" t="s">
        <v>8</v>
      </c>
    </row>
    <row r="446" spans="1:12" ht="12">
      <c r="A446" s="45" t="s">
        <v>1</v>
      </c>
      <c r="B446" s="45" t="s">
        <v>1</v>
      </c>
      <c r="C446" s="45" t="s">
        <v>1</v>
      </c>
      <c r="D446" s="45" t="s">
        <v>1</v>
      </c>
      <c r="E446" s="45" t="s">
        <v>1</v>
      </c>
      <c r="F446" s="95" t="s">
        <v>1</v>
      </c>
      <c r="G446" s="71" t="s">
        <v>1</v>
      </c>
      <c r="H446" s="95" t="s">
        <v>1</v>
      </c>
      <c r="I446" s="71" t="s">
        <v>1</v>
      </c>
      <c r="J446" s="95" t="s">
        <v>1</v>
      </c>
      <c r="K446" s="193" t="s">
        <v>1</v>
      </c>
      <c r="L446" s="71" t="s">
        <v>1</v>
      </c>
    </row>
    <row r="447" spans="1:12" ht="12">
      <c r="A447" s="72">
        <v>1</v>
      </c>
      <c r="B447" s="47" t="s">
        <v>276</v>
      </c>
      <c r="D447" s="72">
        <v>1</v>
      </c>
      <c r="E447" s="66"/>
      <c r="F447" s="162">
        <v>548.05</v>
      </c>
      <c r="G447" s="60">
        <v>43742769</v>
      </c>
      <c r="H447" s="162">
        <v>589.5769770472086</v>
      </c>
      <c r="I447" s="60">
        <v>47057676</v>
      </c>
      <c r="J447" s="60"/>
      <c r="K447" s="204">
        <v>584.0846321539541</v>
      </c>
      <c r="L447" s="155">
        <v>46619299</v>
      </c>
    </row>
    <row r="448" spans="1:12" ht="12">
      <c r="A448" s="72">
        <v>2</v>
      </c>
      <c r="B448" s="47" t="s">
        <v>268</v>
      </c>
      <c r="D448" s="72">
        <v>2</v>
      </c>
      <c r="E448" s="66"/>
      <c r="F448" s="162"/>
      <c r="G448" s="60">
        <v>11043941</v>
      </c>
      <c r="H448" s="162"/>
      <c r="I448" s="60">
        <v>11563433</v>
      </c>
      <c r="J448" s="60"/>
      <c r="K448" s="204"/>
      <c r="L448" s="155">
        <v>11851166</v>
      </c>
    </row>
    <row r="449" spans="1:12" ht="12">
      <c r="A449" s="72">
        <v>3</v>
      </c>
      <c r="B449" s="47" t="s">
        <v>464</v>
      </c>
      <c r="D449" s="72">
        <v>3</v>
      </c>
      <c r="E449" s="66"/>
      <c r="F449" s="162">
        <v>146.75</v>
      </c>
      <c r="G449" s="60">
        <v>5209965</v>
      </c>
      <c r="H449" s="162">
        <v>163.80635439258654</v>
      </c>
      <c r="I449" s="60">
        <v>5815617</v>
      </c>
      <c r="J449" s="60"/>
      <c r="K449" s="204">
        <v>155.14452299805652</v>
      </c>
      <c r="L449" s="155">
        <v>5508096</v>
      </c>
    </row>
    <row r="450" spans="1:12" ht="12">
      <c r="A450" s="72">
        <v>4</v>
      </c>
      <c r="B450" s="47" t="s">
        <v>270</v>
      </c>
      <c r="D450" s="72">
        <v>4</v>
      </c>
      <c r="E450" s="66"/>
      <c r="F450" s="162">
        <v>694.8</v>
      </c>
      <c r="G450" s="212">
        <v>59996675</v>
      </c>
      <c r="H450" s="162">
        <v>753.3833314397951</v>
      </c>
      <c r="I450" s="212">
        <v>64436726</v>
      </c>
      <c r="J450" s="212"/>
      <c r="K450" s="205">
        <v>739.2291551520107</v>
      </c>
      <c r="L450" s="155">
        <v>63978561</v>
      </c>
    </row>
    <row r="451" spans="1:12" ht="12">
      <c r="A451" s="72">
        <v>5</v>
      </c>
      <c r="D451" s="72">
        <v>5</v>
      </c>
      <c r="E451" s="66"/>
      <c r="F451" s="162"/>
      <c r="G451" s="163"/>
      <c r="H451" s="162"/>
      <c r="I451" s="163"/>
      <c r="J451" s="163"/>
      <c r="K451" s="204"/>
      <c r="L451" s="155"/>
    </row>
    <row r="452" spans="1:12" ht="12">
      <c r="A452" s="72">
        <v>6</v>
      </c>
      <c r="B452" s="47" t="s">
        <v>252</v>
      </c>
      <c r="D452" s="72">
        <v>6</v>
      </c>
      <c r="E452" s="66"/>
      <c r="F452" s="162">
        <v>0</v>
      </c>
      <c r="G452" s="163"/>
      <c r="H452" s="162">
        <v>0</v>
      </c>
      <c r="I452" s="163"/>
      <c r="J452" s="163"/>
      <c r="K452" s="204"/>
      <c r="L452" s="155"/>
    </row>
    <row r="453" spans="1:12" ht="12">
      <c r="A453" s="72">
        <v>7</v>
      </c>
      <c r="B453" s="47" t="s">
        <v>253</v>
      </c>
      <c r="D453" s="72">
        <v>7</v>
      </c>
      <c r="E453" s="66"/>
      <c r="F453" s="162">
        <v>53.18</v>
      </c>
      <c r="G453" s="211">
        <v>2488512</v>
      </c>
      <c r="H453" s="162">
        <v>57.46103049601436</v>
      </c>
      <c r="I453" s="211">
        <v>2688774</v>
      </c>
      <c r="J453" s="211"/>
      <c r="K453" s="204">
        <v>51.60113692218922</v>
      </c>
      <c r="L453" s="155">
        <v>2414572</v>
      </c>
    </row>
    <row r="454" spans="1:12" ht="12">
      <c r="A454" s="72">
        <v>8</v>
      </c>
      <c r="B454" s="47" t="s">
        <v>254</v>
      </c>
      <c r="D454" s="72">
        <v>8</v>
      </c>
      <c r="E454" s="66"/>
      <c r="F454" s="162"/>
      <c r="G454" s="211">
        <v>649710</v>
      </c>
      <c r="H454" s="162"/>
      <c r="I454" s="211">
        <v>729030</v>
      </c>
      <c r="J454" s="211"/>
      <c r="K454" s="204"/>
      <c r="L454" s="155">
        <v>774311</v>
      </c>
    </row>
    <row r="455" spans="1:12" ht="12">
      <c r="A455" s="72">
        <v>9</v>
      </c>
      <c r="B455" s="47" t="s">
        <v>255</v>
      </c>
      <c r="D455" s="72">
        <v>9</v>
      </c>
      <c r="E455" s="66"/>
      <c r="F455" s="162">
        <v>53.18</v>
      </c>
      <c r="G455" s="163">
        <v>3138222</v>
      </c>
      <c r="H455" s="162">
        <v>57.46103049601436</v>
      </c>
      <c r="I455" s="163">
        <v>3417804</v>
      </c>
      <c r="J455" s="163"/>
      <c r="K455" s="205">
        <v>51.60113692218922</v>
      </c>
      <c r="L455" s="155">
        <v>3188883</v>
      </c>
    </row>
    <row r="456" spans="1:12" ht="12">
      <c r="A456" s="72">
        <v>10</v>
      </c>
      <c r="D456" s="72">
        <v>10</v>
      </c>
      <c r="E456" s="66"/>
      <c r="F456" s="165"/>
      <c r="G456" s="163"/>
      <c r="H456" s="165"/>
      <c r="I456" s="163"/>
      <c r="J456" s="163"/>
      <c r="K456" s="204"/>
      <c r="L456" s="155"/>
    </row>
    <row r="457" spans="1:12" ht="12">
      <c r="A457" s="72">
        <v>11</v>
      </c>
      <c r="B457" s="47" t="s">
        <v>256</v>
      </c>
      <c r="D457" s="72">
        <v>11</v>
      </c>
      <c r="F457" s="166">
        <v>747.9799999999999</v>
      </c>
      <c r="G457" s="159">
        <v>63134897</v>
      </c>
      <c r="H457" s="166">
        <v>810.8443619358095</v>
      </c>
      <c r="I457" s="159">
        <v>67854530</v>
      </c>
      <c r="J457" s="159"/>
      <c r="K457" s="203">
        <v>790.8302920741999</v>
      </c>
      <c r="L457" s="159">
        <v>67167444</v>
      </c>
    </row>
    <row r="458" spans="1:12" ht="12">
      <c r="A458" s="72">
        <v>12</v>
      </c>
      <c r="D458" s="72">
        <v>12</v>
      </c>
      <c r="F458" s="166"/>
      <c r="G458" s="159"/>
      <c r="H458" s="166"/>
      <c r="I458" s="159"/>
      <c r="J458" s="159"/>
      <c r="L458" s="155"/>
    </row>
    <row r="459" spans="1:12" ht="12">
      <c r="A459" s="72">
        <v>13</v>
      </c>
      <c r="B459" s="47" t="s">
        <v>271</v>
      </c>
      <c r="D459" s="72">
        <v>13</v>
      </c>
      <c r="E459" s="66"/>
      <c r="F459" s="162"/>
      <c r="G459" s="60">
        <v>765457</v>
      </c>
      <c r="H459" s="162"/>
      <c r="I459" s="60">
        <v>934465</v>
      </c>
      <c r="J459" s="60"/>
      <c r="L459" s="155">
        <v>846216</v>
      </c>
    </row>
    <row r="460" spans="1:12" ht="12">
      <c r="A460" s="72">
        <v>14</v>
      </c>
      <c r="D460" s="72">
        <v>14</v>
      </c>
      <c r="E460" s="66"/>
      <c r="F460" s="162"/>
      <c r="G460" s="163"/>
      <c r="H460" s="162"/>
      <c r="I460" s="163"/>
      <c r="J460" s="163"/>
      <c r="L460" s="155"/>
    </row>
    <row r="461" spans="1:12" ht="12">
      <c r="A461" s="72">
        <v>15</v>
      </c>
      <c r="B461" s="47" t="s">
        <v>258</v>
      </c>
      <c r="D461" s="72">
        <v>15</v>
      </c>
      <c r="E461" s="66"/>
      <c r="F461" s="162"/>
      <c r="G461" s="60">
        <v>707001</v>
      </c>
      <c r="H461" s="162"/>
      <c r="I461" s="60">
        <v>663877</v>
      </c>
      <c r="J461" s="60"/>
      <c r="L461" s="155">
        <v>228946</v>
      </c>
    </row>
    <row r="462" spans="1:12" ht="12">
      <c r="A462" s="72">
        <v>16</v>
      </c>
      <c r="B462" s="47"/>
      <c r="D462" s="72">
        <v>16</v>
      </c>
      <c r="E462" s="66"/>
      <c r="F462" s="162"/>
      <c r="G462" s="163"/>
      <c r="H462" s="162"/>
      <c r="I462" s="163"/>
      <c r="J462" s="163"/>
      <c r="L462" s="155"/>
    </row>
    <row r="463" spans="1:12" s="62" customFormat="1" ht="18.75" customHeight="1">
      <c r="A463" s="74">
        <v>17</v>
      </c>
      <c r="B463" s="167" t="s">
        <v>259</v>
      </c>
      <c r="D463" s="74">
        <v>17</v>
      </c>
      <c r="E463" s="76"/>
      <c r="F463" s="168"/>
      <c r="G463" s="60">
        <v>5876399</v>
      </c>
      <c r="H463" s="168"/>
      <c r="I463" s="60">
        <v>4410490</v>
      </c>
      <c r="J463" s="60"/>
      <c r="K463" s="202"/>
      <c r="L463" s="210">
        <v>4482329</v>
      </c>
    </row>
    <row r="464" spans="1:12" ht="12">
      <c r="A464" s="72">
        <v>18</v>
      </c>
      <c r="B464" s="61"/>
      <c r="D464" s="72">
        <v>18</v>
      </c>
      <c r="F464" s="162"/>
      <c r="G464" s="163"/>
      <c r="H464" s="162"/>
      <c r="I464" s="163"/>
      <c r="J464" s="163"/>
      <c r="L464" s="155"/>
    </row>
    <row r="465" spans="1:12" ht="12">
      <c r="A465" s="72">
        <v>19</v>
      </c>
      <c r="B465" s="61" t="s">
        <v>465</v>
      </c>
      <c r="D465" s="72">
        <v>19</v>
      </c>
      <c r="F465" s="162"/>
      <c r="G465" s="163">
        <v>0</v>
      </c>
      <c r="H465" s="162"/>
      <c r="I465" s="163">
        <v>32</v>
      </c>
      <c r="J465" s="163"/>
      <c r="L465" s="155"/>
    </row>
    <row r="466" spans="1:12" ht="12">
      <c r="A466" s="72">
        <v>20</v>
      </c>
      <c r="B466" s="61"/>
      <c r="D466" s="72">
        <v>20</v>
      </c>
      <c r="F466" s="162"/>
      <c r="G466" s="163"/>
      <c r="H466" s="162"/>
      <c r="I466" s="163"/>
      <c r="J466" s="163"/>
      <c r="L466" s="155"/>
    </row>
    <row r="467" spans="1:12" ht="12">
      <c r="A467" s="72">
        <v>21</v>
      </c>
      <c r="B467" s="47"/>
      <c r="D467" s="72">
        <v>21</v>
      </c>
      <c r="F467" s="162"/>
      <c r="G467" s="163"/>
      <c r="H467" s="162"/>
      <c r="I467" s="163"/>
      <c r="J467" s="163"/>
      <c r="L467" s="155"/>
    </row>
    <row r="468" spans="1:12" ht="12">
      <c r="A468" s="72">
        <v>22</v>
      </c>
      <c r="B468" s="47"/>
      <c r="D468" s="72">
        <v>22</v>
      </c>
      <c r="F468" s="162"/>
      <c r="G468" s="163"/>
      <c r="H468" s="162"/>
      <c r="I468" s="163"/>
      <c r="J468" s="163"/>
      <c r="L468" s="155"/>
    </row>
    <row r="469" spans="1:12" ht="12">
      <c r="A469" s="72">
        <v>23</v>
      </c>
      <c r="B469" s="47"/>
      <c r="D469" s="72">
        <v>23</v>
      </c>
      <c r="F469" s="162"/>
      <c r="G469" s="163"/>
      <c r="H469" s="162"/>
      <c r="I469" s="163"/>
      <c r="J469" s="163"/>
      <c r="L469" s="155"/>
    </row>
    <row r="470" spans="1:12" ht="12">
      <c r="A470" s="72">
        <v>24</v>
      </c>
      <c r="B470" s="47"/>
      <c r="D470" s="72">
        <v>24</v>
      </c>
      <c r="F470" s="162"/>
      <c r="G470" s="163"/>
      <c r="H470" s="162"/>
      <c r="I470" s="163"/>
      <c r="J470" s="163"/>
      <c r="L470" s="155"/>
    </row>
    <row r="471" spans="1:12" ht="12">
      <c r="A471" s="72"/>
      <c r="B471" s="47"/>
      <c r="D471" s="72"/>
      <c r="F471" s="162"/>
      <c r="G471" s="163"/>
      <c r="H471" s="162"/>
      <c r="I471" s="163"/>
      <c r="J471" s="163"/>
      <c r="L471" s="155"/>
    </row>
    <row r="472" spans="1:12" ht="12">
      <c r="A472" s="72"/>
      <c r="D472" s="72"/>
      <c r="F472" s="162"/>
      <c r="G472" s="163"/>
      <c r="H472" s="162"/>
      <c r="I472" s="163"/>
      <c r="J472" s="163"/>
      <c r="L472" s="155"/>
    </row>
    <row r="473" spans="1:12" ht="12">
      <c r="A473" s="72"/>
      <c r="D473" s="72"/>
      <c r="E473" s="44" t="s">
        <v>1</v>
      </c>
      <c r="F473" s="150"/>
      <c r="G473" s="71"/>
      <c r="H473" s="150"/>
      <c r="I473" s="71"/>
      <c r="J473" s="71"/>
      <c r="K473" s="193"/>
      <c r="L473" s="71"/>
    </row>
    <row r="474" spans="1:12" ht="15.75" customHeight="1">
      <c r="A474" s="72">
        <v>25</v>
      </c>
      <c r="B474" s="47" t="s">
        <v>466</v>
      </c>
      <c r="D474" s="72">
        <v>25</v>
      </c>
      <c r="F474" s="166">
        <v>747.9799999999999</v>
      </c>
      <c r="G474" s="159">
        <v>70483754</v>
      </c>
      <c r="H474" s="166">
        <v>810.8443619358095</v>
      </c>
      <c r="I474" s="159">
        <v>73863394</v>
      </c>
      <c r="J474" s="159"/>
      <c r="K474" s="194">
        <v>790.8302920741999</v>
      </c>
      <c r="L474" s="159">
        <v>72724935</v>
      </c>
    </row>
    <row r="475" spans="5:12" ht="12">
      <c r="E475" s="44" t="s">
        <v>1</v>
      </c>
      <c r="F475" s="95"/>
      <c r="G475" s="71"/>
      <c r="H475" s="95"/>
      <c r="I475" s="71"/>
      <c r="J475" s="71"/>
      <c r="K475" s="193"/>
      <c r="L475" s="71"/>
    </row>
    <row r="477" spans="1:12" s="93" customFormat="1" ht="12">
      <c r="A477" s="91" t="s">
        <v>528</v>
      </c>
      <c r="D477" s="112"/>
      <c r="F477" s="113"/>
      <c r="G477" s="114"/>
      <c r="H477" s="113"/>
      <c r="J477" s="92"/>
      <c r="K477" s="197"/>
      <c r="L477" s="92" t="s">
        <v>265</v>
      </c>
    </row>
    <row r="478" spans="1:12" s="93" customFormat="1" ht="12">
      <c r="A478" s="472" t="s">
        <v>266</v>
      </c>
      <c r="B478" s="472"/>
      <c r="C478" s="472"/>
      <c r="D478" s="472"/>
      <c r="E478" s="472"/>
      <c r="F478" s="472"/>
      <c r="G478" s="472"/>
      <c r="H478" s="472"/>
      <c r="I478" s="472"/>
      <c r="J478" s="472"/>
      <c r="K478" s="472"/>
      <c r="L478" s="472"/>
    </row>
    <row r="479" spans="1:12" ht="12">
      <c r="A479" s="91" t="s">
        <v>527</v>
      </c>
      <c r="E479" s="88"/>
      <c r="F479" s="147"/>
      <c r="G479" s="148"/>
      <c r="H479" s="84"/>
      <c r="I479" s="94"/>
      <c r="J479" s="94"/>
      <c r="L479" s="94" t="s">
        <v>71</v>
      </c>
    </row>
    <row r="480" spans="1:12" ht="12">
      <c r="A480" s="45" t="s">
        <v>1</v>
      </c>
      <c r="B480" s="45" t="s">
        <v>1</v>
      </c>
      <c r="C480" s="45" t="s">
        <v>1</v>
      </c>
      <c r="D480" s="45" t="s">
        <v>1</v>
      </c>
      <c r="E480" s="45" t="s">
        <v>1</v>
      </c>
      <c r="F480" s="95" t="s">
        <v>1</v>
      </c>
      <c r="G480" s="71" t="s">
        <v>1</v>
      </c>
      <c r="H480" s="95" t="s">
        <v>1</v>
      </c>
      <c r="I480" s="71" t="s">
        <v>1</v>
      </c>
      <c r="J480" s="71"/>
      <c r="K480" s="193" t="s">
        <v>1</v>
      </c>
      <c r="L480" s="71" t="s">
        <v>1</v>
      </c>
    </row>
    <row r="481" spans="1:12" ht="12">
      <c r="A481" s="59" t="s">
        <v>2</v>
      </c>
      <c r="D481" s="59" t="s">
        <v>2</v>
      </c>
      <c r="E481" s="77"/>
      <c r="F481" s="96"/>
      <c r="G481" s="87" t="s">
        <v>62</v>
      </c>
      <c r="H481" s="96"/>
      <c r="I481" s="77" t="s">
        <v>65</v>
      </c>
      <c r="J481" s="87"/>
      <c r="L481" s="77" t="s">
        <v>70</v>
      </c>
    </row>
    <row r="482" spans="1:12" ht="12">
      <c r="A482" s="59" t="s">
        <v>4</v>
      </c>
      <c r="B482" s="80" t="s">
        <v>18</v>
      </c>
      <c r="D482" s="59" t="s">
        <v>4</v>
      </c>
      <c r="E482" s="77"/>
      <c r="F482" s="96" t="s">
        <v>6</v>
      </c>
      <c r="G482" s="87" t="s">
        <v>7</v>
      </c>
      <c r="H482" s="96" t="s">
        <v>6</v>
      </c>
      <c r="I482" s="87" t="s">
        <v>7</v>
      </c>
      <c r="J482" s="87"/>
      <c r="K482" s="201" t="s">
        <v>19</v>
      </c>
      <c r="L482" s="77" t="s">
        <v>8</v>
      </c>
    </row>
    <row r="483" spans="1:12" ht="12">
      <c r="A483" s="45" t="s">
        <v>1</v>
      </c>
      <c r="B483" s="45" t="s">
        <v>1</v>
      </c>
      <c r="C483" s="45" t="s">
        <v>1</v>
      </c>
      <c r="D483" s="45" t="s">
        <v>1</v>
      </c>
      <c r="E483" s="45" t="s">
        <v>1</v>
      </c>
      <c r="F483" s="95" t="s">
        <v>1</v>
      </c>
      <c r="G483" s="71" t="s">
        <v>1</v>
      </c>
      <c r="H483" s="95" t="s">
        <v>1</v>
      </c>
      <c r="I483" s="71" t="s">
        <v>1</v>
      </c>
      <c r="J483" s="71"/>
      <c r="K483" s="193" t="s">
        <v>1</v>
      </c>
      <c r="L483" s="71" t="s">
        <v>1</v>
      </c>
    </row>
    <row r="484" spans="1:10" ht="12">
      <c r="A484" s="72">
        <v>1</v>
      </c>
      <c r="B484" s="47" t="s">
        <v>276</v>
      </c>
      <c r="D484" s="72">
        <v>1</v>
      </c>
      <c r="E484" s="66"/>
      <c r="F484" s="171"/>
      <c r="G484" s="163">
        <v>12186</v>
      </c>
      <c r="H484" s="171">
        <v>0</v>
      </c>
      <c r="I484" s="163">
        <v>42291</v>
      </c>
      <c r="J484" s="163"/>
    </row>
    <row r="485" spans="1:10" ht="12">
      <c r="A485" s="72">
        <v>2</v>
      </c>
      <c r="B485" s="47" t="s">
        <v>268</v>
      </c>
      <c r="D485" s="72">
        <v>2</v>
      </c>
      <c r="E485" s="66"/>
      <c r="F485" s="171"/>
      <c r="G485" s="163">
        <v>2631</v>
      </c>
      <c r="H485" s="171"/>
      <c r="I485" s="163">
        <v>9083</v>
      </c>
      <c r="J485" s="163"/>
    </row>
    <row r="486" spans="1:10" ht="12">
      <c r="A486" s="72">
        <v>3</v>
      </c>
      <c r="B486" s="47" t="s">
        <v>269</v>
      </c>
      <c r="D486" s="72">
        <v>3</v>
      </c>
      <c r="E486" s="66"/>
      <c r="F486" s="171">
        <v>0</v>
      </c>
      <c r="G486" s="163"/>
      <c r="H486" s="171">
        <v>0</v>
      </c>
      <c r="I486" s="163">
        <v>0</v>
      </c>
      <c r="J486" s="163"/>
    </row>
    <row r="487" spans="1:12" ht="12">
      <c r="A487" s="72">
        <v>4</v>
      </c>
      <c r="B487" s="47" t="s">
        <v>270</v>
      </c>
      <c r="D487" s="72">
        <v>4</v>
      </c>
      <c r="E487" s="66"/>
      <c r="F487" s="171">
        <v>0</v>
      </c>
      <c r="G487" s="163">
        <v>14817</v>
      </c>
      <c r="H487" s="171">
        <v>0</v>
      </c>
      <c r="I487" s="163">
        <v>51374</v>
      </c>
      <c r="J487" s="163"/>
      <c r="K487" s="209">
        <v>0</v>
      </c>
      <c r="L487" s="163">
        <v>0</v>
      </c>
    </row>
    <row r="488" spans="1:10" ht="12">
      <c r="A488" s="72">
        <v>5</v>
      </c>
      <c r="D488" s="72">
        <v>5</v>
      </c>
      <c r="E488" s="66"/>
      <c r="F488" s="171"/>
      <c r="G488" s="163"/>
      <c r="H488" s="171"/>
      <c r="I488" s="163"/>
      <c r="J488" s="163"/>
    </row>
    <row r="489" spans="1:10" ht="12">
      <c r="A489" s="72">
        <v>6</v>
      </c>
      <c r="B489" s="47" t="s">
        <v>252</v>
      </c>
      <c r="D489" s="72">
        <v>6</v>
      </c>
      <c r="E489" s="66"/>
      <c r="F489" s="171">
        <v>0</v>
      </c>
      <c r="G489" s="163"/>
      <c r="H489" s="171">
        <v>0</v>
      </c>
      <c r="I489" s="163">
        <v>0</v>
      </c>
      <c r="J489" s="163"/>
    </row>
    <row r="490" spans="1:10" ht="12">
      <c r="A490" s="72">
        <v>7</v>
      </c>
      <c r="B490" s="47" t="s">
        <v>253</v>
      </c>
      <c r="D490" s="72">
        <v>7</v>
      </c>
      <c r="E490" s="66"/>
      <c r="F490" s="171">
        <v>0</v>
      </c>
      <c r="G490" s="163"/>
      <c r="H490" s="171">
        <v>0</v>
      </c>
      <c r="I490" s="163">
        <v>0</v>
      </c>
      <c r="J490" s="163"/>
    </row>
    <row r="491" spans="1:10" ht="12">
      <c r="A491" s="72">
        <v>8</v>
      </c>
      <c r="B491" s="47" t="s">
        <v>254</v>
      </c>
      <c r="D491" s="72">
        <v>8</v>
      </c>
      <c r="E491" s="66"/>
      <c r="F491" s="171"/>
      <c r="G491" s="163"/>
      <c r="H491" s="171"/>
      <c r="I491" s="163">
        <v>0</v>
      </c>
      <c r="J491" s="163"/>
    </row>
    <row r="492" spans="1:12" ht="12">
      <c r="A492" s="72">
        <v>9</v>
      </c>
      <c r="B492" s="47" t="s">
        <v>255</v>
      </c>
      <c r="D492" s="72">
        <v>9</v>
      </c>
      <c r="E492" s="66"/>
      <c r="F492" s="171">
        <v>0</v>
      </c>
      <c r="G492" s="163">
        <v>0</v>
      </c>
      <c r="H492" s="171">
        <v>0</v>
      </c>
      <c r="I492" s="163">
        <v>0</v>
      </c>
      <c r="J492" s="163"/>
      <c r="K492" s="209">
        <v>0</v>
      </c>
      <c r="L492" s="163">
        <v>0</v>
      </c>
    </row>
    <row r="493" spans="1:10" ht="12">
      <c r="A493" s="72">
        <v>10</v>
      </c>
      <c r="D493" s="72">
        <v>10</v>
      </c>
      <c r="E493" s="66"/>
      <c r="F493" s="144"/>
      <c r="G493" s="163"/>
      <c r="H493" s="144"/>
      <c r="I493" s="163"/>
      <c r="J493" s="163"/>
    </row>
    <row r="494" spans="1:12" ht="12">
      <c r="A494" s="72">
        <v>11</v>
      </c>
      <c r="B494" s="47" t="s">
        <v>256</v>
      </c>
      <c r="D494" s="72">
        <v>11</v>
      </c>
      <c r="F494" s="173">
        <v>0</v>
      </c>
      <c r="G494" s="159">
        <v>14817</v>
      </c>
      <c r="H494" s="173">
        <v>0</v>
      </c>
      <c r="I494" s="159">
        <v>51374</v>
      </c>
      <c r="J494" s="159"/>
      <c r="K494" s="204">
        <v>0</v>
      </c>
      <c r="L494" s="159">
        <v>0</v>
      </c>
    </row>
    <row r="495" spans="1:10" ht="12">
      <c r="A495" s="72">
        <v>12</v>
      </c>
      <c r="D495" s="72">
        <v>12</v>
      </c>
      <c r="F495" s="173"/>
      <c r="G495" s="159"/>
      <c r="H495" s="173"/>
      <c r="I495" s="159"/>
      <c r="J495" s="159"/>
    </row>
    <row r="496" spans="1:10" ht="12">
      <c r="A496" s="72">
        <v>13</v>
      </c>
      <c r="B496" s="47" t="s">
        <v>271</v>
      </c>
      <c r="D496" s="72">
        <v>13</v>
      </c>
      <c r="E496" s="66"/>
      <c r="F496" s="171"/>
      <c r="G496" s="163"/>
      <c r="H496" s="171"/>
      <c r="I496" s="163">
        <v>0</v>
      </c>
      <c r="J496" s="163"/>
    </row>
    <row r="497" spans="1:10" ht="12">
      <c r="A497" s="72">
        <v>14</v>
      </c>
      <c r="D497" s="72">
        <v>14</v>
      </c>
      <c r="E497" s="66"/>
      <c r="F497" s="171"/>
      <c r="G497" s="163"/>
      <c r="H497" s="171"/>
      <c r="I497" s="163"/>
      <c r="J497" s="163"/>
    </row>
    <row r="498" spans="1:10" ht="12">
      <c r="A498" s="72">
        <v>15</v>
      </c>
      <c r="B498" s="47" t="s">
        <v>258</v>
      </c>
      <c r="D498" s="72">
        <v>15</v>
      </c>
      <c r="E498" s="66"/>
      <c r="F498" s="171"/>
      <c r="G498" s="163">
        <v>-82</v>
      </c>
      <c r="H498" s="171"/>
      <c r="I498" s="163">
        <v>166</v>
      </c>
      <c r="J498" s="163"/>
    </row>
    <row r="499" spans="1:12" ht="12">
      <c r="A499" s="72">
        <v>16</v>
      </c>
      <c r="B499" s="47" t="s">
        <v>259</v>
      </c>
      <c r="D499" s="72">
        <v>16</v>
      </c>
      <c r="E499" s="66"/>
      <c r="F499" s="171"/>
      <c r="G499" s="60">
        <v>52586</v>
      </c>
      <c r="H499" s="171"/>
      <c r="I499" s="60">
        <v>33530</v>
      </c>
      <c r="J499" s="60"/>
      <c r="L499" s="82">
        <v>9241</v>
      </c>
    </row>
    <row r="500" spans="1:10" ht="12">
      <c r="A500" s="72"/>
      <c r="B500" s="47"/>
      <c r="D500" s="72"/>
      <c r="F500" s="171"/>
      <c r="G500" s="163"/>
      <c r="H500" s="171"/>
      <c r="I500" s="163"/>
      <c r="J500" s="163"/>
    </row>
    <row r="501" spans="1:10" ht="12">
      <c r="A501" s="72">
        <v>17</v>
      </c>
      <c r="B501" s="47" t="s">
        <v>278</v>
      </c>
      <c r="D501" s="72">
        <v>17</v>
      </c>
      <c r="F501" s="171"/>
      <c r="G501" s="163"/>
      <c r="H501" s="171"/>
      <c r="I501" s="163">
        <v>0</v>
      </c>
      <c r="J501" s="163"/>
    </row>
    <row r="502" spans="1:10" ht="12">
      <c r="A502" s="72">
        <v>18</v>
      </c>
      <c r="B502" s="47"/>
      <c r="D502" s="72">
        <v>18</v>
      </c>
      <c r="F502" s="171"/>
      <c r="G502" s="158"/>
      <c r="H502" s="171"/>
      <c r="I502" s="158"/>
      <c r="J502" s="158"/>
    </row>
    <row r="503" spans="1:10" ht="12">
      <c r="A503" s="72">
        <v>19</v>
      </c>
      <c r="B503" s="47"/>
      <c r="D503" s="72">
        <v>19</v>
      </c>
      <c r="F503" s="171"/>
      <c r="G503" s="158"/>
      <c r="H503" s="171"/>
      <c r="I503" s="158"/>
      <c r="J503" s="158"/>
    </row>
    <row r="504" spans="1:10" ht="12">
      <c r="A504" s="72">
        <v>20</v>
      </c>
      <c r="B504" s="47"/>
      <c r="D504" s="72">
        <v>20</v>
      </c>
      <c r="F504" s="171"/>
      <c r="G504" s="158"/>
      <c r="H504" s="171"/>
      <c r="I504" s="158"/>
      <c r="J504" s="158"/>
    </row>
    <row r="505" spans="1:10" ht="12">
      <c r="A505" s="72">
        <v>21</v>
      </c>
      <c r="B505" s="47"/>
      <c r="D505" s="72">
        <v>21</v>
      </c>
      <c r="F505" s="171"/>
      <c r="G505" s="158"/>
      <c r="H505" s="171"/>
      <c r="I505" s="158"/>
      <c r="J505" s="158"/>
    </row>
    <row r="506" spans="1:10" ht="12">
      <c r="A506" s="72">
        <v>22</v>
      </c>
      <c r="B506" s="47"/>
      <c r="D506" s="72">
        <v>22</v>
      </c>
      <c r="F506" s="171"/>
      <c r="G506" s="158"/>
      <c r="H506" s="171"/>
      <c r="I506" s="158"/>
      <c r="J506" s="158"/>
    </row>
    <row r="507" spans="1:10" ht="12">
      <c r="A507" s="72">
        <v>23</v>
      </c>
      <c r="B507" s="47"/>
      <c r="D507" s="72">
        <v>23</v>
      </c>
      <c r="F507" s="171"/>
      <c r="G507" s="158"/>
      <c r="H507" s="171"/>
      <c r="I507" s="158"/>
      <c r="J507" s="158"/>
    </row>
    <row r="508" spans="1:10" ht="12">
      <c r="A508" s="72">
        <v>24</v>
      </c>
      <c r="B508" s="47"/>
      <c r="D508" s="72">
        <v>24</v>
      </c>
      <c r="F508" s="171"/>
      <c r="G508" s="158"/>
      <c r="H508" s="171"/>
      <c r="I508" s="158"/>
      <c r="J508" s="158"/>
    </row>
    <row r="509" spans="1:12" ht="12">
      <c r="A509" s="72"/>
      <c r="D509" s="72"/>
      <c r="E509" s="174" t="s">
        <v>467</v>
      </c>
      <c r="F509" s="175"/>
      <c r="G509" s="157"/>
      <c r="H509" s="175"/>
      <c r="I509" s="71" t="s">
        <v>1</v>
      </c>
      <c r="J509" s="71"/>
      <c r="K509" s="193" t="s">
        <v>1</v>
      </c>
      <c r="L509" s="71" t="s">
        <v>1</v>
      </c>
    </row>
    <row r="510" spans="1:12" ht="15.75" customHeight="1">
      <c r="A510" s="72">
        <v>25</v>
      </c>
      <c r="B510" s="47" t="s">
        <v>468</v>
      </c>
      <c r="D510" s="72">
        <v>25</v>
      </c>
      <c r="F510" s="173">
        <v>0</v>
      </c>
      <c r="G510" s="159">
        <v>67321</v>
      </c>
      <c r="H510" s="173">
        <v>0</v>
      </c>
      <c r="I510" s="159">
        <v>85070</v>
      </c>
      <c r="J510" s="159"/>
      <c r="K510" s="194">
        <v>0</v>
      </c>
      <c r="L510" s="159">
        <v>9241</v>
      </c>
    </row>
    <row r="511" spans="4:12" ht="12">
      <c r="D511" s="68"/>
      <c r="E511" s="44" t="s">
        <v>1</v>
      </c>
      <c r="F511" s="95" t="s">
        <v>1</v>
      </c>
      <c r="G511" s="71" t="s">
        <v>1</v>
      </c>
      <c r="H511" s="95" t="s">
        <v>1</v>
      </c>
      <c r="I511" s="71" t="s">
        <v>1</v>
      </c>
      <c r="J511" s="71"/>
      <c r="K511" s="193" t="s">
        <v>1</v>
      </c>
      <c r="L511" s="71" t="s">
        <v>1</v>
      </c>
    </row>
    <row r="512" spans="7:10" ht="12">
      <c r="G512" s="58"/>
      <c r="I512" s="58"/>
      <c r="J512" s="58"/>
    </row>
    <row r="513" spans="1:12" s="93" customFormat="1" ht="12">
      <c r="A513" s="91" t="s">
        <v>528</v>
      </c>
      <c r="D513" s="112"/>
      <c r="F513" s="113"/>
      <c r="G513" s="114"/>
      <c r="H513" s="113"/>
      <c r="J513" s="92"/>
      <c r="K513" s="197"/>
      <c r="L513" s="92" t="s">
        <v>274</v>
      </c>
    </row>
    <row r="514" spans="1:12" s="93" customFormat="1" ht="12">
      <c r="A514" s="472" t="s">
        <v>275</v>
      </c>
      <c r="B514" s="472"/>
      <c r="C514" s="472"/>
      <c r="D514" s="472"/>
      <c r="E514" s="472"/>
      <c r="F514" s="472"/>
      <c r="G514" s="472"/>
      <c r="H514" s="472"/>
      <c r="I514" s="472"/>
      <c r="J514" s="472"/>
      <c r="K514" s="472"/>
      <c r="L514" s="472"/>
    </row>
    <row r="515" spans="1:12" ht="12">
      <c r="A515" s="91" t="s">
        <v>527</v>
      </c>
      <c r="F515" s="161"/>
      <c r="G515" s="148"/>
      <c r="H515" s="84"/>
      <c r="I515" s="94"/>
      <c r="J515" s="94"/>
      <c r="L515" s="94" t="s">
        <v>71</v>
      </c>
    </row>
    <row r="516" spans="1:12" ht="12">
      <c r="A516" s="45" t="s">
        <v>1</v>
      </c>
      <c r="B516" s="45" t="s">
        <v>1</v>
      </c>
      <c r="C516" s="45" t="s">
        <v>1</v>
      </c>
      <c r="D516" s="45" t="s">
        <v>1</v>
      </c>
      <c r="E516" s="45" t="s">
        <v>1</v>
      </c>
      <c r="F516" s="95" t="s">
        <v>1</v>
      </c>
      <c r="G516" s="71" t="s">
        <v>1</v>
      </c>
      <c r="H516" s="95" t="s">
        <v>1</v>
      </c>
      <c r="I516" s="71" t="s">
        <v>1</v>
      </c>
      <c r="J516" s="71"/>
      <c r="K516" s="193" t="s">
        <v>1</v>
      </c>
      <c r="L516" s="71" t="s">
        <v>1</v>
      </c>
    </row>
    <row r="517" spans="1:12" ht="12">
      <c r="A517" s="59" t="s">
        <v>2</v>
      </c>
      <c r="D517" s="59" t="s">
        <v>2</v>
      </c>
      <c r="E517" s="77"/>
      <c r="F517" s="96"/>
      <c r="G517" s="87" t="s">
        <v>62</v>
      </c>
      <c r="H517" s="96"/>
      <c r="I517" s="77" t="s">
        <v>65</v>
      </c>
      <c r="J517" s="87"/>
      <c r="L517" s="77" t="s">
        <v>70</v>
      </c>
    </row>
    <row r="518" spans="1:12" ht="12">
      <c r="A518" s="59" t="s">
        <v>4</v>
      </c>
      <c r="B518" s="80" t="s">
        <v>18</v>
      </c>
      <c r="D518" s="59" t="s">
        <v>4</v>
      </c>
      <c r="E518" s="77"/>
      <c r="F518" s="96" t="s">
        <v>6</v>
      </c>
      <c r="G518" s="87" t="s">
        <v>7</v>
      </c>
      <c r="H518" s="96" t="s">
        <v>6</v>
      </c>
      <c r="I518" s="87" t="s">
        <v>7</v>
      </c>
      <c r="J518" s="87"/>
      <c r="K518" s="192" t="s">
        <v>19</v>
      </c>
      <c r="L518" s="77" t="s">
        <v>8</v>
      </c>
    </row>
    <row r="519" spans="1:12" ht="12">
      <c r="A519" s="45" t="s">
        <v>1</v>
      </c>
      <c r="B519" s="45" t="s">
        <v>1</v>
      </c>
      <c r="C519" s="45" t="s">
        <v>1</v>
      </c>
      <c r="D519" s="45" t="s">
        <v>1</v>
      </c>
      <c r="E519" s="45" t="s">
        <v>1</v>
      </c>
      <c r="F519" s="95" t="s">
        <v>1</v>
      </c>
      <c r="G519" s="71" t="s">
        <v>1</v>
      </c>
      <c r="H519" s="95" t="s">
        <v>1</v>
      </c>
      <c r="I519" s="71" t="s">
        <v>1</v>
      </c>
      <c r="J519" s="71"/>
      <c r="K519" s="193" t="s">
        <v>1</v>
      </c>
      <c r="L519" s="71" t="s">
        <v>1</v>
      </c>
    </row>
    <row r="520" spans="1:12" ht="12">
      <c r="A520" s="72">
        <v>1</v>
      </c>
      <c r="B520" s="47" t="s">
        <v>276</v>
      </c>
      <c r="D520" s="72">
        <v>1</v>
      </c>
      <c r="E520" s="66"/>
      <c r="F520" s="124">
        <v>1.384352008719656</v>
      </c>
      <c r="G520" s="163">
        <v>116849</v>
      </c>
      <c r="H520" s="124">
        <v>1.53720662978189</v>
      </c>
      <c r="I520" s="163">
        <v>129751</v>
      </c>
      <c r="J520" s="163"/>
      <c r="K520" s="192">
        <v>1.08835760067293</v>
      </c>
      <c r="L520" s="155">
        <v>91865</v>
      </c>
    </row>
    <row r="521" spans="1:12" ht="12">
      <c r="A521" s="72">
        <v>2</v>
      </c>
      <c r="B521" s="47" t="s">
        <v>268</v>
      </c>
      <c r="D521" s="72">
        <v>2</v>
      </c>
      <c r="E521" s="66"/>
      <c r="F521" s="205"/>
      <c r="G521" s="125">
        <v>27630</v>
      </c>
      <c r="H521" s="124"/>
      <c r="I521" s="125">
        <v>41998</v>
      </c>
      <c r="J521" s="125"/>
      <c r="L521" s="155">
        <v>27715</v>
      </c>
    </row>
    <row r="522" spans="1:12" ht="12">
      <c r="A522" s="72">
        <v>3</v>
      </c>
      <c r="D522" s="72">
        <v>3</v>
      </c>
      <c r="E522" s="66"/>
      <c r="F522" s="205"/>
      <c r="G522" s="125"/>
      <c r="H522" s="124"/>
      <c r="I522" s="125"/>
      <c r="J522" s="125"/>
      <c r="L522" s="155"/>
    </row>
    <row r="523" spans="1:12" ht="12">
      <c r="A523" s="72">
        <v>4</v>
      </c>
      <c r="B523" s="47" t="s">
        <v>270</v>
      </c>
      <c r="D523" s="72">
        <v>4</v>
      </c>
      <c r="E523" s="66"/>
      <c r="F523" s="205">
        <v>1.384352008719656</v>
      </c>
      <c r="G523" s="125">
        <v>144479</v>
      </c>
      <c r="H523" s="124">
        <v>1.53720662978189</v>
      </c>
      <c r="I523" s="125">
        <v>171749</v>
      </c>
      <c r="J523" s="125"/>
      <c r="K523" s="205">
        <v>1.08835760067293</v>
      </c>
      <c r="L523" s="155">
        <v>119580</v>
      </c>
    </row>
    <row r="524" spans="1:12" ht="12">
      <c r="A524" s="72">
        <v>5</v>
      </c>
      <c r="D524" s="72">
        <v>5</v>
      </c>
      <c r="E524" s="66"/>
      <c r="F524" s="205"/>
      <c r="G524" s="125"/>
      <c r="H524" s="124"/>
      <c r="I524" s="125"/>
      <c r="J524" s="125"/>
      <c r="L524" s="155"/>
    </row>
    <row r="525" spans="1:12" ht="12">
      <c r="A525" s="72">
        <v>6</v>
      </c>
      <c r="D525" s="72">
        <v>6</v>
      </c>
      <c r="E525" s="66"/>
      <c r="F525" s="205"/>
      <c r="G525" s="125"/>
      <c r="H525" s="124"/>
      <c r="I525" s="125"/>
      <c r="J525" s="125"/>
      <c r="L525" s="155"/>
    </row>
    <row r="526" spans="1:12" ht="12">
      <c r="A526" s="72">
        <v>7</v>
      </c>
      <c r="B526" s="47" t="s">
        <v>253</v>
      </c>
      <c r="D526" s="72">
        <v>7</v>
      </c>
      <c r="E526" s="66"/>
      <c r="F526" s="205">
        <v>0</v>
      </c>
      <c r="G526" s="125">
        <v>1122</v>
      </c>
      <c r="H526" s="124">
        <v>0</v>
      </c>
      <c r="I526" s="125">
        <v>6858</v>
      </c>
      <c r="J526" s="125"/>
      <c r="L526" s="155">
        <v>0</v>
      </c>
    </row>
    <row r="527" spans="1:12" ht="12">
      <c r="A527" s="72">
        <v>8</v>
      </c>
      <c r="B527" s="47" t="s">
        <v>254</v>
      </c>
      <c r="D527" s="72">
        <v>8</v>
      </c>
      <c r="E527" s="66"/>
      <c r="F527" s="205"/>
      <c r="G527" s="125">
        <v>164</v>
      </c>
      <c r="H527" s="124"/>
      <c r="I527" s="125">
        <v>1022</v>
      </c>
      <c r="J527" s="125"/>
      <c r="L527" s="155">
        <v>0</v>
      </c>
    </row>
    <row r="528" spans="1:12" ht="12">
      <c r="A528" s="72">
        <v>9</v>
      </c>
      <c r="B528" s="47" t="s">
        <v>255</v>
      </c>
      <c r="D528" s="72">
        <v>9</v>
      </c>
      <c r="E528" s="66"/>
      <c r="F528" s="205">
        <v>0</v>
      </c>
      <c r="G528" s="125">
        <v>1286</v>
      </c>
      <c r="H528" s="124">
        <v>0</v>
      </c>
      <c r="I528" s="125">
        <v>7880</v>
      </c>
      <c r="J528" s="125"/>
      <c r="K528" s="205">
        <v>0</v>
      </c>
      <c r="L528" s="125">
        <v>0</v>
      </c>
    </row>
    <row r="529" spans="1:12" ht="12">
      <c r="A529" s="72">
        <v>10</v>
      </c>
      <c r="D529" s="72">
        <v>10</v>
      </c>
      <c r="E529" s="66"/>
      <c r="F529" s="205"/>
      <c r="G529" s="125"/>
      <c r="H529" s="124"/>
      <c r="I529" s="125"/>
      <c r="J529" s="125"/>
      <c r="L529" s="155"/>
    </row>
    <row r="530" spans="1:12" ht="12">
      <c r="A530" s="72">
        <v>11</v>
      </c>
      <c r="B530" s="47" t="s">
        <v>256</v>
      </c>
      <c r="D530" s="72">
        <v>11</v>
      </c>
      <c r="F530" s="203">
        <v>1.384352008719656</v>
      </c>
      <c r="G530" s="122">
        <v>145765</v>
      </c>
      <c r="H530" s="121">
        <v>1.53720662978189</v>
      </c>
      <c r="I530" s="122">
        <v>179629</v>
      </c>
      <c r="J530" s="122"/>
      <c r="K530" s="203">
        <v>1.08835760067293</v>
      </c>
      <c r="L530" s="122">
        <v>119580</v>
      </c>
    </row>
    <row r="531" spans="1:12" ht="12">
      <c r="A531" s="72">
        <v>12</v>
      </c>
      <c r="D531" s="72">
        <v>12</v>
      </c>
      <c r="F531" s="177"/>
      <c r="G531" s="122"/>
      <c r="H531" s="121"/>
      <c r="I531" s="122"/>
      <c r="J531" s="122"/>
      <c r="L531" s="155"/>
    </row>
    <row r="532" spans="1:12" ht="12">
      <c r="A532" s="72">
        <v>13</v>
      </c>
      <c r="B532" s="47" t="s">
        <v>277</v>
      </c>
      <c r="D532" s="72">
        <v>13</v>
      </c>
      <c r="E532" s="66"/>
      <c r="F532" s="176"/>
      <c r="G532" s="125">
        <v>3350</v>
      </c>
      <c r="H532" s="124"/>
      <c r="I532" s="125">
        <v>23345</v>
      </c>
      <c r="J532" s="125"/>
      <c r="L532" s="155"/>
    </row>
    <row r="533" spans="1:12" ht="12">
      <c r="A533" s="72">
        <v>14</v>
      </c>
      <c r="D533" s="72">
        <v>14</v>
      </c>
      <c r="E533" s="66"/>
      <c r="F533" s="176"/>
      <c r="G533" s="125"/>
      <c r="H533" s="124"/>
      <c r="I533" s="125"/>
      <c r="J533" s="125"/>
      <c r="L533" s="155"/>
    </row>
    <row r="534" spans="1:12" ht="12">
      <c r="A534" s="72">
        <v>15</v>
      </c>
      <c r="B534" s="47" t="s">
        <v>258</v>
      </c>
      <c r="D534" s="72">
        <v>15</v>
      </c>
      <c r="E534" s="66"/>
      <c r="F534" s="176"/>
      <c r="G534" s="125">
        <v>10607</v>
      </c>
      <c r="H534" s="124"/>
      <c r="I534" s="125">
        <v>5664</v>
      </c>
      <c r="J534" s="125"/>
      <c r="L534" s="155">
        <v>11245</v>
      </c>
    </row>
    <row r="535" spans="1:12" ht="12">
      <c r="A535" s="72">
        <v>16</v>
      </c>
      <c r="B535" s="47" t="s">
        <v>259</v>
      </c>
      <c r="D535" s="72">
        <v>16</v>
      </c>
      <c r="E535" s="66"/>
      <c r="F535" s="176"/>
      <c r="G535" s="125">
        <v>40379</v>
      </c>
      <c r="H535" s="124"/>
      <c r="I535" s="125">
        <v>33684</v>
      </c>
      <c r="J535" s="125"/>
      <c r="L535" s="155">
        <v>9305</v>
      </c>
    </row>
    <row r="536" spans="1:12" ht="12">
      <c r="A536" s="72"/>
      <c r="B536" s="47"/>
      <c r="D536" s="72"/>
      <c r="E536" s="66"/>
      <c r="F536" s="176"/>
      <c r="G536" s="125"/>
      <c r="H536" s="124"/>
      <c r="I536" s="125"/>
      <c r="J536" s="125"/>
      <c r="L536" s="155"/>
    </row>
    <row r="537" spans="1:12" ht="12">
      <c r="A537" s="72">
        <v>17</v>
      </c>
      <c r="B537" s="47" t="s">
        <v>278</v>
      </c>
      <c r="D537" s="72">
        <v>17</v>
      </c>
      <c r="E537" s="66"/>
      <c r="F537" s="176"/>
      <c r="G537" s="125"/>
      <c r="H537" s="124"/>
      <c r="I537" s="125">
        <v>0</v>
      </c>
      <c r="J537" s="125"/>
      <c r="L537" s="155"/>
    </row>
    <row r="538" spans="1:12" ht="12">
      <c r="A538" s="72">
        <v>18</v>
      </c>
      <c r="B538" s="47"/>
      <c r="D538" s="72">
        <v>18</v>
      </c>
      <c r="E538" s="66"/>
      <c r="F538" s="176"/>
      <c r="G538" s="125"/>
      <c r="H538" s="124"/>
      <c r="I538" s="125"/>
      <c r="J538" s="125"/>
      <c r="L538" s="155"/>
    </row>
    <row r="539" spans="1:12" ht="12">
      <c r="A539" s="72">
        <v>19</v>
      </c>
      <c r="B539" s="47"/>
      <c r="D539" s="72">
        <v>19</v>
      </c>
      <c r="E539" s="66"/>
      <c r="F539" s="176"/>
      <c r="G539" s="125"/>
      <c r="H539" s="124"/>
      <c r="I539" s="125"/>
      <c r="J539" s="125"/>
      <c r="L539" s="155"/>
    </row>
    <row r="540" spans="1:12" ht="12">
      <c r="A540" s="72">
        <v>20</v>
      </c>
      <c r="B540" s="47"/>
      <c r="D540" s="72">
        <v>20</v>
      </c>
      <c r="E540" s="66"/>
      <c r="F540" s="176"/>
      <c r="G540" s="125"/>
      <c r="H540" s="124"/>
      <c r="I540" s="125"/>
      <c r="J540" s="125"/>
      <c r="L540" s="155"/>
    </row>
    <row r="541" spans="1:12" ht="12">
      <c r="A541" s="72">
        <v>21</v>
      </c>
      <c r="B541" s="47"/>
      <c r="D541" s="72">
        <v>21</v>
      </c>
      <c r="E541" s="66"/>
      <c r="F541" s="176"/>
      <c r="G541" s="125"/>
      <c r="H541" s="124"/>
      <c r="I541" s="125"/>
      <c r="J541" s="125"/>
      <c r="L541" s="155"/>
    </row>
    <row r="542" spans="1:12" ht="12">
      <c r="A542" s="72">
        <v>22</v>
      </c>
      <c r="B542" s="47"/>
      <c r="D542" s="72">
        <v>22</v>
      </c>
      <c r="E542" s="66"/>
      <c r="F542" s="176"/>
      <c r="G542" s="125"/>
      <c r="H542" s="124"/>
      <c r="I542" s="125"/>
      <c r="J542" s="125"/>
      <c r="L542" s="155"/>
    </row>
    <row r="543" spans="1:10" ht="12">
      <c r="A543" s="72">
        <v>23</v>
      </c>
      <c r="B543" s="47"/>
      <c r="D543" s="72">
        <v>23</v>
      </c>
      <c r="E543" s="66"/>
      <c r="F543" s="176"/>
      <c r="G543" s="125"/>
      <c r="H543" s="124"/>
      <c r="I543" s="125"/>
      <c r="J543" s="125"/>
    </row>
    <row r="544" spans="1:10" ht="12">
      <c r="A544" s="72">
        <v>24</v>
      </c>
      <c r="B544" s="47"/>
      <c r="D544" s="72">
        <v>24</v>
      </c>
      <c r="E544" s="66"/>
      <c r="F544" s="176"/>
      <c r="G544" s="125"/>
      <c r="H544" s="124"/>
      <c r="I544" s="125"/>
      <c r="J544" s="125"/>
    </row>
    <row r="545" spans="4:12" ht="12">
      <c r="D545" s="68"/>
      <c r="E545" s="44" t="s">
        <v>1</v>
      </c>
      <c r="F545" s="71" t="s">
        <v>1</v>
      </c>
      <c r="G545" s="71" t="s">
        <v>1</v>
      </c>
      <c r="H545" s="71" t="s">
        <v>1</v>
      </c>
      <c r="I545" s="71" t="s">
        <v>1</v>
      </c>
      <c r="J545" s="71"/>
      <c r="K545" s="193" t="s">
        <v>1</v>
      </c>
      <c r="L545" s="71" t="s">
        <v>1</v>
      </c>
    </row>
    <row r="546" spans="1:12" ht="15.75" customHeight="1">
      <c r="A546" s="72">
        <v>25</v>
      </c>
      <c r="B546" s="47" t="s">
        <v>469</v>
      </c>
      <c r="D546" s="72">
        <v>25</v>
      </c>
      <c r="F546" s="208">
        <v>1.384352008719656</v>
      </c>
      <c r="G546" s="122">
        <v>200101</v>
      </c>
      <c r="H546" s="121">
        <v>1.53720662978189</v>
      </c>
      <c r="I546" s="122">
        <v>242322</v>
      </c>
      <c r="J546" s="122"/>
      <c r="K546" s="203">
        <v>1.08835760067293</v>
      </c>
      <c r="L546" s="122">
        <v>140130</v>
      </c>
    </row>
    <row r="547" spans="1:10" ht="12">
      <c r="A547" s="47"/>
      <c r="G547" s="58"/>
      <c r="I547" s="58"/>
      <c r="J547" s="58"/>
    </row>
    <row r="548" spans="7:10" ht="12">
      <c r="G548" s="58"/>
      <c r="I548" s="58"/>
      <c r="J548" s="58"/>
    </row>
    <row r="549" spans="1:12" s="93" customFormat="1" ht="12">
      <c r="A549" s="91" t="s">
        <v>528</v>
      </c>
      <c r="D549" s="112"/>
      <c r="F549" s="113"/>
      <c r="G549" s="114"/>
      <c r="H549" s="113"/>
      <c r="J549" s="92"/>
      <c r="K549" s="197"/>
      <c r="L549" s="92" t="s">
        <v>281</v>
      </c>
    </row>
    <row r="550" spans="1:12" s="93" customFormat="1" ht="12">
      <c r="A550" s="472" t="s">
        <v>282</v>
      </c>
      <c r="B550" s="472"/>
      <c r="C550" s="472"/>
      <c r="D550" s="472"/>
      <c r="E550" s="472"/>
      <c r="F550" s="472"/>
      <c r="G550" s="472"/>
      <c r="H550" s="472"/>
      <c r="I550" s="472"/>
      <c r="J550" s="472"/>
      <c r="K550" s="472"/>
      <c r="L550" s="472"/>
    </row>
    <row r="551" spans="1:12" ht="12">
      <c r="A551" s="91" t="s">
        <v>527</v>
      </c>
      <c r="F551" s="161"/>
      <c r="G551" s="148"/>
      <c r="H551" s="84"/>
      <c r="J551" s="94"/>
      <c r="L551" s="94" t="s">
        <v>71</v>
      </c>
    </row>
    <row r="552" spans="1:12" ht="12">
      <c r="A552" s="45" t="s">
        <v>1</v>
      </c>
      <c r="B552" s="45" t="s">
        <v>1</v>
      </c>
      <c r="C552" s="45" t="s">
        <v>1</v>
      </c>
      <c r="D552" s="45" t="s">
        <v>1</v>
      </c>
      <c r="E552" s="45" t="s">
        <v>1</v>
      </c>
      <c r="F552" s="95" t="s">
        <v>1</v>
      </c>
      <c r="G552" s="71" t="s">
        <v>1</v>
      </c>
      <c r="H552" s="95" t="s">
        <v>1</v>
      </c>
      <c r="I552" s="71" t="s">
        <v>1</v>
      </c>
      <c r="J552" s="71"/>
      <c r="K552" s="193" t="s">
        <v>1</v>
      </c>
      <c r="L552" s="71" t="s">
        <v>1</v>
      </c>
    </row>
    <row r="553" spans="1:12" ht="12">
      <c r="A553" s="59" t="s">
        <v>2</v>
      </c>
      <c r="D553" s="59" t="s">
        <v>2</v>
      </c>
      <c r="E553" s="77"/>
      <c r="F553" s="96"/>
      <c r="G553" s="87" t="s">
        <v>62</v>
      </c>
      <c r="H553" s="96"/>
      <c r="I553" s="77" t="s">
        <v>65</v>
      </c>
      <c r="J553" s="87"/>
      <c r="L553" s="77" t="s">
        <v>70</v>
      </c>
    </row>
    <row r="554" spans="1:12" ht="12">
      <c r="A554" s="59" t="s">
        <v>4</v>
      </c>
      <c r="B554" s="80" t="s">
        <v>18</v>
      </c>
      <c r="D554" s="59" t="s">
        <v>4</v>
      </c>
      <c r="E554" s="77"/>
      <c r="F554" s="96" t="s">
        <v>6</v>
      </c>
      <c r="G554" s="87" t="s">
        <v>7</v>
      </c>
      <c r="H554" s="96" t="s">
        <v>6</v>
      </c>
      <c r="I554" s="87" t="s">
        <v>7</v>
      </c>
      <c r="J554" s="87"/>
      <c r="K554" s="201" t="s">
        <v>19</v>
      </c>
      <c r="L554" s="77" t="s">
        <v>8</v>
      </c>
    </row>
    <row r="555" spans="1:12" ht="12">
      <c r="A555" s="45" t="s">
        <v>1</v>
      </c>
      <c r="B555" s="45" t="s">
        <v>1</v>
      </c>
      <c r="C555" s="45" t="s">
        <v>1</v>
      </c>
      <c r="D555" s="45" t="s">
        <v>1</v>
      </c>
      <c r="E555" s="45" t="s">
        <v>1</v>
      </c>
      <c r="F555" s="95" t="s">
        <v>1</v>
      </c>
      <c r="G555" s="71" t="s">
        <v>1</v>
      </c>
      <c r="H555" s="178" t="s">
        <v>1</v>
      </c>
      <c r="I555" s="71" t="s">
        <v>1</v>
      </c>
      <c r="J555" s="71"/>
      <c r="K555" s="193" t="s">
        <v>1</v>
      </c>
      <c r="L555" s="71" t="s">
        <v>1</v>
      </c>
    </row>
    <row r="556" spans="1:12" ht="12">
      <c r="A556" s="72">
        <v>1</v>
      </c>
      <c r="B556" s="47" t="s">
        <v>276</v>
      </c>
      <c r="D556" s="72">
        <v>1</v>
      </c>
      <c r="E556" s="66"/>
      <c r="F556" s="179">
        <v>118.02517788724685</v>
      </c>
      <c r="G556" s="163">
        <v>9919072</v>
      </c>
      <c r="H556" s="179">
        <v>126.04056305180742</v>
      </c>
      <c r="I556" s="163">
        <v>10592701</v>
      </c>
      <c r="J556" s="163"/>
      <c r="K556" s="192">
        <v>128.0631826943671</v>
      </c>
      <c r="L556" s="155">
        <v>10762686</v>
      </c>
    </row>
    <row r="557" spans="1:12" ht="12">
      <c r="A557" s="72">
        <v>2</v>
      </c>
      <c r="B557" s="47" t="s">
        <v>268</v>
      </c>
      <c r="D557" s="72">
        <v>2</v>
      </c>
      <c r="E557" s="66"/>
      <c r="F557" s="179"/>
      <c r="G557" s="163">
        <v>2567865</v>
      </c>
      <c r="H557" s="179"/>
      <c r="I557" s="163">
        <v>2738080</v>
      </c>
      <c r="J557" s="163"/>
      <c r="L557" s="155">
        <v>2989372</v>
      </c>
    </row>
    <row r="558" spans="1:12" ht="12">
      <c r="A558" s="72">
        <v>3</v>
      </c>
      <c r="D558" s="72">
        <v>3</v>
      </c>
      <c r="E558" s="66"/>
      <c r="F558" s="179"/>
      <c r="G558" s="163"/>
      <c r="H558" s="179"/>
      <c r="I558" s="163"/>
      <c r="J558" s="163"/>
      <c r="L558" s="155"/>
    </row>
    <row r="559" spans="1:12" ht="12">
      <c r="A559" s="72">
        <v>4</v>
      </c>
      <c r="B559" s="47" t="s">
        <v>270</v>
      </c>
      <c r="D559" s="72">
        <v>4</v>
      </c>
      <c r="E559" s="66"/>
      <c r="F559" s="179">
        <v>118.02517788724685</v>
      </c>
      <c r="G559" s="163">
        <v>12486937</v>
      </c>
      <c r="H559" s="179">
        <v>126.04056305180742</v>
      </c>
      <c r="I559" s="163">
        <v>13330781</v>
      </c>
      <c r="J559" s="163"/>
      <c r="K559" s="205">
        <v>128.0631826943671</v>
      </c>
      <c r="L559" s="155">
        <v>13752058</v>
      </c>
    </row>
    <row r="560" spans="1:12" ht="12">
      <c r="A560" s="72">
        <v>5</v>
      </c>
      <c r="D560" s="72">
        <v>5</v>
      </c>
      <c r="E560" s="66"/>
      <c r="F560" s="179"/>
      <c r="G560" s="163"/>
      <c r="H560" s="179"/>
      <c r="I560" s="163"/>
      <c r="J560" s="163"/>
      <c r="L560" s="155"/>
    </row>
    <row r="561" spans="1:12" ht="12">
      <c r="A561" s="72">
        <v>6</v>
      </c>
      <c r="D561" s="72">
        <v>6</v>
      </c>
      <c r="E561" s="66"/>
      <c r="F561" s="179"/>
      <c r="G561" s="163"/>
      <c r="H561" s="179"/>
      <c r="I561" s="163"/>
      <c r="J561" s="163"/>
      <c r="L561" s="155"/>
    </row>
    <row r="562" spans="1:12" ht="12">
      <c r="A562" s="72">
        <v>7</v>
      </c>
      <c r="B562" s="47" t="s">
        <v>253</v>
      </c>
      <c r="D562" s="72">
        <v>7</v>
      </c>
      <c r="E562" s="66"/>
      <c r="F562" s="179">
        <v>83.58078651434192</v>
      </c>
      <c r="G562" s="163">
        <v>3738485</v>
      </c>
      <c r="H562" s="179">
        <v>70.47260166782178</v>
      </c>
      <c r="I562" s="163">
        <v>3152169</v>
      </c>
      <c r="J562" s="163"/>
      <c r="K562" s="192">
        <v>79.02358648751371</v>
      </c>
      <c r="L562" s="155">
        <v>3534646</v>
      </c>
    </row>
    <row r="563" spans="1:12" ht="12">
      <c r="A563" s="72">
        <v>8</v>
      </c>
      <c r="B563" s="47" t="s">
        <v>254</v>
      </c>
      <c r="D563" s="72">
        <v>8</v>
      </c>
      <c r="E563" s="66"/>
      <c r="F563" s="179"/>
      <c r="G563" s="163">
        <v>958652</v>
      </c>
      <c r="H563" s="179"/>
      <c r="I563" s="163">
        <v>851449</v>
      </c>
      <c r="J563" s="163"/>
      <c r="L563" s="155">
        <v>1029561</v>
      </c>
    </row>
    <row r="564" spans="1:12" ht="12">
      <c r="A564" s="72">
        <v>9</v>
      </c>
      <c r="B564" s="47" t="s">
        <v>255</v>
      </c>
      <c r="D564" s="72">
        <v>9</v>
      </c>
      <c r="E564" s="66"/>
      <c r="F564" s="179">
        <v>83.58078651434192</v>
      </c>
      <c r="G564" s="163">
        <v>4697137</v>
      </c>
      <c r="H564" s="179">
        <v>70.47260166782178</v>
      </c>
      <c r="I564" s="163">
        <v>4003618</v>
      </c>
      <c r="J564" s="163"/>
      <c r="K564" s="205">
        <v>79.02358648751371</v>
      </c>
      <c r="L564" s="155">
        <v>4564207</v>
      </c>
    </row>
    <row r="565" spans="1:12" ht="12">
      <c r="A565" s="72">
        <v>10</v>
      </c>
      <c r="D565" s="72">
        <v>10</v>
      </c>
      <c r="E565" s="66"/>
      <c r="F565" s="179"/>
      <c r="G565" s="163"/>
      <c r="H565" s="179"/>
      <c r="I565" s="163"/>
      <c r="J565" s="163"/>
      <c r="L565" s="155"/>
    </row>
    <row r="566" spans="1:12" ht="12">
      <c r="A566" s="72">
        <v>11</v>
      </c>
      <c r="B566" s="47" t="s">
        <v>256</v>
      </c>
      <c r="D566" s="72">
        <v>11</v>
      </c>
      <c r="F566" s="180">
        <v>201.60596440158878</v>
      </c>
      <c r="G566" s="159">
        <v>17184074</v>
      </c>
      <c r="H566" s="180">
        <v>196.5131647196292</v>
      </c>
      <c r="I566" s="159">
        <v>17334399</v>
      </c>
      <c r="J566" s="159"/>
      <c r="K566" s="203">
        <v>207.0867691818808</v>
      </c>
      <c r="L566" s="159">
        <v>18316265</v>
      </c>
    </row>
    <row r="567" spans="1:12" ht="12">
      <c r="A567" s="72">
        <v>12</v>
      </c>
      <c r="D567" s="72">
        <v>12</v>
      </c>
      <c r="F567" s="180"/>
      <c r="G567" s="159"/>
      <c r="H567" s="180"/>
      <c r="I567" s="159"/>
      <c r="J567" s="159"/>
      <c r="L567" s="155"/>
    </row>
    <row r="568" spans="1:12" ht="12">
      <c r="A568" s="72">
        <v>13</v>
      </c>
      <c r="B568" s="47" t="s">
        <v>277</v>
      </c>
      <c r="D568" s="72">
        <v>13</v>
      </c>
      <c r="E568" s="66"/>
      <c r="F568" s="179"/>
      <c r="G568" s="163">
        <v>696291</v>
      </c>
      <c r="H568" s="179"/>
      <c r="I568" s="163">
        <v>720925</v>
      </c>
      <c r="J568" s="163"/>
      <c r="L568" s="155">
        <v>365807</v>
      </c>
    </row>
    <row r="569" spans="1:12" ht="12">
      <c r="A569" s="72">
        <v>14</v>
      </c>
      <c r="D569" s="72">
        <v>14</v>
      </c>
      <c r="E569" s="66"/>
      <c r="F569" s="179"/>
      <c r="G569" s="163"/>
      <c r="H569" s="179"/>
      <c r="I569" s="163"/>
      <c r="J569" s="163"/>
      <c r="L569" s="155"/>
    </row>
    <row r="570" spans="1:12" ht="12">
      <c r="A570" s="72">
        <v>15</v>
      </c>
      <c r="B570" s="47" t="s">
        <v>258</v>
      </c>
      <c r="D570" s="72">
        <v>15</v>
      </c>
      <c r="E570" s="66"/>
      <c r="F570" s="179"/>
      <c r="G570" s="163">
        <v>317288</v>
      </c>
      <c r="H570" s="179"/>
      <c r="I570" s="163">
        <v>265060</v>
      </c>
      <c r="J570" s="163"/>
      <c r="L570" s="155">
        <v>41044</v>
      </c>
    </row>
    <row r="571" spans="1:12" ht="12">
      <c r="A571" s="72">
        <v>16</v>
      </c>
      <c r="B571" s="47" t="s">
        <v>259</v>
      </c>
      <c r="D571" s="72">
        <v>16</v>
      </c>
      <c r="E571" s="66"/>
      <c r="F571" s="179"/>
      <c r="G571" s="163">
        <v>3694614</v>
      </c>
      <c r="H571" s="179"/>
      <c r="I571" s="163">
        <v>3411729</v>
      </c>
      <c r="J571" s="163"/>
      <c r="L571" s="155">
        <v>3007318</v>
      </c>
    </row>
    <row r="572" spans="1:12" ht="12">
      <c r="A572" s="72"/>
      <c r="B572" s="47"/>
      <c r="D572" s="72"/>
      <c r="E572" s="66"/>
      <c r="F572" s="179"/>
      <c r="G572" s="163"/>
      <c r="H572" s="179"/>
      <c r="I572" s="163"/>
      <c r="J572" s="163"/>
      <c r="L572" s="155"/>
    </row>
    <row r="573" spans="1:12" ht="12">
      <c r="A573" s="72">
        <v>17</v>
      </c>
      <c r="B573" s="47" t="s">
        <v>278</v>
      </c>
      <c r="D573" s="72">
        <v>17</v>
      </c>
      <c r="E573" s="66"/>
      <c r="F573" s="179"/>
      <c r="G573" s="163"/>
      <c r="H573" s="179"/>
      <c r="I573" s="163">
        <v>0</v>
      </c>
      <c r="J573" s="163"/>
      <c r="L573" s="155">
        <v>0</v>
      </c>
    </row>
    <row r="574" spans="1:12" ht="12">
      <c r="A574" s="72">
        <v>18</v>
      </c>
      <c r="B574" s="47" t="s">
        <v>470</v>
      </c>
      <c r="D574" s="72">
        <v>18</v>
      </c>
      <c r="E574" s="66"/>
      <c r="F574" s="179"/>
      <c r="G574" s="163">
        <v>840045</v>
      </c>
      <c r="H574" s="179"/>
      <c r="I574" s="163">
        <v>674134</v>
      </c>
      <c r="J574" s="163"/>
      <c r="L574" s="155">
        <v>957292</v>
      </c>
    </row>
    <row r="575" spans="1:12" ht="12">
      <c r="A575" s="72">
        <v>19</v>
      </c>
      <c r="B575" s="47" t="s">
        <v>284</v>
      </c>
      <c r="D575" s="72">
        <v>19</v>
      </c>
      <c r="E575" s="66"/>
      <c r="F575" s="179"/>
      <c r="G575" s="163">
        <v>485357</v>
      </c>
      <c r="H575" s="179"/>
      <c r="I575" s="163">
        <v>436821</v>
      </c>
      <c r="J575" s="163"/>
      <c r="L575" s="155">
        <v>448567</v>
      </c>
    </row>
    <row r="576" spans="1:12" ht="12">
      <c r="A576" s="72">
        <v>20</v>
      </c>
      <c r="B576" s="47" t="s">
        <v>285</v>
      </c>
      <c r="D576" s="72">
        <v>20</v>
      </c>
      <c r="E576" s="66"/>
      <c r="F576" s="179"/>
      <c r="G576" s="163">
        <v>-4419968</v>
      </c>
      <c r="H576" s="179"/>
      <c r="I576" s="163">
        <v>-4195310</v>
      </c>
      <c r="J576" s="163"/>
      <c r="L576" s="155">
        <v>-4375010</v>
      </c>
    </row>
    <row r="577" spans="1:12" ht="12">
      <c r="A577" s="72">
        <v>21</v>
      </c>
      <c r="B577" s="47"/>
      <c r="D577" s="72">
        <v>21</v>
      </c>
      <c r="E577" s="66"/>
      <c r="F577" s="179"/>
      <c r="G577" s="163"/>
      <c r="H577" s="179"/>
      <c r="I577" s="163"/>
      <c r="J577" s="163"/>
      <c r="L577" s="155"/>
    </row>
    <row r="578" spans="1:10" ht="12">
      <c r="A578" s="72">
        <v>22</v>
      </c>
      <c r="B578" s="47"/>
      <c r="D578" s="72">
        <v>22</v>
      </c>
      <c r="E578" s="66"/>
      <c r="F578" s="179"/>
      <c r="G578" s="163"/>
      <c r="H578" s="179"/>
      <c r="I578" s="163"/>
      <c r="J578" s="163"/>
    </row>
    <row r="579" spans="1:10" ht="12">
      <c r="A579" s="72">
        <v>23</v>
      </c>
      <c r="B579" s="47"/>
      <c r="D579" s="72">
        <v>23</v>
      </c>
      <c r="E579" s="66"/>
      <c r="F579" s="179"/>
      <c r="G579" s="163"/>
      <c r="H579" s="179"/>
      <c r="I579" s="163"/>
      <c r="J579" s="163"/>
    </row>
    <row r="580" spans="1:10" ht="12">
      <c r="A580" s="72">
        <v>24</v>
      </c>
      <c r="B580" s="47"/>
      <c r="D580" s="72">
        <v>24</v>
      </c>
      <c r="E580" s="66"/>
      <c r="F580" s="179"/>
      <c r="G580" s="163"/>
      <c r="H580" s="179"/>
      <c r="I580" s="163"/>
      <c r="J580" s="163"/>
    </row>
    <row r="581" spans="4:12" ht="12">
      <c r="D581" s="68"/>
      <c r="E581" s="44" t="s">
        <v>1</v>
      </c>
      <c r="F581" s="178" t="s">
        <v>1</v>
      </c>
      <c r="G581" s="71" t="s">
        <v>1</v>
      </c>
      <c r="H581" s="178" t="s">
        <v>1</v>
      </c>
      <c r="I581" s="71" t="s">
        <v>1</v>
      </c>
      <c r="J581" s="71"/>
      <c r="K581" s="193" t="s">
        <v>1</v>
      </c>
      <c r="L581" s="71" t="s">
        <v>1</v>
      </c>
    </row>
    <row r="582" spans="1:12" ht="15.75" customHeight="1">
      <c r="A582" s="72">
        <v>25</v>
      </c>
      <c r="B582" s="47" t="s">
        <v>471</v>
      </c>
      <c r="D582" s="72">
        <v>25</v>
      </c>
      <c r="F582" s="173">
        <v>201.60596440158878</v>
      </c>
      <c r="G582" s="159">
        <v>18797701</v>
      </c>
      <c r="H582" s="173">
        <v>196.5131647196292</v>
      </c>
      <c r="I582" s="159">
        <v>18647758</v>
      </c>
      <c r="J582" s="159"/>
      <c r="K582" s="194">
        <v>207.0867691818808</v>
      </c>
      <c r="L582" s="159">
        <v>18761283</v>
      </c>
    </row>
    <row r="583" spans="4:12" ht="12">
      <c r="D583" s="68"/>
      <c r="E583" s="44" t="s">
        <v>1</v>
      </c>
      <c r="F583" s="95"/>
      <c r="G583" s="71"/>
      <c r="H583" s="95"/>
      <c r="I583" s="71"/>
      <c r="J583" s="71"/>
      <c r="K583" s="193" t="s">
        <v>1</v>
      </c>
      <c r="L583" s="71" t="s">
        <v>1</v>
      </c>
    </row>
    <row r="585" spans="1:12" s="93" customFormat="1" ht="12">
      <c r="A585" s="91" t="s">
        <v>528</v>
      </c>
      <c r="D585" s="112"/>
      <c r="F585" s="113"/>
      <c r="G585" s="114"/>
      <c r="H585" s="113"/>
      <c r="J585" s="92"/>
      <c r="K585" s="197"/>
      <c r="L585" s="92" t="s">
        <v>287</v>
      </c>
    </row>
    <row r="586" spans="1:12" s="93" customFormat="1" ht="12">
      <c r="A586" s="472" t="s">
        <v>288</v>
      </c>
      <c r="B586" s="472"/>
      <c r="C586" s="472"/>
      <c r="D586" s="472"/>
      <c r="E586" s="472"/>
      <c r="F586" s="472"/>
      <c r="G586" s="472"/>
      <c r="H586" s="472"/>
      <c r="I586" s="472"/>
      <c r="J586" s="472"/>
      <c r="K586" s="472"/>
      <c r="L586" s="472"/>
    </row>
    <row r="587" spans="1:12" ht="12">
      <c r="A587" s="91" t="s">
        <v>527</v>
      </c>
      <c r="F587" s="161"/>
      <c r="G587" s="148"/>
      <c r="H587" s="84"/>
      <c r="J587" s="94"/>
      <c r="L587" s="94" t="s">
        <v>71</v>
      </c>
    </row>
    <row r="588" spans="1:12" ht="12">
      <c r="A588" s="45" t="s">
        <v>1</v>
      </c>
      <c r="B588" s="45" t="s">
        <v>1</v>
      </c>
      <c r="C588" s="45" t="s">
        <v>1</v>
      </c>
      <c r="D588" s="45" t="s">
        <v>1</v>
      </c>
      <c r="E588" s="45" t="s">
        <v>1</v>
      </c>
      <c r="F588" s="95" t="s">
        <v>1</v>
      </c>
      <c r="G588" s="71" t="s">
        <v>1</v>
      </c>
      <c r="H588" s="95" t="s">
        <v>1</v>
      </c>
      <c r="I588" s="71" t="s">
        <v>1</v>
      </c>
      <c r="J588" s="71"/>
      <c r="K588" s="193" t="s">
        <v>1</v>
      </c>
      <c r="L588" s="71" t="s">
        <v>1</v>
      </c>
    </row>
    <row r="589" spans="1:12" ht="12">
      <c r="A589" s="59" t="s">
        <v>2</v>
      </c>
      <c r="D589" s="59" t="s">
        <v>2</v>
      </c>
      <c r="E589" s="77"/>
      <c r="F589" s="96"/>
      <c r="G589" s="87" t="s">
        <v>62</v>
      </c>
      <c r="H589" s="96"/>
      <c r="I589" s="77" t="s">
        <v>65</v>
      </c>
      <c r="J589" s="87"/>
      <c r="L589" s="77" t="s">
        <v>70</v>
      </c>
    </row>
    <row r="590" spans="1:12" ht="12">
      <c r="A590" s="59" t="s">
        <v>4</v>
      </c>
      <c r="B590" s="80" t="s">
        <v>18</v>
      </c>
      <c r="D590" s="59" t="s">
        <v>4</v>
      </c>
      <c r="E590" s="77"/>
      <c r="F590" s="96" t="s">
        <v>6</v>
      </c>
      <c r="G590" s="87" t="s">
        <v>7</v>
      </c>
      <c r="H590" s="96" t="s">
        <v>6</v>
      </c>
      <c r="I590" s="87" t="s">
        <v>7</v>
      </c>
      <c r="J590" s="87"/>
      <c r="K590" s="201" t="s">
        <v>19</v>
      </c>
      <c r="L590" s="77" t="s">
        <v>8</v>
      </c>
    </row>
    <row r="591" spans="1:12" ht="12">
      <c r="A591" s="45" t="s">
        <v>1</v>
      </c>
      <c r="B591" s="45" t="s">
        <v>1</v>
      </c>
      <c r="C591" s="45" t="s">
        <v>1</v>
      </c>
      <c r="D591" s="45" t="s">
        <v>1</v>
      </c>
      <c r="E591" s="45" t="s">
        <v>1</v>
      </c>
      <c r="F591" s="95" t="s">
        <v>1</v>
      </c>
      <c r="G591" s="71" t="s">
        <v>1</v>
      </c>
      <c r="H591" s="95" t="s">
        <v>1</v>
      </c>
      <c r="I591" s="71" t="s">
        <v>1</v>
      </c>
      <c r="J591" s="71"/>
      <c r="K591" s="193" t="s">
        <v>1</v>
      </c>
      <c r="L591" s="71" t="s">
        <v>1</v>
      </c>
    </row>
    <row r="592" spans="1:12" ht="12">
      <c r="A592" s="72">
        <v>1</v>
      </c>
      <c r="B592" s="47" t="s">
        <v>276</v>
      </c>
      <c r="D592" s="72">
        <v>1</v>
      </c>
      <c r="E592" s="66"/>
      <c r="F592" s="124">
        <v>33.797875655390115</v>
      </c>
      <c r="G592" s="163">
        <v>2494655</v>
      </c>
      <c r="H592" s="124">
        <v>38.68468114508678</v>
      </c>
      <c r="I592" s="163">
        <v>2855355</v>
      </c>
      <c r="J592" s="163"/>
      <c r="K592" s="192">
        <v>39.58577989730528</v>
      </c>
      <c r="L592" s="155">
        <v>2921866</v>
      </c>
    </row>
    <row r="593" spans="1:12" ht="12">
      <c r="A593" s="72">
        <v>2</v>
      </c>
      <c r="B593" s="47" t="s">
        <v>268</v>
      </c>
      <c r="D593" s="72">
        <v>2</v>
      </c>
      <c r="E593" s="66"/>
      <c r="F593" s="124"/>
      <c r="G593" s="125">
        <v>628560</v>
      </c>
      <c r="H593" s="124"/>
      <c r="I593" s="125">
        <v>734289</v>
      </c>
      <c r="J593" s="125"/>
      <c r="L593" s="155">
        <v>819352</v>
      </c>
    </row>
    <row r="594" spans="1:12" ht="12">
      <c r="A594" s="72">
        <v>3</v>
      </c>
      <c r="D594" s="72">
        <v>3</v>
      </c>
      <c r="E594" s="66"/>
      <c r="F594" s="124"/>
      <c r="G594" s="125"/>
      <c r="H594" s="124"/>
      <c r="I594" s="125"/>
      <c r="J594" s="125"/>
      <c r="L594" s="155"/>
    </row>
    <row r="595" spans="1:12" ht="12">
      <c r="A595" s="72">
        <v>4</v>
      </c>
      <c r="B595" s="47" t="s">
        <v>270</v>
      </c>
      <c r="D595" s="72">
        <v>4</v>
      </c>
      <c r="E595" s="66"/>
      <c r="F595" s="124">
        <v>33.797875655390115</v>
      </c>
      <c r="G595" s="125">
        <v>3123215</v>
      </c>
      <c r="H595" s="124">
        <v>38.68468114508678</v>
      </c>
      <c r="I595" s="125">
        <v>3589644</v>
      </c>
      <c r="J595" s="125"/>
      <c r="K595" s="205">
        <v>39.58577989730528</v>
      </c>
      <c r="L595" s="155">
        <v>3741218</v>
      </c>
    </row>
    <row r="596" spans="1:12" ht="12">
      <c r="A596" s="72">
        <v>5</v>
      </c>
      <c r="D596" s="72">
        <v>5</v>
      </c>
      <c r="E596" s="66"/>
      <c r="F596" s="124"/>
      <c r="G596" s="125"/>
      <c r="H596" s="124"/>
      <c r="I596" s="125"/>
      <c r="J596" s="125"/>
      <c r="L596" s="155"/>
    </row>
    <row r="597" spans="1:12" ht="12">
      <c r="A597" s="72">
        <v>6</v>
      </c>
      <c r="D597" s="72">
        <v>6</v>
      </c>
      <c r="E597" s="66"/>
      <c r="F597" s="124"/>
      <c r="G597" s="125"/>
      <c r="H597" s="124"/>
      <c r="I597" s="125"/>
      <c r="J597" s="125"/>
      <c r="L597" s="155"/>
    </row>
    <row r="598" spans="1:12" ht="12">
      <c r="A598" s="72">
        <v>7</v>
      </c>
      <c r="B598" s="47" t="s">
        <v>253</v>
      </c>
      <c r="D598" s="72">
        <v>7</v>
      </c>
      <c r="E598" s="66"/>
      <c r="F598" s="124">
        <v>42.21482011328707</v>
      </c>
      <c r="G598" s="163">
        <v>2183646</v>
      </c>
      <c r="H598" s="124">
        <v>37.32719856167959</v>
      </c>
      <c r="I598" s="163">
        <v>1930824</v>
      </c>
      <c r="J598" s="163"/>
      <c r="K598" s="192">
        <v>32.10468420747385</v>
      </c>
      <c r="L598" s="155">
        <v>1660679</v>
      </c>
    </row>
    <row r="599" spans="1:12" ht="12">
      <c r="A599" s="72">
        <v>8</v>
      </c>
      <c r="B599" s="47" t="s">
        <v>254</v>
      </c>
      <c r="D599" s="72">
        <v>8</v>
      </c>
      <c r="E599" s="66"/>
      <c r="F599" s="124"/>
      <c r="G599" s="125">
        <v>549730</v>
      </c>
      <c r="H599" s="124"/>
      <c r="I599" s="125">
        <v>533202</v>
      </c>
      <c r="J599" s="125"/>
      <c r="L599" s="155">
        <v>472189</v>
      </c>
    </row>
    <row r="600" spans="1:12" ht="12">
      <c r="A600" s="72">
        <v>9</v>
      </c>
      <c r="B600" s="47" t="s">
        <v>255</v>
      </c>
      <c r="D600" s="72">
        <v>9</v>
      </c>
      <c r="E600" s="66"/>
      <c r="F600" s="124">
        <v>42.21482011328707</v>
      </c>
      <c r="G600" s="125">
        <v>2733376</v>
      </c>
      <c r="H600" s="124">
        <v>37.32719856167959</v>
      </c>
      <c r="I600" s="125">
        <v>2464026</v>
      </c>
      <c r="J600" s="125"/>
      <c r="K600" s="205">
        <v>32.10468420747385</v>
      </c>
      <c r="L600" s="155">
        <v>2132868</v>
      </c>
    </row>
    <row r="601" spans="1:12" ht="12">
      <c r="A601" s="72">
        <v>10</v>
      </c>
      <c r="D601" s="72">
        <v>10</v>
      </c>
      <c r="E601" s="66"/>
      <c r="F601" s="124"/>
      <c r="G601" s="125"/>
      <c r="H601" s="124"/>
      <c r="I601" s="125"/>
      <c r="J601" s="125"/>
      <c r="L601" s="155"/>
    </row>
    <row r="602" spans="1:12" ht="12">
      <c r="A602" s="72">
        <v>11</v>
      </c>
      <c r="B602" s="47" t="s">
        <v>256</v>
      </c>
      <c r="D602" s="72">
        <v>11</v>
      </c>
      <c r="F602" s="121">
        <v>76.01269576867719</v>
      </c>
      <c r="G602" s="122">
        <v>5856591</v>
      </c>
      <c r="H602" s="121">
        <v>76.01187970676636</v>
      </c>
      <c r="I602" s="122">
        <v>6053670</v>
      </c>
      <c r="J602" s="122"/>
      <c r="K602" s="203">
        <v>71.69046410477912</v>
      </c>
      <c r="L602" s="122">
        <v>5874086</v>
      </c>
    </row>
    <row r="603" spans="1:12" ht="12">
      <c r="A603" s="72">
        <v>12</v>
      </c>
      <c r="D603" s="72">
        <v>12</v>
      </c>
      <c r="F603" s="121"/>
      <c r="G603" s="122"/>
      <c r="H603" s="121"/>
      <c r="I603" s="122"/>
      <c r="J603" s="122"/>
      <c r="L603" s="155"/>
    </row>
    <row r="604" spans="1:12" ht="12">
      <c r="A604" s="72">
        <v>13</v>
      </c>
      <c r="B604" s="47" t="s">
        <v>277</v>
      </c>
      <c r="D604" s="72">
        <v>13</v>
      </c>
      <c r="E604" s="66"/>
      <c r="F604" s="124"/>
      <c r="G604" s="125">
        <v>184478</v>
      </c>
      <c r="H604" s="124"/>
      <c r="I604" s="125">
        <v>216313</v>
      </c>
      <c r="J604" s="125"/>
      <c r="L604" s="155">
        <v>142810</v>
      </c>
    </row>
    <row r="605" spans="1:12" ht="12">
      <c r="A605" s="72">
        <v>14</v>
      </c>
      <c r="D605" s="72">
        <v>14</v>
      </c>
      <c r="E605" s="66"/>
      <c r="F605" s="124"/>
      <c r="G605" s="125"/>
      <c r="H605" s="124"/>
      <c r="I605" s="125"/>
      <c r="J605" s="125"/>
      <c r="L605" s="155"/>
    </row>
    <row r="606" spans="1:12" ht="12">
      <c r="A606" s="72">
        <v>15</v>
      </c>
      <c r="B606" s="47" t="s">
        <v>258</v>
      </c>
      <c r="D606" s="72">
        <v>15</v>
      </c>
      <c r="E606" s="66"/>
      <c r="F606" s="124"/>
      <c r="G606" s="125">
        <v>109349</v>
      </c>
      <c r="H606" s="124"/>
      <c r="I606" s="125">
        <v>119331</v>
      </c>
      <c r="J606" s="125"/>
      <c r="L606" s="155">
        <v>1000</v>
      </c>
    </row>
    <row r="607" spans="1:12" ht="12">
      <c r="A607" s="72">
        <v>16</v>
      </c>
      <c r="B607" s="47" t="s">
        <v>259</v>
      </c>
      <c r="D607" s="72">
        <v>16</v>
      </c>
      <c r="E607" s="66"/>
      <c r="F607" s="124"/>
      <c r="G607" s="125">
        <v>740330</v>
      </c>
      <c r="H607" s="124"/>
      <c r="I607" s="125">
        <v>574946</v>
      </c>
      <c r="J607" s="125"/>
      <c r="L607" s="155">
        <v>697967</v>
      </c>
    </row>
    <row r="608" spans="1:12" ht="12">
      <c r="A608" s="72"/>
      <c r="B608" s="47"/>
      <c r="D608" s="72"/>
      <c r="E608" s="66"/>
      <c r="F608" s="124"/>
      <c r="G608" s="125"/>
      <c r="H608" s="124"/>
      <c r="I608" s="125"/>
      <c r="J608" s="125"/>
      <c r="L608" s="155"/>
    </row>
    <row r="609" spans="1:12" ht="12">
      <c r="A609" s="72">
        <v>17</v>
      </c>
      <c r="B609" s="47" t="s">
        <v>278</v>
      </c>
      <c r="D609" s="72">
        <v>17</v>
      </c>
      <c r="E609" s="66"/>
      <c r="F609" s="124"/>
      <c r="G609" s="125"/>
      <c r="H609" s="124"/>
      <c r="I609" s="125"/>
      <c r="J609" s="125"/>
      <c r="L609" s="155"/>
    </row>
    <row r="610" spans="1:12" ht="12">
      <c r="A610" s="72">
        <v>18</v>
      </c>
      <c r="D610" s="72">
        <v>18</v>
      </c>
      <c r="E610" s="66"/>
      <c r="F610" s="124"/>
      <c r="G610" s="125"/>
      <c r="H610" s="124"/>
      <c r="I610" s="125"/>
      <c r="J610" s="125"/>
      <c r="L610" s="155"/>
    </row>
    <row r="611" spans="1:12" ht="12">
      <c r="A611" s="72">
        <v>19</v>
      </c>
      <c r="B611" s="47" t="s">
        <v>284</v>
      </c>
      <c r="D611" s="72">
        <v>19</v>
      </c>
      <c r="E611" s="66"/>
      <c r="F611" s="124"/>
      <c r="G611" s="125">
        <v>0</v>
      </c>
      <c r="H611" s="124"/>
      <c r="I611" s="125">
        <v>0</v>
      </c>
      <c r="J611" s="125"/>
      <c r="L611" s="155"/>
    </row>
    <row r="612" spans="1:12" ht="12">
      <c r="A612" s="72">
        <v>20</v>
      </c>
      <c r="B612" s="47"/>
      <c r="D612" s="72">
        <v>20</v>
      </c>
      <c r="E612" s="66"/>
      <c r="F612" s="124"/>
      <c r="G612" s="125"/>
      <c r="H612" s="124"/>
      <c r="I612" s="125"/>
      <c r="J612" s="125"/>
      <c r="L612" s="155"/>
    </row>
    <row r="613" spans="1:12" ht="12">
      <c r="A613" s="72">
        <v>21</v>
      </c>
      <c r="B613" s="47"/>
      <c r="D613" s="72">
        <v>21</v>
      </c>
      <c r="E613" s="66"/>
      <c r="F613" s="124"/>
      <c r="G613" s="125"/>
      <c r="H613" s="124"/>
      <c r="I613" s="125"/>
      <c r="J613" s="125"/>
      <c r="L613" s="155"/>
    </row>
    <row r="614" spans="1:12" ht="12">
      <c r="A614" s="72">
        <v>22</v>
      </c>
      <c r="B614" s="47"/>
      <c r="D614" s="72">
        <v>22</v>
      </c>
      <c r="E614" s="66"/>
      <c r="F614" s="124"/>
      <c r="G614" s="125"/>
      <c r="H614" s="124"/>
      <c r="I614" s="125"/>
      <c r="J614" s="125"/>
      <c r="L614" s="155"/>
    </row>
    <row r="615" spans="1:10" ht="12">
      <c r="A615" s="72">
        <v>23</v>
      </c>
      <c r="B615" s="47"/>
      <c r="D615" s="72">
        <v>23</v>
      </c>
      <c r="E615" s="66"/>
      <c r="F615" s="124"/>
      <c r="G615" s="125"/>
      <c r="H615" s="124"/>
      <c r="I615" s="125"/>
      <c r="J615" s="125"/>
    </row>
    <row r="616" spans="1:10" ht="12">
      <c r="A616" s="72">
        <v>24</v>
      </c>
      <c r="B616" s="47"/>
      <c r="D616" s="72">
        <v>24</v>
      </c>
      <c r="E616" s="66"/>
      <c r="F616" s="124"/>
      <c r="G616" s="125"/>
      <c r="H616" s="124"/>
      <c r="I616" s="125"/>
      <c r="J616" s="125"/>
    </row>
    <row r="617" spans="4:12" ht="12">
      <c r="D617" s="68"/>
      <c r="E617" s="44" t="s">
        <v>1</v>
      </c>
      <c r="F617" s="71" t="s">
        <v>1</v>
      </c>
      <c r="G617" s="71" t="s">
        <v>1</v>
      </c>
      <c r="H617" s="44" t="s">
        <v>1</v>
      </c>
      <c r="I617" s="71" t="s">
        <v>1</v>
      </c>
      <c r="J617" s="71"/>
      <c r="K617" s="193" t="s">
        <v>1</v>
      </c>
      <c r="L617" s="71" t="s">
        <v>1</v>
      </c>
    </row>
    <row r="618" spans="1:12" ht="15.75" customHeight="1">
      <c r="A618" s="72">
        <v>25</v>
      </c>
      <c r="B618" s="47" t="s">
        <v>472</v>
      </c>
      <c r="D618" s="72">
        <v>25</v>
      </c>
      <c r="F618" s="121">
        <v>76.01269576867719</v>
      </c>
      <c r="G618" s="159">
        <v>6890748</v>
      </c>
      <c r="H618" s="121">
        <v>76.01187970676636</v>
      </c>
      <c r="I618" s="159">
        <v>6964260</v>
      </c>
      <c r="J618" s="159"/>
      <c r="K618" s="194">
        <v>71.69046410477912</v>
      </c>
      <c r="L618" s="159">
        <v>6715863</v>
      </c>
    </row>
    <row r="619" spans="4:12" ht="12">
      <c r="D619" s="68"/>
      <c r="E619" s="44" t="s">
        <v>1</v>
      </c>
      <c r="F619" s="95" t="s">
        <v>1</v>
      </c>
      <c r="G619" s="71" t="s">
        <v>1</v>
      </c>
      <c r="H619" s="95" t="s">
        <v>1</v>
      </c>
      <c r="I619" s="71" t="s">
        <v>1</v>
      </c>
      <c r="J619" s="71"/>
      <c r="K619" s="193" t="s">
        <v>1</v>
      </c>
      <c r="L619" s="71" t="s">
        <v>1</v>
      </c>
    </row>
    <row r="620" ht="12">
      <c r="A620" s="47"/>
    </row>
    <row r="621" spans="1:12" s="93" customFormat="1" ht="12">
      <c r="A621" s="91" t="s">
        <v>528</v>
      </c>
      <c r="D621" s="112"/>
      <c r="F621" s="113"/>
      <c r="G621" s="114"/>
      <c r="H621" s="113"/>
      <c r="I621" s="92"/>
      <c r="J621" s="92"/>
      <c r="K621" s="197"/>
      <c r="L621" s="92" t="s">
        <v>290</v>
      </c>
    </row>
    <row r="622" spans="1:12" s="93" customFormat="1" ht="12">
      <c r="A622" s="472" t="s">
        <v>473</v>
      </c>
      <c r="B622" s="472"/>
      <c r="C622" s="472"/>
      <c r="D622" s="472"/>
      <c r="E622" s="472"/>
      <c r="F622" s="472"/>
      <c r="G622" s="472"/>
      <c r="H622" s="472"/>
      <c r="I622" s="472"/>
      <c r="J622" s="472"/>
      <c r="K622" s="472"/>
      <c r="L622" s="472"/>
    </row>
    <row r="623" spans="1:12" ht="12">
      <c r="A623" s="91" t="s">
        <v>527</v>
      </c>
      <c r="E623" s="88"/>
      <c r="F623" s="147"/>
      <c r="G623" s="58"/>
      <c r="H623" s="84"/>
      <c r="I623" s="94"/>
      <c r="J623" s="94"/>
      <c r="L623" s="94" t="s">
        <v>71</v>
      </c>
    </row>
    <row r="624" spans="1:12" ht="12">
      <c r="A624" s="45" t="s">
        <v>1</v>
      </c>
      <c r="B624" s="45" t="s">
        <v>1</v>
      </c>
      <c r="C624" s="45" t="s">
        <v>1</v>
      </c>
      <c r="D624" s="45" t="s">
        <v>1</v>
      </c>
      <c r="E624" s="45" t="s">
        <v>1</v>
      </c>
      <c r="F624" s="95" t="s">
        <v>1</v>
      </c>
      <c r="G624" s="71" t="s">
        <v>1</v>
      </c>
      <c r="H624" s="95" t="s">
        <v>1</v>
      </c>
      <c r="I624" s="71" t="s">
        <v>1</v>
      </c>
      <c r="J624" s="71"/>
      <c r="K624" s="193" t="s">
        <v>1</v>
      </c>
      <c r="L624" s="71" t="s">
        <v>1</v>
      </c>
    </row>
    <row r="625" spans="1:12" ht="12">
      <c r="A625" s="59" t="s">
        <v>2</v>
      </c>
      <c r="D625" s="59" t="s">
        <v>2</v>
      </c>
      <c r="E625" s="77"/>
      <c r="F625" s="96"/>
      <c r="G625" s="87" t="s">
        <v>62</v>
      </c>
      <c r="H625" s="96"/>
      <c r="I625" s="77" t="s">
        <v>65</v>
      </c>
      <c r="J625" s="87"/>
      <c r="L625" s="77" t="s">
        <v>70</v>
      </c>
    </row>
    <row r="626" spans="1:12" ht="12">
      <c r="A626" s="59" t="s">
        <v>4</v>
      </c>
      <c r="B626" s="80" t="s">
        <v>18</v>
      </c>
      <c r="D626" s="59" t="s">
        <v>4</v>
      </c>
      <c r="E626" s="77"/>
      <c r="F626" s="96" t="s">
        <v>6</v>
      </c>
      <c r="G626" s="87" t="s">
        <v>7</v>
      </c>
      <c r="H626" s="96" t="s">
        <v>6</v>
      </c>
      <c r="I626" s="87" t="s">
        <v>7</v>
      </c>
      <c r="J626" s="87"/>
      <c r="K626" s="204" t="s">
        <v>19</v>
      </c>
      <c r="L626" s="77" t="s">
        <v>8</v>
      </c>
    </row>
    <row r="627" spans="1:12" ht="12">
      <c r="A627" s="45" t="s">
        <v>1</v>
      </c>
      <c r="B627" s="45" t="s">
        <v>1</v>
      </c>
      <c r="C627" s="45" t="s">
        <v>1</v>
      </c>
      <c r="D627" s="45" t="s">
        <v>1</v>
      </c>
      <c r="E627" s="45" t="s">
        <v>1</v>
      </c>
      <c r="F627" s="95" t="s">
        <v>1</v>
      </c>
      <c r="G627" s="71" t="s">
        <v>1</v>
      </c>
      <c r="H627" s="95" t="s">
        <v>1</v>
      </c>
      <c r="I627" s="71" t="s">
        <v>1</v>
      </c>
      <c r="J627" s="71"/>
      <c r="K627" s="193" t="s">
        <v>1</v>
      </c>
      <c r="L627" s="71" t="s">
        <v>1</v>
      </c>
    </row>
    <row r="628" spans="1:12" ht="12">
      <c r="A628" s="72">
        <v>1</v>
      </c>
      <c r="B628" s="47" t="s">
        <v>276</v>
      </c>
      <c r="D628" s="72">
        <v>1</v>
      </c>
      <c r="E628" s="66"/>
      <c r="F628" s="162">
        <v>53.1798570247532</v>
      </c>
      <c r="G628" s="60">
        <v>5467687</v>
      </c>
      <c r="H628" s="162">
        <v>59.059786996060886</v>
      </c>
      <c r="I628" s="60">
        <v>6072232</v>
      </c>
      <c r="J628" s="60"/>
      <c r="K628" s="204">
        <v>51.64787239216068</v>
      </c>
      <c r="L628" s="155">
        <v>5310176</v>
      </c>
    </row>
    <row r="629" spans="1:12" ht="12">
      <c r="A629" s="72">
        <v>2</v>
      </c>
      <c r="B629" s="47" t="s">
        <v>268</v>
      </c>
      <c r="D629" s="72">
        <v>2</v>
      </c>
      <c r="E629" s="66"/>
      <c r="F629" s="162"/>
      <c r="G629" s="60">
        <v>1131738</v>
      </c>
      <c r="H629" s="162"/>
      <c r="I629" s="60">
        <v>1320455</v>
      </c>
      <c r="J629" s="60"/>
      <c r="K629" s="204"/>
      <c r="L629" s="155">
        <v>1288658</v>
      </c>
    </row>
    <row r="630" spans="1:12" ht="12">
      <c r="A630" s="72">
        <v>3</v>
      </c>
      <c r="D630" s="72">
        <v>3</v>
      </c>
      <c r="E630" s="66"/>
      <c r="F630" s="162"/>
      <c r="G630" s="163"/>
      <c r="H630" s="162"/>
      <c r="I630" s="163"/>
      <c r="J630" s="163"/>
      <c r="K630" s="204"/>
      <c r="L630" s="155"/>
    </row>
    <row r="631" spans="1:12" ht="12">
      <c r="A631" s="72">
        <v>4</v>
      </c>
      <c r="B631" s="47" t="s">
        <v>270</v>
      </c>
      <c r="D631" s="72">
        <v>4</v>
      </c>
      <c r="E631" s="66"/>
      <c r="F631" s="162">
        <v>53.1798570247532</v>
      </c>
      <c r="G631" s="163">
        <v>6599425</v>
      </c>
      <c r="H631" s="162">
        <v>59.059786996060886</v>
      </c>
      <c r="I631" s="163">
        <v>7392687</v>
      </c>
      <c r="J631" s="163"/>
      <c r="K631" s="205">
        <v>51.64787239216068</v>
      </c>
      <c r="L631" s="155">
        <v>6598834</v>
      </c>
    </row>
    <row r="632" spans="1:12" ht="12">
      <c r="A632" s="72">
        <v>5</v>
      </c>
      <c r="D632" s="72">
        <v>5</v>
      </c>
      <c r="E632" s="66"/>
      <c r="F632" s="162"/>
      <c r="G632" s="163"/>
      <c r="H632" s="162"/>
      <c r="I632" s="163"/>
      <c r="J632" s="163"/>
      <c r="K632" s="204"/>
      <c r="L632" s="155"/>
    </row>
    <row r="633" spans="1:12" ht="12">
      <c r="A633" s="72">
        <v>6</v>
      </c>
      <c r="D633" s="72">
        <v>6</v>
      </c>
      <c r="E633" s="66"/>
      <c r="F633" s="162"/>
      <c r="G633" s="163"/>
      <c r="H633" s="162"/>
      <c r="I633" s="163"/>
      <c r="J633" s="163"/>
      <c r="K633" s="204"/>
      <c r="L633" s="155"/>
    </row>
    <row r="634" spans="1:12" ht="12">
      <c r="A634" s="72">
        <v>7</v>
      </c>
      <c r="B634" s="47" t="s">
        <v>253</v>
      </c>
      <c r="D634" s="72">
        <v>7</v>
      </c>
      <c r="E634" s="66"/>
      <c r="F634" s="162">
        <v>53.67696967723024</v>
      </c>
      <c r="G634" s="60">
        <v>3296088</v>
      </c>
      <c r="H634" s="162">
        <v>59.82806240432531</v>
      </c>
      <c r="I634" s="60">
        <v>3673802</v>
      </c>
      <c r="J634" s="60"/>
      <c r="K634" s="204">
        <v>52.700990131257534</v>
      </c>
      <c r="L634" s="155">
        <v>3236157</v>
      </c>
    </row>
    <row r="635" spans="1:12" ht="12">
      <c r="A635" s="72">
        <v>8</v>
      </c>
      <c r="B635" s="47" t="s">
        <v>254</v>
      </c>
      <c r="D635" s="72">
        <v>8</v>
      </c>
      <c r="E635" s="66"/>
      <c r="F635" s="162"/>
      <c r="G635" s="60">
        <v>1264757</v>
      </c>
      <c r="H635" s="162"/>
      <c r="I635" s="60">
        <v>1172127</v>
      </c>
      <c r="J635" s="60"/>
      <c r="K635" s="204"/>
      <c r="L635" s="155">
        <v>1074168</v>
      </c>
    </row>
    <row r="636" spans="1:12" ht="12">
      <c r="A636" s="72">
        <v>9</v>
      </c>
      <c r="B636" s="47" t="s">
        <v>255</v>
      </c>
      <c r="D636" s="72">
        <v>9</v>
      </c>
      <c r="E636" s="66"/>
      <c r="F636" s="162">
        <v>53.67696967723024</v>
      </c>
      <c r="G636" s="163">
        <v>4560845</v>
      </c>
      <c r="H636" s="162">
        <v>59.82806240432531</v>
      </c>
      <c r="I636" s="163">
        <v>4845929</v>
      </c>
      <c r="J636" s="163"/>
      <c r="K636" s="205">
        <v>52.700990131257534</v>
      </c>
      <c r="L636" s="155">
        <v>4310325</v>
      </c>
    </row>
    <row r="637" spans="1:12" ht="12">
      <c r="A637" s="72">
        <v>10</v>
      </c>
      <c r="D637" s="72">
        <v>10</v>
      </c>
      <c r="E637" s="66"/>
      <c r="F637" s="162"/>
      <c r="G637" s="163"/>
      <c r="H637" s="162"/>
      <c r="I637" s="163"/>
      <c r="J637" s="163"/>
      <c r="K637" s="204"/>
      <c r="L637" s="155"/>
    </row>
    <row r="638" spans="1:12" ht="12">
      <c r="A638" s="72">
        <v>11</v>
      </c>
      <c r="B638" s="47" t="s">
        <v>256</v>
      </c>
      <c r="D638" s="72">
        <v>11</v>
      </c>
      <c r="E638" s="66"/>
      <c r="F638" s="162">
        <v>106.85682670198344</v>
      </c>
      <c r="G638" s="163">
        <v>11160270</v>
      </c>
      <c r="H638" s="162">
        <v>118.88784940038619</v>
      </c>
      <c r="I638" s="163">
        <v>12238616</v>
      </c>
      <c r="J638" s="163"/>
      <c r="K638" s="205">
        <v>104.3488625234182</v>
      </c>
      <c r="L638" s="163">
        <v>10909159</v>
      </c>
    </row>
    <row r="639" spans="1:12" ht="12">
      <c r="A639" s="72">
        <v>12</v>
      </c>
      <c r="D639" s="72">
        <v>12</v>
      </c>
      <c r="E639" s="66"/>
      <c r="F639" s="162"/>
      <c r="G639" s="163"/>
      <c r="H639" s="162"/>
      <c r="I639" s="163"/>
      <c r="J639" s="163"/>
      <c r="L639" s="155"/>
    </row>
    <row r="640" spans="1:12" ht="12">
      <c r="A640" s="72">
        <v>13</v>
      </c>
      <c r="B640" s="47" t="s">
        <v>277</v>
      </c>
      <c r="D640" s="72">
        <v>13</v>
      </c>
      <c r="E640" s="66"/>
      <c r="F640" s="162"/>
      <c r="G640" s="60">
        <v>147930</v>
      </c>
      <c r="H640" s="162"/>
      <c r="I640" s="60">
        <v>120327</v>
      </c>
      <c r="J640" s="60"/>
      <c r="L640" s="155">
        <v>112933</v>
      </c>
    </row>
    <row r="641" spans="1:12" ht="12">
      <c r="A641" s="72">
        <v>14</v>
      </c>
      <c r="D641" s="72">
        <v>14</v>
      </c>
      <c r="E641" s="66"/>
      <c r="F641" s="162"/>
      <c r="G641" s="163"/>
      <c r="H641" s="162"/>
      <c r="I641" s="163"/>
      <c r="J641" s="163"/>
      <c r="L641" s="155"/>
    </row>
    <row r="642" spans="1:12" ht="12">
      <c r="A642" s="72">
        <v>15</v>
      </c>
      <c r="B642" s="47" t="s">
        <v>258</v>
      </c>
      <c r="D642" s="72">
        <v>15</v>
      </c>
      <c r="E642" s="66"/>
      <c r="F642" s="162"/>
      <c r="G642" s="60">
        <v>71034</v>
      </c>
      <c r="H642" s="162"/>
      <c r="I642" s="60">
        <v>92387</v>
      </c>
      <c r="J642" s="60"/>
      <c r="L642" s="155"/>
    </row>
    <row r="643" spans="1:12" ht="12">
      <c r="A643" s="72">
        <v>16</v>
      </c>
      <c r="B643" s="47" t="s">
        <v>259</v>
      </c>
      <c r="D643" s="72">
        <v>16</v>
      </c>
      <c r="E643" s="66"/>
      <c r="F643" s="162"/>
      <c r="G643" s="60">
        <v>1340212</v>
      </c>
      <c r="H643" s="162"/>
      <c r="I643" s="60">
        <v>-408505</v>
      </c>
      <c r="J643" s="60"/>
      <c r="L643" s="155">
        <v>903919</v>
      </c>
    </row>
    <row r="644" spans="1:12" ht="12">
      <c r="A644" s="72">
        <v>17</v>
      </c>
      <c r="B644" s="47" t="s">
        <v>278</v>
      </c>
      <c r="D644" s="72">
        <v>17</v>
      </c>
      <c r="E644" s="66"/>
      <c r="F644" s="162"/>
      <c r="G644" s="163"/>
      <c r="H644" s="162"/>
      <c r="I644" s="163">
        <v>0</v>
      </c>
      <c r="J644" s="163"/>
      <c r="L644" s="155">
        <v>0</v>
      </c>
    </row>
    <row r="645" spans="1:12" ht="12">
      <c r="A645" s="72">
        <v>18</v>
      </c>
      <c r="D645" s="72">
        <v>18</v>
      </c>
      <c r="E645" s="66"/>
      <c r="F645" s="162"/>
      <c r="G645" s="163"/>
      <c r="H645" s="162"/>
      <c r="I645" s="163"/>
      <c r="J645" s="163"/>
      <c r="L645" s="155"/>
    </row>
    <row r="646" spans="1:12" ht="12">
      <c r="A646" s="72">
        <v>19</v>
      </c>
      <c r="B646" s="47" t="s">
        <v>284</v>
      </c>
      <c r="D646" s="72">
        <v>19</v>
      </c>
      <c r="E646" s="66"/>
      <c r="F646" s="162"/>
      <c r="G646" s="163">
        <v>539286</v>
      </c>
      <c r="H646" s="162"/>
      <c r="I646" s="163">
        <v>485357</v>
      </c>
      <c r="J646" s="163"/>
      <c r="L646" s="155">
        <v>498408</v>
      </c>
    </row>
    <row r="647" spans="1:12" ht="12">
      <c r="A647" s="72">
        <v>20</v>
      </c>
      <c r="B647" s="47"/>
      <c r="D647" s="72">
        <v>20</v>
      </c>
      <c r="E647" s="66"/>
      <c r="F647" s="162"/>
      <c r="G647" s="163"/>
      <c r="H647" s="162"/>
      <c r="I647" s="163"/>
      <c r="J647" s="163"/>
      <c r="L647" s="155"/>
    </row>
    <row r="648" spans="1:12" ht="12">
      <c r="A648" s="72">
        <v>21</v>
      </c>
      <c r="B648" s="47"/>
      <c r="D648" s="72">
        <v>21</v>
      </c>
      <c r="E648" s="66"/>
      <c r="F648" s="162"/>
      <c r="G648" s="163"/>
      <c r="H648" s="162"/>
      <c r="I648" s="163"/>
      <c r="J648" s="163"/>
      <c r="L648" s="155"/>
    </row>
    <row r="649" spans="1:10" ht="12">
      <c r="A649" s="72">
        <v>22</v>
      </c>
      <c r="B649" s="47"/>
      <c r="D649" s="72">
        <v>22</v>
      </c>
      <c r="E649" s="66"/>
      <c r="F649" s="162"/>
      <c r="G649" s="163"/>
      <c r="H649" s="162"/>
      <c r="I649" s="163"/>
      <c r="J649" s="163"/>
    </row>
    <row r="650" spans="1:10" ht="12">
      <c r="A650" s="72">
        <v>23</v>
      </c>
      <c r="B650" s="47"/>
      <c r="D650" s="72">
        <v>23</v>
      </c>
      <c r="E650" s="66"/>
      <c r="F650" s="162"/>
      <c r="G650" s="163"/>
      <c r="H650" s="162"/>
      <c r="I650" s="163"/>
      <c r="J650" s="163"/>
    </row>
    <row r="651" spans="1:10" ht="12">
      <c r="A651" s="72">
        <v>24</v>
      </c>
      <c r="B651" s="47"/>
      <c r="D651" s="72">
        <v>24</v>
      </c>
      <c r="E651" s="66"/>
      <c r="F651" s="181"/>
      <c r="G651" s="158"/>
      <c r="H651" s="181"/>
      <c r="I651" s="158"/>
      <c r="J651" s="158"/>
    </row>
    <row r="652" spans="4:12" ht="12">
      <c r="D652" s="68"/>
      <c r="E652" s="44" t="s">
        <v>1</v>
      </c>
      <c r="F652" s="44" t="s">
        <v>1</v>
      </c>
      <c r="G652" s="71" t="s">
        <v>1</v>
      </c>
      <c r="H652" s="44" t="s">
        <v>1</v>
      </c>
      <c r="I652" s="71" t="s">
        <v>1</v>
      </c>
      <c r="J652" s="71"/>
      <c r="K652" s="193" t="s">
        <v>1</v>
      </c>
      <c r="L652" s="71" t="s">
        <v>1</v>
      </c>
    </row>
    <row r="653" spans="1:12" ht="15.75" customHeight="1">
      <c r="A653" s="72">
        <v>25</v>
      </c>
      <c r="B653" s="47" t="s">
        <v>474</v>
      </c>
      <c r="D653" s="72">
        <v>25</v>
      </c>
      <c r="F653" s="166">
        <v>106.85682670198344</v>
      </c>
      <c r="G653" s="159">
        <v>13258732</v>
      </c>
      <c r="H653" s="166">
        <v>118.88784940038619</v>
      </c>
      <c r="I653" s="159">
        <v>12528182</v>
      </c>
      <c r="J653" s="159"/>
      <c r="K653" s="194">
        <v>104.3488625234182</v>
      </c>
      <c r="L653" s="159">
        <v>12424419</v>
      </c>
    </row>
    <row r="654" spans="4:12" ht="12">
      <c r="D654" s="68"/>
      <c r="E654" s="44" t="s">
        <v>1</v>
      </c>
      <c r="F654" s="95"/>
      <c r="G654" s="71"/>
      <c r="H654" s="95"/>
      <c r="I654" s="71"/>
      <c r="J654" s="71"/>
      <c r="K654" s="193" t="s">
        <v>1</v>
      </c>
      <c r="L654" s="71" t="s">
        <v>1</v>
      </c>
    </row>
    <row r="656" spans="1:12" s="93" customFormat="1" ht="12">
      <c r="A656" s="91" t="s">
        <v>528</v>
      </c>
      <c r="D656" s="112"/>
      <c r="F656" s="113"/>
      <c r="G656" s="114"/>
      <c r="H656" s="113"/>
      <c r="J656" s="92"/>
      <c r="K656" s="197"/>
      <c r="L656" s="92" t="s">
        <v>294</v>
      </c>
    </row>
    <row r="657" spans="1:12" s="93" customFormat="1" ht="12">
      <c r="A657" s="472" t="s">
        <v>295</v>
      </c>
      <c r="B657" s="472"/>
      <c r="C657" s="472"/>
      <c r="D657" s="472"/>
      <c r="E657" s="472"/>
      <c r="F657" s="472"/>
      <c r="G657" s="472"/>
      <c r="H657" s="472"/>
      <c r="I657" s="472"/>
      <c r="J657" s="472"/>
      <c r="K657" s="472"/>
      <c r="L657" s="472"/>
    </row>
    <row r="658" spans="1:12" ht="12">
      <c r="A658" s="91" t="s">
        <v>527</v>
      </c>
      <c r="E658" s="88"/>
      <c r="F658" s="147"/>
      <c r="G658" s="148"/>
      <c r="H658" s="84"/>
      <c r="J658" s="94"/>
      <c r="L658" s="94" t="s">
        <v>71</v>
      </c>
    </row>
    <row r="659" spans="1:12" ht="12">
      <c r="A659" s="45" t="s">
        <v>1</v>
      </c>
      <c r="B659" s="45" t="s">
        <v>1</v>
      </c>
      <c r="C659" s="45" t="s">
        <v>1</v>
      </c>
      <c r="D659" s="45" t="s">
        <v>1</v>
      </c>
      <c r="E659" s="45" t="s">
        <v>1</v>
      </c>
      <c r="F659" s="95" t="s">
        <v>1</v>
      </c>
      <c r="G659" s="71" t="s">
        <v>1</v>
      </c>
      <c r="H659" s="95" t="s">
        <v>1</v>
      </c>
      <c r="I659" s="71" t="s">
        <v>1</v>
      </c>
      <c r="J659" s="45" t="s">
        <v>1</v>
      </c>
      <c r="K659" s="193" t="s">
        <v>1</v>
      </c>
      <c r="L659" s="71" t="s">
        <v>1</v>
      </c>
    </row>
    <row r="660" spans="1:12" ht="12">
      <c r="A660" s="59" t="s">
        <v>2</v>
      </c>
      <c r="D660" s="59" t="s">
        <v>2</v>
      </c>
      <c r="E660" s="77"/>
      <c r="F660" s="96"/>
      <c r="G660" s="87" t="s">
        <v>62</v>
      </c>
      <c r="H660" s="96"/>
      <c r="I660" s="77" t="s">
        <v>65</v>
      </c>
      <c r="J660" s="87"/>
      <c r="L660" s="77" t="s">
        <v>70</v>
      </c>
    </row>
    <row r="661" spans="1:12" ht="12">
      <c r="A661" s="59" t="s">
        <v>4</v>
      </c>
      <c r="B661" s="80" t="s">
        <v>18</v>
      </c>
      <c r="D661" s="59" t="s">
        <v>4</v>
      </c>
      <c r="E661" s="77"/>
      <c r="F661" s="96" t="s">
        <v>6</v>
      </c>
      <c r="G661" s="87" t="s">
        <v>7</v>
      </c>
      <c r="H661" s="96" t="s">
        <v>6</v>
      </c>
      <c r="I661" s="87" t="s">
        <v>7</v>
      </c>
      <c r="J661" s="87"/>
      <c r="K661" s="201" t="s">
        <v>19</v>
      </c>
      <c r="L661" s="77" t="s">
        <v>8</v>
      </c>
    </row>
    <row r="662" spans="1:12" ht="12">
      <c r="A662" s="45" t="s">
        <v>1</v>
      </c>
      <c r="B662" s="45" t="s">
        <v>1</v>
      </c>
      <c r="C662" s="45" t="s">
        <v>1</v>
      </c>
      <c r="D662" s="45" t="s">
        <v>1</v>
      </c>
      <c r="E662" s="45" t="s">
        <v>1</v>
      </c>
      <c r="F662" s="95"/>
      <c r="G662" s="71"/>
      <c r="H662" s="95"/>
      <c r="I662" s="71"/>
      <c r="J662" s="45" t="s">
        <v>1</v>
      </c>
      <c r="K662" s="193" t="s">
        <v>1</v>
      </c>
      <c r="L662" s="71" t="s">
        <v>1</v>
      </c>
    </row>
    <row r="663" spans="1:12" ht="12">
      <c r="A663" s="72">
        <v>1</v>
      </c>
      <c r="B663" s="47" t="s">
        <v>276</v>
      </c>
      <c r="D663" s="72">
        <v>1</v>
      </c>
      <c r="E663" s="66"/>
      <c r="F663" s="206">
        <v>3.287246470874574</v>
      </c>
      <c r="G663" s="163">
        <v>202593</v>
      </c>
      <c r="H663" s="182">
        <v>4.807415219860458</v>
      </c>
      <c r="I663" s="163">
        <v>296281</v>
      </c>
      <c r="J663" s="163"/>
      <c r="K663" s="204">
        <v>4.736118773324679</v>
      </c>
      <c r="L663" s="155">
        <v>291887</v>
      </c>
    </row>
    <row r="664" spans="1:12" ht="12">
      <c r="A664" s="72">
        <v>2</v>
      </c>
      <c r="B664" s="47" t="s">
        <v>268</v>
      </c>
      <c r="D664" s="72">
        <v>2</v>
      </c>
      <c r="E664" s="66"/>
      <c r="F664" s="124"/>
      <c r="G664" s="163">
        <v>47048</v>
      </c>
      <c r="H664" s="182"/>
      <c r="I664" s="163">
        <v>69117</v>
      </c>
      <c r="J664" s="163"/>
      <c r="K664" s="204"/>
      <c r="L664" s="155">
        <v>68467</v>
      </c>
    </row>
    <row r="665" spans="1:11" ht="12">
      <c r="A665" s="72">
        <v>3</v>
      </c>
      <c r="D665" s="72">
        <v>3</v>
      </c>
      <c r="E665" s="66"/>
      <c r="F665" s="124"/>
      <c r="G665" s="163"/>
      <c r="H665" s="182"/>
      <c r="I665" s="163"/>
      <c r="J665" s="163"/>
      <c r="K665" s="204"/>
    </row>
    <row r="666" spans="1:12" ht="12">
      <c r="A666" s="72">
        <v>4</v>
      </c>
      <c r="B666" s="47" t="s">
        <v>270</v>
      </c>
      <c r="D666" s="72">
        <v>4</v>
      </c>
      <c r="E666" s="66"/>
      <c r="F666" s="124">
        <v>3.287246470874574</v>
      </c>
      <c r="G666" s="163">
        <v>249641</v>
      </c>
      <c r="H666" s="182">
        <v>4.807415219860458</v>
      </c>
      <c r="I666" s="163">
        <v>365398</v>
      </c>
      <c r="J666" s="163"/>
      <c r="K666" s="205">
        <v>4.736118773324679</v>
      </c>
      <c r="L666" s="163">
        <v>360354</v>
      </c>
    </row>
    <row r="667" spans="1:11" ht="12">
      <c r="A667" s="72">
        <v>5</v>
      </c>
      <c r="D667" s="72">
        <v>5</v>
      </c>
      <c r="E667" s="66"/>
      <c r="F667" s="124"/>
      <c r="G667" s="163"/>
      <c r="H667" s="182"/>
      <c r="I667" s="163"/>
      <c r="J667" s="163"/>
      <c r="K667" s="204"/>
    </row>
    <row r="668" spans="1:11" ht="12">
      <c r="A668" s="72">
        <v>6</v>
      </c>
      <c r="D668" s="72">
        <v>6</v>
      </c>
      <c r="E668" s="66"/>
      <c r="F668" s="124"/>
      <c r="G668" s="163"/>
      <c r="H668" s="182"/>
      <c r="I668" s="163"/>
      <c r="J668" s="163"/>
      <c r="K668" s="204"/>
    </row>
    <row r="669" spans="1:12" ht="12">
      <c r="A669" s="72">
        <v>7</v>
      </c>
      <c r="B669" s="47" t="s">
        <v>253</v>
      </c>
      <c r="D669" s="72">
        <v>7</v>
      </c>
      <c r="E669" s="207"/>
      <c r="F669" s="206">
        <v>18.361161408175366</v>
      </c>
      <c r="G669" s="163">
        <v>1145865</v>
      </c>
      <c r="H669" s="182">
        <v>18.32914576890413</v>
      </c>
      <c r="I669" s="163">
        <v>1143867</v>
      </c>
      <c r="J669" s="163"/>
      <c r="K669" s="204">
        <v>16.878058551124074</v>
      </c>
      <c r="L669" s="155">
        <v>1053309</v>
      </c>
    </row>
    <row r="670" spans="1:12" ht="12">
      <c r="A670" s="72">
        <v>8</v>
      </c>
      <c r="B670" s="47" t="s">
        <v>254</v>
      </c>
      <c r="D670" s="72">
        <v>8</v>
      </c>
      <c r="E670" s="66"/>
      <c r="F670" s="124"/>
      <c r="G670" s="163">
        <v>291809</v>
      </c>
      <c r="H670" s="182"/>
      <c r="I670" s="163">
        <v>289343</v>
      </c>
      <c r="J670" s="163"/>
      <c r="K670" s="204"/>
      <c r="L670" s="155">
        <v>313469</v>
      </c>
    </row>
    <row r="671" spans="1:12" ht="12">
      <c r="A671" s="72">
        <v>9</v>
      </c>
      <c r="B671" s="47" t="s">
        <v>255</v>
      </c>
      <c r="D671" s="72">
        <v>9</v>
      </c>
      <c r="E671" s="66"/>
      <c r="F671" s="124">
        <v>18.361161408175366</v>
      </c>
      <c r="G671" s="163">
        <v>1437674</v>
      </c>
      <c r="H671" s="182">
        <v>18.32914576890413</v>
      </c>
      <c r="I671" s="163">
        <v>1433210</v>
      </c>
      <c r="J671" s="163"/>
      <c r="K671" s="205">
        <v>16.878058551124074</v>
      </c>
      <c r="L671" s="163">
        <v>1366778</v>
      </c>
    </row>
    <row r="672" spans="1:11" ht="12">
      <c r="A672" s="72">
        <v>10</v>
      </c>
      <c r="D672" s="72">
        <v>10</v>
      </c>
      <c r="E672" s="66"/>
      <c r="F672" s="124"/>
      <c r="G672" s="163"/>
      <c r="H672" s="182"/>
      <c r="I672" s="163"/>
      <c r="J672" s="163"/>
      <c r="K672" s="204"/>
    </row>
    <row r="673" spans="1:12" ht="12">
      <c r="A673" s="72">
        <v>11</v>
      </c>
      <c r="B673" s="47" t="s">
        <v>256</v>
      </c>
      <c r="D673" s="72">
        <v>11</v>
      </c>
      <c r="F673" s="121">
        <v>21.64840787904994</v>
      </c>
      <c r="G673" s="159">
        <v>1687315</v>
      </c>
      <c r="H673" s="183">
        <v>23.136560988764586</v>
      </c>
      <c r="I673" s="159">
        <v>1798608</v>
      </c>
      <c r="J673" s="159"/>
      <c r="K673" s="203">
        <v>21.614177324448754</v>
      </c>
      <c r="L673" s="159">
        <v>1727132</v>
      </c>
    </row>
    <row r="674" spans="1:10" ht="12">
      <c r="A674" s="72">
        <v>12</v>
      </c>
      <c r="D674" s="72">
        <v>12</v>
      </c>
      <c r="F674" s="121"/>
      <c r="G674" s="159"/>
      <c r="H674" s="183"/>
      <c r="I674" s="159"/>
      <c r="J674" s="159"/>
    </row>
    <row r="675" spans="1:12" ht="12">
      <c r="A675" s="72">
        <v>13</v>
      </c>
      <c r="B675" s="47" t="s">
        <v>277</v>
      </c>
      <c r="D675" s="72">
        <v>13</v>
      </c>
      <c r="E675" s="66"/>
      <c r="F675" s="124"/>
      <c r="G675" s="163">
        <v>41949</v>
      </c>
      <c r="H675" s="182"/>
      <c r="I675" s="163">
        <v>23396</v>
      </c>
      <c r="J675" s="163"/>
      <c r="L675" s="155">
        <v>6312</v>
      </c>
    </row>
    <row r="676" spans="1:12" ht="12">
      <c r="A676" s="72">
        <v>14</v>
      </c>
      <c r="B676" s="47" t="s">
        <v>296</v>
      </c>
      <c r="D676" s="72">
        <v>14</v>
      </c>
      <c r="E676" s="66"/>
      <c r="F676" s="124"/>
      <c r="G676" s="163">
        <v>0</v>
      </c>
      <c r="H676" s="182"/>
      <c r="I676" s="163">
        <v>0</v>
      </c>
      <c r="J676" s="163"/>
      <c r="L676" s="155"/>
    </row>
    <row r="677" spans="1:12" ht="12">
      <c r="A677" s="72">
        <v>15</v>
      </c>
      <c r="B677" s="47" t="s">
        <v>258</v>
      </c>
      <c r="D677" s="72">
        <v>15</v>
      </c>
      <c r="E677" s="66"/>
      <c r="F677" s="124"/>
      <c r="G677" s="163">
        <v>5162</v>
      </c>
      <c r="H677" s="182"/>
      <c r="I677" s="163">
        <v>1338</v>
      </c>
      <c r="J677" s="163"/>
      <c r="L677" s="155"/>
    </row>
    <row r="678" spans="1:12" ht="12">
      <c r="A678" s="72">
        <v>16</v>
      </c>
      <c r="B678" s="47" t="s">
        <v>297</v>
      </c>
      <c r="D678" s="72">
        <v>16</v>
      </c>
      <c r="E678" s="66"/>
      <c r="F678" s="124"/>
      <c r="G678" s="163">
        <v>835872</v>
      </c>
      <c r="H678" s="182"/>
      <c r="I678" s="163">
        <v>711373</v>
      </c>
      <c r="J678" s="163"/>
      <c r="L678" s="155">
        <v>739755</v>
      </c>
    </row>
    <row r="679" spans="1:12" ht="12">
      <c r="A679" s="72">
        <v>17</v>
      </c>
      <c r="B679" s="47" t="s">
        <v>259</v>
      </c>
      <c r="D679" s="72">
        <v>17</v>
      </c>
      <c r="E679" s="66"/>
      <c r="F679" s="124"/>
      <c r="G679" s="163">
        <v>-787732</v>
      </c>
      <c r="H679" s="182"/>
      <c r="I679" s="163">
        <v>-324559</v>
      </c>
      <c r="J679" s="163"/>
      <c r="L679" s="155">
        <v>-251920</v>
      </c>
    </row>
    <row r="680" spans="1:10" ht="12">
      <c r="A680" s="72">
        <v>18</v>
      </c>
      <c r="B680" s="47" t="s">
        <v>278</v>
      </c>
      <c r="D680" s="72">
        <v>18</v>
      </c>
      <c r="E680" s="66"/>
      <c r="F680" s="124"/>
      <c r="G680" s="163"/>
      <c r="H680" s="182"/>
      <c r="I680" s="163">
        <v>0</v>
      </c>
      <c r="J680" s="163"/>
    </row>
    <row r="681" spans="1:12" ht="12">
      <c r="A681" s="72">
        <v>19</v>
      </c>
      <c r="B681" s="47" t="s">
        <v>284</v>
      </c>
      <c r="D681" s="72">
        <v>19</v>
      </c>
      <c r="E681" s="66"/>
      <c r="F681" s="124"/>
      <c r="G681" s="163">
        <v>4570713</v>
      </c>
      <c r="H681" s="182"/>
      <c r="I681" s="163">
        <v>4245634</v>
      </c>
      <c r="J681" s="163"/>
      <c r="L681" s="82">
        <v>4224244</v>
      </c>
    </row>
    <row r="682" spans="1:10" ht="12">
      <c r="A682" s="72">
        <v>20</v>
      </c>
      <c r="B682" s="47"/>
      <c r="D682" s="72">
        <v>20</v>
      </c>
      <c r="E682" s="66"/>
      <c r="F682" s="124"/>
      <c r="G682" s="163"/>
      <c r="H682" s="182"/>
      <c r="I682" s="163"/>
      <c r="J682" s="163"/>
    </row>
    <row r="683" spans="1:10" ht="12">
      <c r="A683" s="72">
        <v>21</v>
      </c>
      <c r="B683" s="47"/>
      <c r="D683" s="72">
        <v>21</v>
      </c>
      <c r="E683" s="66"/>
      <c r="F683" s="124"/>
      <c r="G683" s="163"/>
      <c r="H683" s="182"/>
      <c r="I683" s="163"/>
      <c r="J683" s="163"/>
    </row>
    <row r="684" spans="1:10" ht="12">
      <c r="A684" s="72">
        <v>22</v>
      </c>
      <c r="B684" s="47"/>
      <c r="D684" s="72">
        <v>22</v>
      </c>
      <c r="E684" s="66"/>
      <c r="F684" s="124"/>
      <c r="G684" s="163"/>
      <c r="H684" s="182"/>
      <c r="I684" s="163"/>
      <c r="J684" s="163"/>
    </row>
    <row r="685" spans="1:10" ht="12">
      <c r="A685" s="72">
        <v>23</v>
      </c>
      <c r="B685" s="47"/>
      <c r="D685" s="72">
        <v>23</v>
      </c>
      <c r="E685" s="66"/>
      <c r="F685" s="124"/>
      <c r="G685" s="163"/>
      <c r="H685" s="182"/>
      <c r="I685" s="163"/>
      <c r="J685" s="163"/>
    </row>
    <row r="686" spans="1:10" ht="12">
      <c r="A686" s="72">
        <v>24</v>
      </c>
      <c r="B686" s="47"/>
      <c r="D686" s="72">
        <v>24</v>
      </c>
      <c r="E686" s="66"/>
      <c r="F686" s="124"/>
      <c r="G686" s="158"/>
      <c r="H686" s="184"/>
      <c r="I686" s="158"/>
      <c r="J686" s="158"/>
    </row>
    <row r="687" spans="4:12" ht="12">
      <c r="D687" s="68"/>
      <c r="E687" s="44" t="s">
        <v>1</v>
      </c>
      <c r="F687" s="71" t="s">
        <v>1</v>
      </c>
      <c r="G687" s="71" t="s">
        <v>1</v>
      </c>
      <c r="H687" s="185" t="s">
        <v>1</v>
      </c>
      <c r="I687" s="71" t="s">
        <v>1</v>
      </c>
      <c r="J687" s="71"/>
      <c r="K687" s="193" t="s">
        <v>1</v>
      </c>
      <c r="L687" s="71" t="s">
        <v>1</v>
      </c>
    </row>
    <row r="688" spans="1:12" ht="15.75" customHeight="1">
      <c r="A688" s="72">
        <v>25</v>
      </c>
      <c r="B688" s="186" t="s">
        <v>475</v>
      </c>
      <c r="D688" s="72">
        <v>25</v>
      </c>
      <c r="F688" s="121">
        <v>21.64840787904994</v>
      </c>
      <c r="G688" s="159">
        <v>6353279</v>
      </c>
      <c r="H688" s="183">
        <v>23.136560988764586</v>
      </c>
      <c r="I688" s="159">
        <v>6455790</v>
      </c>
      <c r="J688" s="159"/>
      <c r="K688" s="194">
        <v>21.614177324448754</v>
      </c>
      <c r="L688" s="159">
        <v>6445523</v>
      </c>
    </row>
    <row r="689" spans="3:12" ht="12">
      <c r="C689" s="73"/>
      <c r="E689" s="44" t="s">
        <v>1</v>
      </c>
      <c r="F689" s="95"/>
      <c r="G689" s="71"/>
      <c r="H689" s="185"/>
      <c r="I689" s="71"/>
      <c r="J689" s="71"/>
      <c r="K689" s="193" t="s">
        <v>1</v>
      </c>
      <c r="L689" s="71" t="s">
        <v>1</v>
      </c>
    </row>
    <row r="690" spans="1:12" s="93" customFormat="1" ht="12">
      <c r="A690" s="91" t="s">
        <v>528</v>
      </c>
      <c r="D690" s="112"/>
      <c r="F690" s="113"/>
      <c r="G690" s="114"/>
      <c r="H690" s="113"/>
      <c r="J690" s="92"/>
      <c r="K690" s="197"/>
      <c r="L690" s="92" t="s">
        <v>294</v>
      </c>
    </row>
    <row r="691" spans="1:12" s="93" customFormat="1" ht="12">
      <c r="A691" s="472" t="s">
        <v>295</v>
      </c>
      <c r="B691" s="472"/>
      <c r="C691" s="472"/>
      <c r="D691" s="472"/>
      <c r="E691" s="472"/>
      <c r="F691" s="472"/>
      <c r="G691" s="472"/>
      <c r="H691" s="472"/>
      <c r="I691" s="472"/>
      <c r="J691" s="472"/>
      <c r="K691" s="472"/>
      <c r="L691" s="472"/>
    </row>
    <row r="692" spans="1:12" ht="12">
      <c r="A692" s="91" t="s">
        <v>527</v>
      </c>
      <c r="E692" s="88"/>
      <c r="F692" s="147"/>
      <c r="G692" s="148"/>
      <c r="H692" s="84"/>
      <c r="J692" s="94"/>
      <c r="L692" s="94" t="s">
        <v>71</v>
      </c>
    </row>
    <row r="693" spans="3:10" ht="12">
      <c r="C693" s="73"/>
      <c r="E693" s="44"/>
      <c r="F693" s="102"/>
      <c r="G693" s="102"/>
      <c r="H693" s="102"/>
      <c r="I693" s="102"/>
      <c r="J693" s="102"/>
    </row>
    <row r="694" spans="1:10" ht="12">
      <c r="A694" s="72">
        <v>26</v>
      </c>
      <c r="B694" s="47" t="s">
        <v>302</v>
      </c>
      <c r="D694" s="72">
        <v>26</v>
      </c>
      <c r="E694" s="66"/>
      <c r="F694" s="102"/>
      <c r="G694" s="172"/>
      <c r="H694" s="102"/>
      <c r="I694" s="172"/>
      <c r="J694" s="172"/>
    </row>
    <row r="695" spans="1:12" ht="12">
      <c r="A695" s="72">
        <v>27</v>
      </c>
      <c r="B695" s="47" t="s">
        <v>303</v>
      </c>
      <c r="D695" s="72">
        <v>27</v>
      </c>
      <c r="E695" s="66"/>
      <c r="F695" s="125"/>
      <c r="G695" s="125">
        <v>338374</v>
      </c>
      <c r="H695" s="125"/>
      <c r="I695" s="125">
        <v>443374</v>
      </c>
      <c r="J695" s="125"/>
      <c r="L695" s="125">
        <v>443374</v>
      </c>
    </row>
    <row r="696" spans="1:10" ht="12">
      <c r="A696" s="72">
        <v>28</v>
      </c>
      <c r="B696" s="47" t="s">
        <v>476</v>
      </c>
      <c r="D696" s="72">
        <v>28</v>
      </c>
      <c r="E696" s="66"/>
      <c r="F696" s="125"/>
      <c r="G696" s="125">
        <v>0</v>
      </c>
      <c r="H696" s="125"/>
      <c r="I696" s="125">
        <v>0</v>
      </c>
      <c r="J696" s="125"/>
    </row>
    <row r="697" spans="1:10" ht="12">
      <c r="A697" s="72">
        <v>29</v>
      </c>
      <c r="B697" s="66" t="s">
        <v>530</v>
      </c>
      <c r="D697" s="72">
        <v>29</v>
      </c>
      <c r="E697" s="66"/>
      <c r="F697" s="125"/>
      <c r="G697" s="125">
        <v>105000</v>
      </c>
      <c r="H697" s="125"/>
      <c r="I697" s="125"/>
      <c r="J697" s="125"/>
    </row>
    <row r="698" spans="1:10" ht="12">
      <c r="A698" s="72">
        <v>30</v>
      </c>
      <c r="B698" s="66"/>
      <c r="D698" s="72">
        <v>30</v>
      </c>
      <c r="E698" s="66"/>
      <c r="F698" s="125"/>
      <c r="G698" s="125"/>
      <c r="H698" s="125"/>
      <c r="I698" s="125"/>
      <c r="J698" s="125"/>
    </row>
    <row r="699" spans="1:10" ht="12">
      <c r="A699" s="72">
        <v>31</v>
      </c>
      <c r="B699" s="66"/>
      <c r="D699" s="72">
        <v>31</v>
      </c>
      <c r="E699" s="66"/>
      <c r="F699" s="125"/>
      <c r="G699" s="125"/>
      <c r="H699" s="125"/>
      <c r="I699" s="125"/>
      <c r="J699" s="125"/>
    </row>
    <row r="700" spans="1:10" ht="12">
      <c r="A700" s="72">
        <v>32</v>
      </c>
      <c r="B700" s="66"/>
      <c r="D700" s="72">
        <v>32</v>
      </c>
      <c r="F700" s="125"/>
      <c r="G700" s="122"/>
      <c r="H700" s="125"/>
      <c r="I700" s="122"/>
      <c r="J700" s="122"/>
    </row>
    <row r="701" spans="1:10" ht="12">
      <c r="A701" s="72">
        <v>33</v>
      </c>
      <c r="B701" s="47" t="s">
        <v>488</v>
      </c>
      <c r="D701" s="72">
        <v>33</v>
      </c>
      <c r="E701" s="66"/>
      <c r="F701" s="125"/>
      <c r="G701" s="125">
        <v>0</v>
      </c>
      <c r="H701" s="125"/>
      <c r="I701" s="125">
        <v>0</v>
      </c>
      <c r="J701" s="125"/>
    </row>
    <row r="702" spans="1:10" ht="12">
      <c r="A702" s="72">
        <v>34</v>
      </c>
      <c r="B702" s="66"/>
      <c r="D702" s="72">
        <v>34</v>
      </c>
      <c r="E702" s="66"/>
      <c r="F702" s="125"/>
      <c r="G702" s="125"/>
      <c r="H702" s="125"/>
      <c r="I702" s="125"/>
      <c r="J702" s="125"/>
    </row>
    <row r="703" spans="1:10" ht="12">
      <c r="A703" s="72">
        <v>35</v>
      </c>
      <c r="B703" s="66"/>
      <c r="D703" s="72">
        <v>35</v>
      </c>
      <c r="E703" s="66"/>
      <c r="F703" s="125"/>
      <c r="G703" s="125"/>
      <c r="H703" s="125"/>
      <c r="I703" s="125"/>
      <c r="J703" s="125"/>
    </row>
    <row r="704" spans="1:10" ht="12">
      <c r="A704" s="72">
        <v>36</v>
      </c>
      <c r="B704" s="66"/>
      <c r="D704" s="72">
        <v>36</v>
      </c>
      <c r="E704" s="66"/>
      <c r="F704" s="125"/>
      <c r="G704" s="125"/>
      <c r="H704" s="125"/>
      <c r="I704" s="125"/>
      <c r="J704" s="125"/>
    </row>
    <row r="705" spans="1:12" ht="12">
      <c r="A705" s="72">
        <v>37</v>
      </c>
      <c r="B705" s="47" t="s">
        <v>490</v>
      </c>
      <c r="D705" s="72">
        <v>37</v>
      </c>
      <c r="F705" s="119"/>
      <c r="G705" s="122">
        <v>443374</v>
      </c>
      <c r="H705" s="119"/>
      <c r="I705" s="122">
        <v>443374</v>
      </c>
      <c r="J705" s="122"/>
      <c r="L705" s="122">
        <v>443374</v>
      </c>
    </row>
    <row r="706" spans="1:10" ht="12">
      <c r="A706" s="72">
        <v>38</v>
      </c>
      <c r="D706" s="72">
        <v>38</v>
      </c>
      <c r="E706" s="66"/>
      <c r="F706" s="119"/>
      <c r="G706" s="125"/>
      <c r="H706" s="119"/>
      <c r="I706" s="125"/>
      <c r="J706" s="125"/>
    </row>
    <row r="707" spans="1:10" ht="12">
      <c r="A707" s="72">
        <v>39</v>
      </c>
      <c r="B707" s="47" t="s">
        <v>312</v>
      </c>
      <c r="D707" s="72">
        <v>39</v>
      </c>
      <c r="E707" s="66"/>
      <c r="F707" s="125"/>
      <c r="G707" s="125"/>
      <c r="H707" s="125"/>
      <c r="I707" s="125"/>
      <c r="J707" s="125"/>
    </row>
    <row r="708" ht="12">
      <c r="A708" s="47"/>
    </row>
    <row r="709" spans="1:12" s="93" customFormat="1" ht="12">
      <c r="A709" s="91" t="s">
        <v>528</v>
      </c>
      <c r="D709" s="112"/>
      <c r="F709" s="113"/>
      <c r="G709" s="114"/>
      <c r="H709" s="113"/>
      <c r="J709" s="92"/>
      <c r="K709" s="197"/>
      <c r="L709" s="92" t="s">
        <v>313</v>
      </c>
    </row>
    <row r="710" spans="1:12" s="93" customFormat="1" ht="12">
      <c r="A710" s="472" t="s">
        <v>491</v>
      </c>
      <c r="B710" s="472"/>
      <c r="C710" s="472"/>
      <c r="D710" s="472"/>
      <c r="E710" s="472"/>
      <c r="F710" s="472"/>
      <c r="G710" s="472"/>
      <c r="H710" s="472"/>
      <c r="I710" s="472"/>
      <c r="J710" s="472"/>
      <c r="K710" s="472"/>
      <c r="L710" s="472"/>
    </row>
    <row r="711" spans="1:12" ht="12">
      <c r="A711" s="91" t="s">
        <v>527</v>
      </c>
      <c r="E711" s="88"/>
      <c r="F711" s="147"/>
      <c r="G711" s="148"/>
      <c r="H711" s="84"/>
      <c r="J711" s="94"/>
      <c r="L711" s="94" t="s">
        <v>71</v>
      </c>
    </row>
    <row r="712" spans="1:12" ht="12">
      <c r="A712" s="45" t="s">
        <v>1</v>
      </c>
      <c r="B712" s="45" t="s">
        <v>1</v>
      </c>
      <c r="C712" s="45" t="s">
        <v>1</v>
      </c>
      <c r="D712" s="45" t="s">
        <v>1</v>
      </c>
      <c r="E712" s="45" t="s">
        <v>1</v>
      </c>
      <c r="F712" s="95" t="s">
        <v>1</v>
      </c>
      <c r="G712" s="71" t="s">
        <v>1</v>
      </c>
      <c r="H712" s="95" t="s">
        <v>1</v>
      </c>
      <c r="I712" s="71" t="s">
        <v>1</v>
      </c>
      <c r="J712" s="95" t="s">
        <v>1</v>
      </c>
      <c r="K712" s="193" t="s">
        <v>1</v>
      </c>
      <c r="L712" s="71" t="s">
        <v>1</v>
      </c>
    </row>
    <row r="713" spans="1:12" ht="12">
      <c r="A713" s="59" t="s">
        <v>2</v>
      </c>
      <c r="D713" s="59" t="s">
        <v>2</v>
      </c>
      <c r="E713" s="77"/>
      <c r="F713" s="96"/>
      <c r="G713" s="87" t="s">
        <v>62</v>
      </c>
      <c r="H713" s="96"/>
      <c r="I713" s="77" t="s">
        <v>65</v>
      </c>
      <c r="J713" s="87"/>
      <c r="L713" s="77" t="s">
        <v>70</v>
      </c>
    </row>
    <row r="714" spans="1:12" ht="12">
      <c r="A714" s="59" t="s">
        <v>4</v>
      </c>
      <c r="B714" s="80" t="s">
        <v>18</v>
      </c>
      <c r="D714" s="59" t="s">
        <v>4</v>
      </c>
      <c r="F714" s="84"/>
      <c r="G714" s="87" t="s">
        <v>7</v>
      </c>
      <c r="H714" s="84"/>
      <c r="I714" s="87" t="s">
        <v>7</v>
      </c>
      <c r="J714" s="87"/>
      <c r="L714" s="77" t="s">
        <v>8</v>
      </c>
    </row>
    <row r="715" spans="1:12" ht="12">
      <c r="A715" s="45" t="s">
        <v>1</v>
      </c>
      <c r="B715" s="45" t="s">
        <v>1</v>
      </c>
      <c r="C715" s="45" t="s">
        <v>1</v>
      </c>
      <c r="D715" s="45" t="s">
        <v>1</v>
      </c>
      <c r="E715" s="45" t="s">
        <v>1</v>
      </c>
      <c r="F715" s="95" t="s">
        <v>1</v>
      </c>
      <c r="G715" s="71" t="s">
        <v>1</v>
      </c>
      <c r="H715" s="95" t="s">
        <v>1</v>
      </c>
      <c r="I715" s="71" t="s">
        <v>1</v>
      </c>
      <c r="J715" s="95" t="s">
        <v>1</v>
      </c>
      <c r="K715" s="193" t="s">
        <v>1</v>
      </c>
      <c r="L715" s="71" t="s">
        <v>1</v>
      </c>
    </row>
    <row r="716" spans="1:12" ht="12">
      <c r="A716" s="72">
        <v>1</v>
      </c>
      <c r="B716" s="47" t="s">
        <v>492</v>
      </c>
      <c r="D716" s="72">
        <v>1</v>
      </c>
      <c r="E716" s="66"/>
      <c r="F716" s="163"/>
      <c r="G716" s="163">
        <v>6298426</v>
      </c>
      <c r="H716" s="163"/>
      <c r="I716" s="163">
        <v>7473171</v>
      </c>
      <c r="J716" s="163"/>
      <c r="L716" s="155">
        <v>8519000</v>
      </c>
    </row>
    <row r="717" spans="1:10" ht="12">
      <c r="A717" s="72">
        <v>2</v>
      </c>
      <c r="B717" s="66"/>
      <c r="D717" s="72">
        <v>2</v>
      </c>
      <c r="E717" s="66"/>
      <c r="F717" s="139"/>
      <c r="G717" s="157"/>
      <c r="H717" s="139"/>
      <c r="I717" s="157"/>
      <c r="J717" s="157"/>
    </row>
    <row r="718" spans="1:10" ht="12">
      <c r="A718" s="72">
        <v>3</v>
      </c>
      <c r="B718" s="66"/>
      <c r="D718" s="72">
        <v>3</v>
      </c>
      <c r="E718" s="66"/>
      <c r="F718" s="139"/>
      <c r="G718" s="157"/>
      <c r="H718" s="139"/>
      <c r="I718" s="157"/>
      <c r="J718" s="157"/>
    </row>
    <row r="719" spans="1:11" ht="12">
      <c r="A719" s="72">
        <v>4</v>
      </c>
      <c r="B719" s="66"/>
      <c r="D719" s="72">
        <v>4</v>
      </c>
      <c r="E719" s="66"/>
      <c r="F719" s="139"/>
      <c r="G719" s="157"/>
      <c r="H719" s="139"/>
      <c r="I719" s="157"/>
      <c r="J719" s="157"/>
      <c r="K719" s="48"/>
    </row>
    <row r="720" spans="1:11" ht="12">
      <c r="A720" s="72">
        <v>5</v>
      </c>
      <c r="B720" s="66"/>
      <c r="D720" s="72">
        <v>5</v>
      </c>
      <c r="E720" s="66"/>
      <c r="F720" s="139"/>
      <c r="G720" s="157"/>
      <c r="H720" s="139"/>
      <c r="I720" s="157"/>
      <c r="J720" s="157"/>
      <c r="K720" s="48"/>
    </row>
    <row r="721" spans="1:11" ht="12">
      <c r="A721" s="72">
        <v>6</v>
      </c>
      <c r="B721" s="66"/>
      <c r="D721" s="72">
        <v>6</v>
      </c>
      <c r="E721" s="66"/>
      <c r="F721" s="139"/>
      <c r="G721" s="157"/>
      <c r="H721" s="139"/>
      <c r="I721" s="157"/>
      <c r="J721" s="157"/>
      <c r="K721" s="48"/>
    </row>
    <row r="722" spans="1:11" ht="12">
      <c r="A722" s="72">
        <v>7</v>
      </c>
      <c r="B722" s="66"/>
      <c r="D722" s="72">
        <v>7</v>
      </c>
      <c r="E722" s="66"/>
      <c r="F722" s="139"/>
      <c r="G722" s="157"/>
      <c r="H722" s="139"/>
      <c r="I722" s="157"/>
      <c r="J722" s="157"/>
      <c r="K722" s="48"/>
    </row>
    <row r="723" spans="1:11" ht="12">
      <c r="A723" s="72">
        <v>8</v>
      </c>
      <c r="B723" s="66"/>
      <c r="D723" s="72">
        <v>8</v>
      </c>
      <c r="E723" s="66"/>
      <c r="F723" s="139"/>
      <c r="G723" s="157"/>
      <c r="H723" s="139"/>
      <c r="I723" s="157"/>
      <c r="J723" s="157"/>
      <c r="K723" s="48"/>
    </row>
    <row r="724" spans="1:11" ht="12">
      <c r="A724" s="72">
        <v>9</v>
      </c>
      <c r="B724" s="66"/>
      <c r="D724" s="72">
        <v>9</v>
      </c>
      <c r="E724" s="66"/>
      <c r="F724" s="139"/>
      <c r="G724" s="157"/>
      <c r="H724" s="139"/>
      <c r="I724" s="157"/>
      <c r="J724" s="157"/>
      <c r="K724" s="48"/>
    </row>
    <row r="725" spans="1:11" ht="12">
      <c r="A725" s="72">
        <v>10</v>
      </c>
      <c r="B725" s="66"/>
      <c r="D725" s="72">
        <v>10</v>
      </c>
      <c r="E725" s="66"/>
      <c r="F725" s="139"/>
      <c r="G725" s="157"/>
      <c r="H725" s="139"/>
      <c r="I725" s="157"/>
      <c r="J725" s="157"/>
      <c r="K725" s="48"/>
    </row>
    <row r="726" spans="1:11" ht="12">
      <c r="A726" s="72">
        <v>11</v>
      </c>
      <c r="B726" s="66"/>
      <c r="D726" s="72">
        <v>11</v>
      </c>
      <c r="F726" s="139"/>
      <c r="G726" s="157"/>
      <c r="H726" s="139"/>
      <c r="I726" s="157"/>
      <c r="J726" s="157"/>
      <c r="K726" s="48"/>
    </row>
    <row r="727" spans="1:11" ht="12">
      <c r="A727" s="72">
        <v>12</v>
      </c>
      <c r="B727" s="66"/>
      <c r="D727" s="72">
        <v>12</v>
      </c>
      <c r="F727" s="139"/>
      <c r="G727" s="157"/>
      <c r="H727" s="139"/>
      <c r="I727" s="157"/>
      <c r="J727" s="157"/>
      <c r="K727" s="48"/>
    </row>
    <row r="728" spans="1:11" ht="12">
      <c r="A728" s="72">
        <v>13</v>
      </c>
      <c r="B728" s="66"/>
      <c r="D728" s="72">
        <v>13</v>
      </c>
      <c r="E728" s="66"/>
      <c r="F728" s="139"/>
      <c r="G728" s="157"/>
      <c r="H728" s="139"/>
      <c r="I728" s="157"/>
      <c r="J728" s="157"/>
      <c r="K728" s="48"/>
    </row>
    <row r="729" spans="1:11" ht="12">
      <c r="A729" s="72">
        <v>14</v>
      </c>
      <c r="B729" s="66"/>
      <c r="D729" s="72">
        <v>14</v>
      </c>
      <c r="E729" s="66"/>
      <c r="F729" s="139"/>
      <c r="G729" s="157"/>
      <c r="H729" s="139"/>
      <c r="I729" s="157"/>
      <c r="J729" s="157"/>
      <c r="K729" s="48"/>
    </row>
    <row r="730" spans="1:11" ht="12">
      <c r="A730" s="72">
        <v>15</v>
      </c>
      <c r="B730" s="66"/>
      <c r="D730" s="72">
        <v>15</v>
      </c>
      <c r="E730" s="66"/>
      <c r="F730" s="139"/>
      <c r="G730" s="157"/>
      <c r="H730" s="139"/>
      <c r="I730" s="157"/>
      <c r="J730" s="157"/>
      <c r="K730" s="48"/>
    </row>
    <row r="731" spans="1:11" ht="12">
      <c r="A731" s="72">
        <v>16</v>
      </c>
      <c r="B731" s="66"/>
      <c r="D731" s="72">
        <v>16</v>
      </c>
      <c r="E731" s="66"/>
      <c r="F731" s="139"/>
      <c r="G731" s="157"/>
      <c r="H731" s="139"/>
      <c r="I731" s="157"/>
      <c r="J731" s="157"/>
      <c r="K731" s="48"/>
    </row>
    <row r="732" spans="1:11" ht="12">
      <c r="A732" s="72">
        <v>17</v>
      </c>
      <c r="B732" s="66"/>
      <c r="D732" s="72">
        <v>17</v>
      </c>
      <c r="E732" s="66"/>
      <c r="F732" s="139"/>
      <c r="G732" s="157"/>
      <c r="H732" s="139"/>
      <c r="I732" s="157"/>
      <c r="J732" s="157"/>
      <c r="K732" s="48"/>
    </row>
    <row r="733" spans="1:11" ht="12">
      <c r="A733" s="72">
        <v>18</v>
      </c>
      <c r="B733" s="66"/>
      <c r="D733" s="72">
        <v>18</v>
      </c>
      <c r="E733" s="66"/>
      <c r="F733" s="139"/>
      <c r="G733" s="157"/>
      <c r="H733" s="139"/>
      <c r="I733" s="157"/>
      <c r="J733" s="157"/>
      <c r="K733" s="48"/>
    </row>
    <row r="734" spans="1:11" ht="12">
      <c r="A734" s="72">
        <v>19</v>
      </c>
      <c r="B734" s="66"/>
      <c r="D734" s="72">
        <v>19</v>
      </c>
      <c r="E734" s="66"/>
      <c r="F734" s="139"/>
      <c r="G734" s="157"/>
      <c r="H734" s="139"/>
      <c r="I734" s="157"/>
      <c r="J734" s="157"/>
      <c r="K734" s="48"/>
    </row>
    <row r="735" spans="1:10" ht="12">
      <c r="A735" s="72">
        <v>20</v>
      </c>
      <c r="D735" s="72">
        <v>20</v>
      </c>
      <c r="E735" s="44"/>
      <c r="F735" s="95"/>
      <c r="G735" s="71"/>
      <c r="H735" s="95"/>
      <c r="I735" s="71"/>
      <c r="J735" s="71"/>
    </row>
    <row r="736" spans="1:10" ht="12">
      <c r="A736" s="72">
        <v>21</v>
      </c>
      <c r="D736" s="72">
        <v>21</v>
      </c>
      <c r="E736" s="44"/>
      <c r="F736" s="95"/>
      <c r="G736" s="58"/>
      <c r="H736" s="95"/>
      <c r="I736" s="58"/>
      <c r="J736" s="58"/>
    </row>
    <row r="737" spans="1:10" ht="12">
      <c r="A737" s="72">
        <v>22</v>
      </c>
      <c r="D737" s="72">
        <v>22</v>
      </c>
      <c r="F737" s="84"/>
      <c r="G737" s="58"/>
      <c r="H737" s="84"/>
      <c r="I737" s="58"/>
      <c r="J737" s="58"/>
    </row>
    <row r="738" spans="1:10" ht="12">
      <c r="A738" s="72">
        <v>23</v>
      </c>
      <c r="C738" s="73"/>
      <c r="D738" s="72">
        <v>23</v>
      </c>
      <c r="G738" s="58"/>
      <c r="I738" s="58"/>
      <c r="J738" s="58"/>
    </row>
    <row r="739" spans="1:10" ht="12">
      <c r="A739" s="72">
        <v>24</v>
      </c>
      <c r="C739" s="73"/>
      <c r="D739" s="72">
        <v>24</v>
      </c>
      <c r="G739" s="58"/>
      <c r="I739" s="58"/>
      <c r="J739" s="58"/>
    </row>
    <row r="740" spans="5:12" ht="12">
      <c r="E740" s="44" t="s">
        <v>1</v>
      </c>
      <c r="F740" s="95" t="s">
        <v>1</v>
      </c>
      <c r="G740" s="71"/>
      <c r="H740" s="95"/>
      <c r="I740" s="71"/>
      <c r="J740" s="71"/>
      <c r="K740" s="193"/>
      <c r="L740" s="71"/>
    </row>
    <row r="741" spans="1:12" ht="15.75" customHeight="1">
      <c r="A741" s="72">
        <v>25</v>
      </c>
      <c r="B741" s="47" t="s">
        <v>493</v>
      </c>
      <c r="D741" s="72">
        <v>25</v>
      </c>
      <c r="F741" s="160"/>
      <c r="G741" s="159">
        <v>6298426</v>
      </c>
      <c r="H741" s="160"/>
      <c r="I741" s="159">
        <v>7473171</v>
      </c>
      <c r="J741" s="159"/>
      <c r="L741" s="159">
        <v>8519000</v>
      </c>
    </row>
    <row r="742" spans="3:12" ht="12">
      <c r="C742" s="73"/>
      <c r="E742" s="44" t="s">
        <v>1</v>
      </c>
      <c r="F742" s="95" t="s">
        <v>1</v>
      </c>
      <c r="G742" s="71"/>
      <c r="H742" s="95"/>
      <c r="I742" s="71"/>
      <c r="J742" s="71"/>
      <c r="K742" s="193"/>
      <c r="L742" s="71"/>
    </row>
    <row r="744" spans="1:12" s="93" customFormat="1" ht="12">
      <c r="A744" s="91" t="s">
        <v>528</v>
      </c>
      <c r="D744" s="112"/>
      <c r="F744" s="113"/>
      <c r="G744" s="114"/>
      <c r="H744" s="113"/>
      <c r="J744" s="92"/>
      <c r="K744" s="197"/>
      <c r="L744" s="92" t="s">
        <v>318</v>
      </c>
    </row>
    <row r="745" spans="1:12" s="93" customFormat="1" ht="12">
      <c r="A745" s="472" t="s">
        <v>319</v>
      </c>
      <c r="B745" s="472"/>
      <c r="C745" s="472"/>
      <c r="D745" s="472"/>
      <c r="E745" s="472"/>
      <c r="F745" s="472"/>
      <c r="G745" s="472"/>
      <c r="H745" s="472"/>
      <c r="I745" s="472"/>
      <c r="J745" s="472"/>
      <c r="K745" s="472"/>
      <c r="L745" s="472"/>
    </row>
    <row r="746" spans="1:12" ht="12">
      <c r="A746" s="91" t="s">
        <v>527</v>
      </c>
      <c r="F746" s="187"/>
      <c r="G746" s="58"/>
      <c r="H746" s="84"/>
      <c r="J746" s="94"/>
      <c r="L746" s="94" t="s">
        <v>71</v>
      </c>
    </row>
    <row r="747" spans="1:12" ht="12">
      <c r="A747" s="45" t="s">
        <v>1</v>
      </c>
      <c r="B747" s="45" t="s">
        <v>1</v>
      </c>
      <c r="C747" s="45" t="s">
        <v>1</v>
      </c>
      <c r="D747" s="45" t="s">
        <v>1</v>
      </c>
      <c r="E747" s="45" t="s">
        <v>1</v>
      </c>
      <c r="F747" s="95" t="s">
        <v>1</v>
      </c>
      <c r="G747" s="71" t="s">
        <v>1</v>
      </c>
      <c r="H747" s="95" t="s">
        <v>1</v>
      </c>
      <c r="I747" s="71" t="s">
        <v>1</v>
      </c>
      <c r="J747" s="95" t="s">
        <v>1</v>
      </c>
      <c r="K747" s="193" t="s">
        <v>1</v>
      </c>
      <c r="L747" s="71" t="s">
        <v>1</v>
      </c>
    </row>
    <row r="748" spans="1:12" ht="12">
      <c r="A748" s="59" t="s">
        <v>2</v>
      </c>
      <c r="D748" s="59" t="s">
        <v>2</v>
      </c>
      <c r="E748" s="77"/>
      <c r="F748" s="96"/>
      <c r="G748" s="87" t="s">
        <v>62</v>
      </c>
      <c r="H748" s="96"/>
      <c r="I748" s="77" t="s">
        <v>65</v>
      </c>
      <c r="J748" s="87"/>
      <c r="L748" s="77" t="s">
        <v>70</v>
      </c>
    </row>
    <row r="749" spans="1:12" ht="12">
      <c r="A749" s="59" t="s">
        <v>4</v>
      </c>
      <c r="B749" s="80" t="s">
        <v>18</v>
      </c>
      <c r="D749" s="59" t="s">
        <v>4</v>
      </c>
      <c r="E749" s="77"/>
      <c r="F749" s="96" t="s">
        <v>19</v>
      </c>
      <c r="G749" s="87" t="s">
        <v>7</v>
      </c>
      <c r="H749" s="96" t="s">
        <v>19</v>
      </c>
      <c r="I749" s="87" t="s">
        <v>7</v>
      </c>
      <c r="J749" s="87"/>
      <c r="K749" s="201" t="s">
        <v>19</v>
      </c>
      <c r="L749" s="77" t="s">
        <v>8</v>
      </c>
    </row>
    <row r="750" spans="1:12" ht="12">
      <c r="A750" s="45" t="s">
        <v>1</v>
      </c>
      <c r="B750" s="45" t="s">
        <v>1</v>
      </c>
      <c r="C750" s="45" t="s">
        <v>1</v>
      </c>
      <c r="D750" s="45" t="s">
        <v>1</v>
      </c>
      <c r="E750" s="45" t="s">
        <v>1</v>
      </c>
      <c r="F750" s="95" t="s">
        <v>1</v>
      </c>
      <c r="G750" s="71" t="s">
        <v>1</v>
      </c>
      <c r="H750" s="95" t="s">
        <v>1</v>
      </c>
      <c r="I750" s="71" t="s">
        <v>1</v>
      </c>
      <c r="J750" s="95" t="s">
        <v>1</v>
      </c>
      <c r="K750" s="193" t="s">
        <v>1</v>
      </c>
      <c r="L750" s="71" t="s">
        <v>1</v>
      </c>
    </row>
    <row r="751" spans="1:10" ht="12">
      <c r="A751" s="72">
        <v>1</v>
      </c>
      <c r="B751" s="47" t="s">
        <v>276</v>
      </c>
      <c r="D751" s="72">
        <v>1</v>
      </c>
      <c r="E751" s="66"/>
      <c r="F751" s="164">
        <v>0</v>
      </c>
      <c r="G751" s="163">
        <v>0</v>
      </c>
      <c r="H751" s="164">
        <v>0</v>
      </c>
      <c r="I751" s="163">
        <v>0</v>
      </c>
      <c r="J751" s="163"/>
    </row>
    <row r="752" spans="1:10" ht="12">
      <c r="A752" s="72">
        <v>2</v>
      </c>
      <c r="B752" s="47" t="s">
        <v>268</v>
      </c>
      <c r="D752" s="72">
        <v>2</v>
      </c>
      <c r="E752" s="66"/>
      <c r="F752" s="164"/>
      <c r="G752" s="163">
        <v>0</v>
      </c>
      <c r="H752" s="164"/>
      <c r="I752" s="163">
        <v>0</v>
      </c>
      <c r="J752" s="163"/>
    </row>
    <row r="753" spans="1:10" ht="12">
      <c r="A753" s="72">
        <v>3</v>
      </c>
      <c r="D753" s="72">
        <v>3</v>
      </c>
      <c r="E753" s="66"/>
      <c r="F753" s="164"/>
      <c r="G753" s="163"/>
      <c r="H753" s="164"/>
      <c r="I753" s="163"/>
      <c r="J753" s="163"/>
    </row>
    <row r="754" spans="1:12" ht="12">
      <c r="A754" s="72">
        <v>4</v>
      </c>
      <c r="B754" s="47" t="s">
        <v>270</v>
      </c>
      <c r="D754" s="72">
        <v>4</v>
      </c>
      <c r="E754" s="66"/>
      <c r="F754" s="164">
        <v>0</v>
      </c>
      <c r="G754" s="163">
        <v>0</v>
      </c>
      <c r="H754" s="164">
        <v>0</v>
      </c>
      <c r="I754" s="163">
        <v>0</v>
      </c>
      <c r="J754" s="163"/>
      <c r="K754" s="200">
        <v>0</v>
      </c>
      <c r="L754" s="163">
        <v>0</v>
      </c>
    </row>
    <row r="755" spans="1:10" ht="12">
      <c r="A755" s="72">
        <v>5</v>
      </c>
      <c r="D755" s="72">
        <v>5</v>
      </c>
      <c r="E755" s="66"/>
      <c r="F755" s="164"/>
      <c r="G755" s="163"/>
      <c r="H755" s="164"/>
      <c r="I755" s="163"/>
      <c r="J755" s="163"/>
    </row>
    <row r="756" spans="1:10" ht="12">
      <c r="A756" s="72">
        <v>6</v>
      </c>
      <c r="D756" s="72">
        <v>6</v>
      </c>
      <c r="E756" s="66"/>
      <c r="F756" s="164"/>
      <c r="G756" s="163"/>
      <c r="H756" s="164"/>
      <c r="I756" s="163"/>
      <c r="J756" s="163"/>
    </row>
    <row r="757" spans="1:10" ht="12">
      <c r="A757" s="72">
        <v>7</v>
      </c>
      <c r="B757" s="47" t="s">
        <v>253</v>
      </c>
      <c r="D757" s="72">
        <v>7</v>
      </c>
      <c r="E757" s="66"/>
      <c r="F757" s="164">
        <v>0</v>
      </c>
      <c r="G757" s="163">
        <v>0</v>
      </c>
      <c r="H757" s="164">
        <v>0</v>
      </c>
      <c r="I757" s="163">
        <v>0</v>
      </c>
      <c r="J757" s="163"/>
    </row>
    <row r="758" spans="1:10" ht="12">
      <c r="A758" s="72">
        <v>8</v>
      </c>
      <c r="B758" s="47" t="s">
        <v>254</v>
      </c>
      <c r="D758" s="72">
        <v>8</v>
      </c>
      <c r="E758" s="66"/>
      <c r="F758" s="164"/>
      <c r="G758" s="163">
        <v>0</v>
      </c>
      <c r="H758" s="164"/>
      <c r="I758" s="163">
        <v>0</v>
      </c>
      <c r="J758" s="163"/>
    </row>
    <row r="759" spans="1:12" ht="12">
      <c r="A759" s="72">
        <v>9</v>
      </c>
      <c r="B759" s="47" t="s">
        <v>255</v>
      </c>
      <c r="D759" s="72">
        <v>9</v>
      </c>
      <c r="E759" s="66"/>
      <c r="F759" s="164">
        <v>0</v>
      </c>
      <c r="G759" s="163">
        <v>0</v>
      </c>
      <c r="H759" s="164">
        <v>0</v>
      </c>
      <c r="I759" s="163">
        <v>0</v>
      </c>
      <c r="J759" s="163"/>
      <c r="K759" s="200">
        <v>0</v>
      </c>
      <c r="L759" s="163">
        <v>0</v>
      </c>
    </row>
    <row r="760" spans="1:10" ht="12">
      <c r="A760" s="72">
        <v>10</v>
      </c>
      <c r="D760" s="72">
        <v>10</v>
      </c>
      <c r="E760" s="66"/>
      <c r="F760" s="164"/>
      <c r="G760" s="163"/>
      <c r="H760" s="164"/>
      <c r="I760" s="163"/>
      <c r="J760" s="163"/>
    </row>
    <row r="761" spans="1:12" ht="12">
      <c r="A761" s="72">
        <v>11</v>
      </c>
      <c r="B761" s="47" t="s">
        <v>256</v>
      </c>
      <c r="D761" s="72">
        <v>11</v>
      </c>
      <c r="E761" s="66"/>
      <c r="F761" s="164">
        <v>0</v>
      </c>
      <c r="G761" s="163">
        <v>0</v>
      </c>
      <c r="H761" s="164">
        <v>0</v>
      </c>
      <c r="I761" s="163">
        <v>0</v>
      </c>
      <c r="J761" s="163"/>
      <c r="K761" s="200">
        <v>0</v>
      </c>
      <c r="L761" s="163">
        <v>0</v>
      </c>
    </row>
    <row r="762" spans="1:10" ht="12">
      <c r="A762" s="72">
        <v>12</v>
      </c>
      <c r="D762" s="72">
        <v>12</v>
      </c>
      <c r="E762" s="66"/>
      <c r="F762" s="164"/>
      <c r="G762" s="163"/>
      <c r="H762" s="164"/>
      <c r="I762" s="163"/>
      <c r="J762" s="163"/>
    </row>
    <row r="763" spans="1:10" ht="12">
      <c r="A763" s="72">
        <v>13</v>
      </c>
      <c r="B763" s="47" t="s">
        <v>277</v>
      </c>
      <c r="D763" s="72">
        <v>13</v>
      </c>
      <c r="E763" s="66"/>
      <c r="F763" s="164"/>
      <c r="G763" s="163">
        <v>0</v>
      </c>
      <c r="H763" s="164"/>
      <c r="I763" s="163">
        <v>0</v>
      </c>
      <c r="J763" s="163"/>
    </row>
    <row r="764" spans="1:10" ht="12">
      <c r="A764" s="72">
        <v>14</v>
      </c>
      <c r="D764" s="72">
        <v>14</v>
      </c>
      <c r="E764" s="66"/>
      <c r="F764" s="164"/>
      <c r="G764" s="163"/>
      <c r="H764" s="164"/>
      <c r="I764" s="163"/>
      <c r="J764" s="163"/>
    </row>
    <row r="765" spans="1:10" ht="12">
      <c r="A765" s="72">
        <v>15</v>
      </c>
      <c r="B765" s="47" t="s">
        <v>258</v>
      </c>
      <c r="D765" s="72">
        <v>15</v>
      </c>
      <c r="E765" s="66"/>
      <c r="F765" s="164"/>
      <c r="G765" s="163">
        <v>0</v>
      </c>
      <c r="H765" s="164"/>
      <c r="I765" s="163">
        <v>0</v>
      </c>
      <c r="J765" s="163"/>
    </row>
    <row r="766" spans="1:10" ht="12">
      <c r="A766" s="72">
        <v>16</v>
      </c>
      <c r="B766" s="47" t="s">
        <v>259</v>
      </c>
      <c r="D766" s="72">
        <v>16</v>
      </c>
      <c r="E766" s="66"/>
      <c r="F766" s="164"/>
      <c r="G766" s="163">
        <v>0</v>
      </c>
      <c r="H766" s="164"/>
      <c r="I766" s="163"/>
      <c r="J766" s="163"/>
    </row>
    <row r="767" spans="1:10" ht="12">
      <c r="A767" s="72">
        <v>17</v>
      </c>
      <c r="B767" s="47" t="s">
        <v>278</v>
      </c>
      <c r="D767" s="72">
        <v>17</v>
      </c>
      <c r="E767" s="66"/>
      <c r="F767" s="164"/>
      <c r="G767" s="163">
        <v>0</v>
      </c>
      <c r="H767" s="164"/>
      <c r="I767" s="163">
        <v>0</v>
      </c>
      <c r="J767" s="163"/>
    </row>
    <row r="768" spans="1:10" ht="12">
      <c r="A768" s="72">
        <v>18</v>
      </c>
      <c r="B768" s="47"/>
      <c r="D768" s="72">
        <v>18</v>
      </c>
      <c r="E768" s="66"/>
      <c r="F768" s="164"/>
      <c r="G768" s="163"/>
      <c r="H768" s="164"/>
      <c r="I768" s="163"/>
      <c r="J768" s="163"/>
    </row>
    <row r="769" spans="1:10" ht="12">
      <c r="A769" s="72">
        <v>19</v>
      </c>
      <c r="B769" s="47"/>
      <c r="D769" s="72">
        <v>19</v>
      </c>
      <c r="E769" s="66"/>
      <c r="F769" s="164"/>
      <c r="G769" s="163"/>
      <c r="H769" s="164"/>
      <c r="I769" s="163"/>
      <c r="J769" s="163"/>
    </row>
    <row r="770" spans="1:10" ht="12">
      <c r="A770" s="72">
        <v>20</v>
      </c>
      <c r="B770" s="47"/>
      <c r="D770" s="72">
        <v>20</v>
      </c>
      <c r="E770" s="66"/>
      <c r="F770" s="164"/>
      <c r="G770" s="163"/>
      <c r="H770" s="164"/>
      <c r="I770" s="163"/>
      <c r="J770" s="163"/>
    </row>
    <row r="771" spans="1:10" ht="12">
      <c r="A771" s="72">
        <v>21</v>
      </c>
      <c r="B771" s="47"/>
      <c r="D771" s="72">
        <v>21</v>
      </c>
      <c r="E771" s="66"/>
      <c r="F771" s="164"/>
      <c r="G771" s="163"/>
      <c r="H771" s="164"/>
      <c r="I771" s="163"/>
      <c r="J771" s="163"/>
    </row>
    <row r="772" spans="1:10" ht="12">
      <c r="A772" s="72">
        <v>22</v>
      </c>
      <c r="B772" s="47"/>
      <c r="D772" s="72">
        <v>22</v>
      </c>
      <c r="E772" s="66"/>
      <c r="F772" s="164"/>
      <c r="G772" s="163"/>
      <c r="H772" s="164"/>
      <c r="I772" s="163"/>
      <c r="J772" s="163"/>
    </row>
    <row r="773" spans="1:10" ht="12">
      <c r="A773" s="72">
        <v>23</v>
      </c>
      <c r="B773" s="47"/>
      <c r="D773" s="72">
        <v>23</v>
      </c>
      <c r="E773" s="66"/>
      <c r="F773" s="164"/>
      <c r="G773" s="163"/>
      <c r="H773" s="164"/>
      <c r="I773" s="163"/>
      <c r="J773" s="163"/>
    </row>
    <row r="774" spans="1:10" ht="12">
      <c r="A774" s="72">
        <v>24</v>
      </c>
      <c r="B774" s="47"/>
      <c r="D774" s="72">
        <v>24</v>
      </c>
      <c r="E774" s="66"/>
      <c r="F774" s="131"/>
      <c r="G774" s="158"/>
      <c r="H774" s="131"/>
      <c r="I774" s="158"/>
      <c r="J774" s="158"/>
    </row>
    <row r="775" spans="1:12" ht="12">
      <c r="A775" s="45" t="s">
        <v>1</v>
      </c>
      <c r="B775" s="45" t="s">
        <v>1</v>
      </c>
      <c r="C775" s="45" t="s">
        <v>1</v>
      </c>
      <c r="D775" s="45" t="s">
        <v>1</v>
      </c>
      <c r="E775" s="45" t="s">
        <v>1</v>
      </c>
      <c r="F775" s="95" t="s">
        <v>1</v>
      </c>
      <c r="G775" s="71" t="s">
        <v>1</v>
      </c>
      <c r="H775" s="95" t="s">
        <v>1</v>
      </c>
      <c r="I775" s="71" t="s">
        <v>1</v>
      </c>
      <c r="J775" s="71"/>
      <c r="K775" s="193" t="s">
        <v>1</v>
      </c>
      <c r="L775" s="71" t="s">
        <v>1</v>
      </c>
    </row>
    <row r="776" spans="1:12" ht="15.75" customHeight="1">
      <c r="A776" s="72">
        <v>25</v>
      </c>
      <c r="B776" s="47" t="s">
        <v>494</v>
      </c>
      <c r="D776" s="72">
        <v>25</v>
      </c>
      <c r="F776" s="170">
        <v>0</v>
      </c>
      <c r="G776" s="159">
        <v>0</v>
      </c>
      <c r="H776" s="170">
        <v>0</v>
      </c>
      <c r="I776" s="159">
        <v>0</v>
      </c>
      <c r="J776" s="159"/>
      <c r="K776" s="194">
        <v>0</v>
      </c>
      <c r="L776" s="159">
        <v>0</v>
      </c>
    </row>
    <row r="777" spans="4:12" ht="12">
      <c r="D777" s="68"/>
      <c r="E777" s="44" t="s">
        <v>1</v>
      </c>
      <c r="F777" s="95"/>
      <c r="G777" s="71"/>
      <c r="H777" s="95"/>
      <c r="I777" s="71"/>
      <c r="J777" s="71"/>
      <c r="K777" s="193" t="s">
        <v>1</v>
      </c>
      <c r="L777" s="71" t="s">
        <v>1</v>
      </c>
    </row>
    <row r="778" spans="1:10" ht="12">
      <c r="A778" s="47"/>
      <c r="G778" s="58"/>
      <c r="I778" s="58"/>
      <c r="J778" s="58"/>
    </row>
    <row r="779" spans="1:12" s="93" customFormat="1" ht="12">
      <c r="A779" s="91" t="s">
        <v>528</v>
      </c>
      <c r="D779" s="112"/>
      <c r="F779" s="113"/>
      <c r="G779" s="114"/>
      <c r="H779" s="113"/>
      <c r="J779" s="92"/>
      <c r="K779" s="197"/>
      <c r="L779" s="92" t="s">
        <v>321</v>
      </c>
    </row>
    <row r="780" spans="1:12" s="93" customFormat="1" ht="12">
      <c r="A780" s="454" t="s">
        <v>495</v>
      </c>
      <c r="B780" s="454"/>
      <c r="C780" s="454"/>
      <c r="D780" s="454"/>
      <c r="E780" s="454"/>
      <c r="F780" s="454"/>
      <c r="G780" s="454"/>
      <c r="H780" s="454"/>
      <c r="I780" s="454"/>
      <c r="J780" s="454"/>
      <c r="K780" s="454"/>
      <c r="L780" s="454"/>
    </row>
    <row r="781" spans="1:12" ht="12">
      <c r="A781" s="91" t="s">
        <v>527</v>
      </c>
      <c r="G781" s="189"/>
      <c r="H781" s="84"/>
      <c r="J781" s="94"/>
      <c r="L781" s="94" t="s">
        <v>71</v>
      </c>
    </row>
    <row r="782" spans="1:12" ht="12">
      <c r="A782" s="45" t="s">
        <v>1</v>
      </c>
      <c r="B782" s="45" t="s">
        <v>1</v>
      </c>
      <c r="C782" s="45" t="s">
        <v>1</v>
      </c>
      <c r="D782" s="45" t="s">
        <v>1</v>
      </c>
      <c r="E782" s="45" t="s">
        <v>1</v>
      </c>
      <c r="F782" s="95" t="s">
        <v>1</v>
      </c>
      <c r="G782" s="71" t="s">
        <v>1</v>
      </c>
      <c r="H782" s="95" t="s">
        <v>1</v>
      </c>
      <c r="I782" s="71" t="s">
        <v>1</v>
      </c>
      <c r="J782" s="71" t="s">
        <v>1</v>
      </c>
      <c r="K782" s="193" t="s">
        <v>1</v>
      </c>
      <c r="L782" s="71" t="s">
        <v>1</v>
      </c>
    </row>
    <row r="783" spans="1:12" ht="12">
      <c r="A783" s="59" t="s">
        <v>2</v>
      </c>
      <c r="D783" s="59" t="s">
        <v>2</v>
      </c>
      <c r="E783" s="77"/>
      <c r="F783" s="96"/>
      <c r="G783" s="87" t="s">
        <v>62</v>
      </c>
      <c r="H783" s="96"/>
      <c r="I783" s="77" t="s">
        <v>65</v>
      </c>
      <c r="J783" s="87"/>
      <c r="L783" s="77" t="s">
        <v>70</v>
      </c>
    </row>
    <row r="784" spans="1:12" ht="12">
      <c r="A784" s="59" t="s">
        <v>4</v>
      </c>
      <c r="B784" s="80" t="s">
        <v>18</v>
      </c>
      <c r="D784" s="59" t="s">
        <v>4</v>
      </c>
      <c r="E784" s="77"/>
      <c r="F784" s="96"/>
      <c r="G784" s="87" t="s">
        <v>7</v>
      </c>
      <c r="H784" s="96"/>
      <c r="I784" s="87" t="s">
        <v>7</v>
      </c>
      <c r="J784" s="87"/>
      <c r="L784" s="77" t="s">
        <v>8</v>
      </c>
    </row>
    <row r="785" spans="1:12" ht="12">
      <c r="A785" s="45" t="s">
        <v>1</v>
      </c>
      <c r="B785" s="45" t="s">
        <v>1</v>
      </c>
      <c r="C785" s="45" t="s">
        <v>1</v>
      </c>
      <c r="D785" s="45" t="s">
        <v>1</v>
      </c>
      <c r="E785" s="45" t="s">
        <v>1</v>
      </c>
      <c r="F785" s="95" t="s">
        <v>1</v>
      </c>
      <c r="G785" s="71" t="s">
        <v>1</v>
      </c>
      <c r="H785" s="95" t="s">
        <v>1</v>
      </c>
      <c r="I785" s="71" t="s">
        <v>1</v>
      </c>
      <c r="J785" s="71" t="s">
        <v>1</v>
      </c>
      <c r="K785" s="193" t="s">
        <v>1</v>
      </c>
      <c r="L785" s="71" t="s">
        <v>1</v>
      </c>
    </row>
    <row r="786" spans="1:12" ht="12">
      <c r="A786" s="63">
        <v>1</v>
      </c>
      <c r="B786" s="48" t="s">
        <v>496</v>
      </c>
      <c r="D786" s="63">
        <v>1</v>
      </c>
      <c r="E786" s="66"/>
      <c r="F786" s="163"/>
      <c r="G786" s="163">
        <v>3950472</v>
      </c>
      <c r="H786" s="163"/>
      <c r="I786" s="163">
        <v>5044600</v>
      </c>
      <c r="J786" s="163"/>
      <c r="L786" s="82">
        <v>5068517</v>
      </c>
    </row>
    <row r="787" spans="1:12" ht="12">
      <c r="A787" s="63">
        <v>2</v>
      </c>
      <c r="D787" s="63">
        <v>2</v>
      </c>
      <c r="E787" s="66"/>
      <c r="F787" s="163"/>
      <c r="G787" s="163"/>
      <c r="H787" s="163"/>
      <c r="I787" s="163">
        <v>0</v>
      </c>
      <c r="J787" s="163"/>
      <c r="L787" s="82"/>
    </row>
    <row r="788" spans="1:12" ht="12">
      <c r="A788" s="63">
        <v>3</v>
      </c>
      <c r="B788" s="66"/>
      <c r="D788" s="63">
        <v>3</v>
      </c>
      <c r="E788" s="66"/>
      <c r="F788" s="163"/>
      <c r="G788" s="163">
        <v>0</v>
      </c>
      <c r="H788" s="163"/>
      <c r="I788" s="163">
        <v>0</v>
      </c>
      <c r="J788" s="163"/>
      <c r="L788" s="82"/>
    </row>
    <row r="789" spans="1:12" ht="12">
      <c r="A789" s="63">
        <v>4</v>
      </c>
      <c r="B789" s="66"/>
      <c r="D789" s="63">
        <v>4</v>
      </c>
      <c r="E789" s="66"/>
      <c r="F789" s="163"/>
      <c r="G789" s="163">
        <v>0</v>
      </c>
      <c r="H789" s="163"/>
      <c r="I789" s="163">
        <v>0</v>
      </c>
      <c r="J789" s="163"/>
      <c r="L789" s="82"/>
    </row>
    <row r="790" spans="1:12" ht="12">
      <c r="A790" s="63">
        <v>5</v>
      </c>
      <c r="B790" s="47"/>
      <c r="D790" s="63">
        <v>5</v>
      </c>
      <c r="E790" s="66"/>
      <c r="F790" s="163"/>
      <c r="G790" s="163">
        <v>0</v>
      </c>
      <c r="H790" s="163"/>
      <c r="I790" s="163">
        <v>0</v>
      </c>
      <c r="J790" s="163"/>
      <c r="L790" s="82"/>
    </row>
    <row r="791" spans="1:12" ht="12">
      <c r="A791" s="63">
        <v>6</v>
      </c>
      <c r="B791" s="66"/>
      <c r="D791" s="63">
        <v>6</v>
      </c>
      <c r="E791" s="66"/>
      <c r="F791" s="163"/>
      <c r="G791" s="163">
        <v>0</v>
      </c>
      <c r="H791" s="163"/>
      <c r="I791" s="163">
        <v>0</v>
      </c>
      <c r="J791" s="163"/>
      <c r="L791" s="82"/>
    </row>
    <row r="792" spans="1:12" ht="12">
      <c r="A792" s="63">
        <v>7</v>
      </c>
      <c r="B792" s="66"/>
      <c r="D792" s="63">
        <v>7</v>
      </c>
      <c r="E792" s="66"/>
      <c r="F792" s="163"/>
      <c r="G792" s="163">
        <v>0</v>
      </c>
      <c r="H792" s="163"/>
      <c r="I792" s="163">
        <v>0</v>
      </c>
      <c r="J792" s="163"/>
      <c r="L792" s="82"/>
    </row>
    <row r="793" spans="1:12" ht="12">
      <c r="A793" s="63">
        <v>8</v>
      </c>
      <c r="D793" s="63">
        <v>8</v>
      </c>
      <c r="E793" s="66"/>
      <c r="F793" s="163"/>
      <c r="G793" s="163">
        <v>0</v>
      </c>
      <c r="H793" s="163"/>
      <c r="I793" s="163">
        <v>0</v>
      </c>
      <c r="J793" s="163"/>
      <c r="L793" s="82"/>
    </row>
    <row r="794" spans="1:12" ht="12">
      <c r="A794" s="63">
        <v>9</v>
      </c>
      <c r="D794" s="63">
        <v>9</v>
      </c>
      <c r="E794" s="66"/>
      <c r="F794" s="163"/>
      <c r="G794" s="163">
        <v>0</v>
      </c>
      <c r="H794" s="163"/>
      <c r="I794" s="163">
        <v>0</v>
      </c>
      <c r="J794" s="163"/>
      <c r="L794" s="82"/>
    </row>
    <row r="795" spans="1:12" ht="12">
      <c r="A795" s="67"/>
      <c r="D795" s="67"/>
      <c r="E795" s="44" t="s">
        <v>1</v>
      </c>
      <c r="F795" s="178" t="s">
        <v>1</v>
      </c>
      <c r="G795" s="178"/>
      <c r="H795" s="178"/>
      <c r="I795" s="178"/>
      <c r="J795" s="178"/>
      <c r="K795" s="193"/>
      <c r="L795" s="46"/>
    </row>
    <row r="796" spans="1:12" ht="12">
      <c r="A796" s="63">
        <v>10</v>
      </c>
      <c r="B796" s="48" t="s">
        <v>501</v>
      </c>
      <c r="D796" s="63">
        <v>10</v>
      </c>
      <c r="F796" s="160"/>
      <c r="G796" s="163">
        <v>3950472</v>
      </c>
      <c r="H796" s="160"/>
      <c r="I796" s="163">
        <v>5044600</v>
      </c>
      <c r="J796" s="163"/>
      <c r="L796" s="199">
        <v>5068517</v>
      </c>
    </row>
    <row r="797" spans="1:12" ht="12">
      <c r="A797" s="63"/>
      <c r="D797" s="63"/>
      <c r="E797" s="44" t="s">
        <v>1</v>
      </c>
      <c r="F797" s="178" t="s">
        <v>1</v>
      </c>
      <c r="G797" s="178"/>
      <c r="H797" s="178"/>
      <c r="I797" s="178"/>
      <c r="J797" s="178"/>
      <c r="K797" s="193"/>
      <c r="L797" s="46"/>
    </row>
    <row r="798" spans="1:12" ht="12">
      <c r="A798" s="63">
        <v>11</v>
      </c>
      <c r="B798" s="66"/>
      <c r="D798" s="63">
        <v>11</v>
      </c>
      <c r="E798" s="66"/>
      <c r="F798" s="163"/>
      <c r="G798" s="163"/>
      <c r="H798" s="163"/>
      <c r="I798" s="163"/>
      <c r="J798" s="163"/>
      <c r="L798" s="82"/>
    </row>
    <row r="799" spans="1:12" ht="12">
      <c r="A799" s="63">
        <v>12</v>
      </c>
      <c r="B799" s="47" t="s">
        <v>502</v>
      </c>
      <c r="D799" s="63">
        <v>12</v>
      </c>
      <c r="E799" s="66"/>
      <c r="F799" s="163"/>
      <c r="G799" s="60">
        <v>5373846</v>
      </c>
      <c r="H799" s="163"/>
      <c r="I799" s="60">
        <v>13158448</v>
      </c>
      <c r="J799" s="60"/>
      <c r="L799" s="82">
        <v>17498866</v>
      </c>
    </row>
    <row r="800" spans="1:12" ht="12">
      <c r="A800" s="63">
        <v>13</v>
      </c>
      <c r="B800" s="66" t="s">
        <v>529</v>
      </c>
      <c r="D800" s="63">
        <v>13</v>
      </c>
      <c r="E800" s="66"/>
      <c r="F800" s="163"/>
      <c r="G800" s="163">
        <v>2684885</v>
      </c>
      <c r="H800" s="163"/>
      <c r="I800" s="163">
        <v>2985495</v>
      </c>
      <c r="J800" s="163"/>
      <c r="L800" s="82">
        <v>2983688</v>
      </c>
    </row>
    <row r="801" spans="1:12" ht="12">
      <c r="A801" s="63">
        <v>14</v>
      </c>
      <c r="D801" s="63">
        <v>14</v>
      </c>
      <c r="E801" s="66"/>
      <c r="F801" s="163"/>
      <c r="G801" s="163"/>
      <c r="H801" s="163"/>
      <c r="I801" s="163">
        <v>0</v>
      </c>
      <c r="J801" s="163"/>
      <c r="L801" s="82"/>
    </row>
    <row r="802" spans="1:12" ht="12">
      <c r="A802" s="63">
        <v>15</v>
      </c>
      <c r="D802" s="63">
        <v>15</v>
      </c>
      <c r="E802" s="66"/>
      <c r="F802" s="163"/>
      <c r="G802" s="163"/>
      <c r="H802" s="163"/>
      <c r="I802" s="163">
        <v>0</v>
      </c>
      <c r="J802" s="163"/>
      <c r="L802" s="82"/>
    </row>
    <row r="803" spans="1:12" ht="12">
      <c r="A803" s="63">
        <v>16</v>
      </c>
      <c r="D803" s="63">
        <v>16</v>
      </c>
      <c r="E803" s="66"/>
      <c r="F803" s="163"/>
      <c r="G803" s="163">
        <v>0</v>
      </c>
      <c r="H803" s="163"/>
      <c r="I803" s="163">
        <v>0</v>
      </c>
      <c r="J803" s="163"/>
      <c r="L803" s="82"/>
    </row>
    <row r="804" spans="1:12" ht="12">
      <c r="A804" s="63">
        <v>17</v>
      </c>
      <c r="B804" s="64"/>
      <c r="C804" s="65"/>
      <c r="D804" s="63">
        <v>17</v>
      </c>
      <c r="E804" s="66"/>
      <c r="F804" s="163"/>
      <c r="G804" s="163">
        <v>0</v>
      </c>
      <c r="H804" s="163"/>
      <c r="I804" s="163">
        <v>0</v>
      </c>
      <c r="J804" s="163"/>
      <c r="L804" s="82"/>
    </row>
    <row r="805" spans="1:12" ht="12">
      <c r="A805" s="63">
        <v>18</v>
      </c>
      <c r="B805" s="65"/>
      <c r="C805" s="65"/>
      <c r="D805" s="63">
        <v>18</v>
      </c>
      <c r="E805" s="66"/>
      <c r="F805" s="163"/>
      <c r="G805" s="163">
        <v>0</v>
      </c>
      <c r="H805" s="163"/>
      <c r="I805" s="163">
        <v>0</v>
      </c>
      <c r="J805" s="163"/>
      <c r="L805" s="82"/>
    </row>
    <row r="806" spans="1:12" ht="12">
      <c r="A806" s="63"/>
      <c r="B806" s="78"/>
      <c r="C806" s="65"/>
      <c r="D806" s="63"/>
      <c r="E806" s="44" t="s">
        <v>1</v>
      </c>
      <c r="F806" s="95" t="s">
        <v>1</v>
      </c>
      <c r="G806" s="71"/>
      <c r="H806" s="95"/>
      <c r="I806" s="71"/>
      <c r="J806" s="71"/>
      <c r="K806" s="193"/>
      <c r="L806" s="46"/>
    </row>
    <row r="807" spans="1:12" ht="12">
      <c r="A807" s="63">
        <v>19</v>
      </c>
      <c r="B807" s="48" t="s">
        <v>505</v>
      </c>
      <c r="C807" s="65"/>
      <c r="D807" s="63">
        <v>19</v>
      </c>
      <c r="F807" s="159"/>
      <c r="G807" s="159">
        <v>8058731</v>
      </c>
      <c r="H807" s="163"/>
      <c r="I807" s="159">
        <v>16143943</v>
      </c>
      <c r="J807" s="159"/>
      <c r="L807" s="198">
        <v>20482554</v>
      </c>
    </row>
    <row r="808" spans="1:12" ht="12">
      <c r="A808" s="63"/>
      <c r="B808" s="78"/>
      <c r="C808" s="65"/>
      <c r="D808" s="63"/>
      <c r="E808" s="44" t="s">
        <v>1</v>
      </c>
      <c r="F808" s="95" t="s">
        <v>1</v>
      </c>
      <c r="G808" s="71"/>
      <c r="H808" s="95"/>
      <c r="I808" s="71"/>
      <c r="J808" s="71"/>
      <c r="K808" s="193"/>
      <c r="L808" s="46"/>
    </row>
    <row r="809" spans="1:12" ht="12">
      <c r="A809" s="63"/>
      <c r="B809" s="65"/>
      <c r="C809" s="65"/>
      <c r="D809" s="63"/>
      <c r="G809" s="157"/>
      <c r="L809" s="82"/>
    </row>
    <row r="810" spans="1:12" ht="15.75" customHeight="1">
      <c r="A810" s="63">
        <v>20</v>
      </c>
      <c r="B810" s="47" t="s">
        <v>506</v>
      </c>
      <c r="D810" s="63">
        <v>20</v>
      </c>
      <c r="F810" s="160"/>
      <c r="G810" s="159">
        <v>12009203</v>
      </c>
      <c r="H810" s="160"/>
      <c r="I810" s="159">
        <v>21188543</v>
      </c>
      <c r="J810" s="159"/>
      <c r="L810" s="159">
        <v>25551071</v>
      </c>
    </row>
    <row r="811" spans="2:12" ht="15.75" customHeight="1">
      <c r="B811" s="103" t="s">
        <v>330</v>
      </c>
      <c r="D811" s="68"/>
      <c r="E811" s="44" t="s">
        <v>1</v>
      </c>
      <c r="F811" s="95" t="s">
        <v>1</v>
      </c>
      <c r="G811" s="71"/>
      <c r="H811" s="95"/>
      <c r="I811" s="71"/>
      <c r="J811" s="71"/>
      <c r="K811" s="193"/>
      <c r="L811" s="178"/>
    </row>
    <row r="812" ht="12">
      <c r="B812" s="47" t="s">
        <v>0</v>
      </c>
    </row>
    <row r="813" ht="12">
      <c r="C813" s="77"/>
    </row>
    <row r="814" spans="1:12" s="93" customFormat="1" ht="12">
      <c r="A814" s="91" t="s">
        <v>528</v>
      </c>
      <c r="C814" s="188"/>
      <c r="E814" s="112"/>
      <c r="F814" s="113"/>
      <c r="G814" s="114"/>
      <c r="H814" s="190"/>
      <c r="J814" s="153"/>
      <c r="K814" s="197"/>
      <c r="L814" s="153" t="s">
        <v>331</v>
      </c>
    </row>
    <row r="815" spans="1:12" s="93" customFormat="1" ht="12.75" customHeight="1">
      <c r="A815" s="455" t="s">
        <v>332</v>
      </c>
      <c r="B815" s="455"/>
      <c r="C815" s="455"/>
      <c r="D815" s="455"/>
      <c r="E815" s="455"/>
      <c r="F815" s="455"/>
      <c r="G815" s="455"/>
      <c r="H815" s="455"/>
      <c r="I815" s="455"/>
      <c r="J815" s="455"/>
      <c r="K815" s="455"/>
      <c r="L815" s="455"/>
    </row>
    <row r="816" spans="1:12" ht="12">
      <c r="A816" s="91" t="s">
        <v>527</v>
      </c>
      <c r="C816" s="473"/>
      <c r="D816" s="473"/>
      <c r="E816" s="473"/>
      <c r="I816" s="94"/>
      <c r="J816" s="94"/>
      <c r="L816" s="94" t="s">
        <v>71</v>
      </c>
    </row>
    <row r="817" spans="1:12" ht="12">
      <c r="A817" s="45" t="s">
        <v>1</v>
      </c>
      <c r="B817" s="45" t="s">
        <v>1</v>
      </c>
      <c r="C817" s="45" t="s">
        <v>1</v>
      </c>
      <c r="D817" s="45" t="s">
        <v>1</v>
      </c>
      <c r="E817" s="45" t="s">
        <v>1</v>
      </c>
      <c r="F817" s="95" t="s">
        <v>1</v>
      </c>
      <c r="G817" s="71" t="s">
        <v>1</v>
      </c>
      <c r="H817" s="95" t="s">
        <v>1</v>
      </c>
      <c r="I817" s="71" t="s">
        <v>1</v>
      </c>
      <c r="J817" s="45" t="s">
        <v>1</v>
      </c>
      <c r="K817" s="193" t="s">
        <v>1</v>
      </c>
      <c r="L817" s="71" t="s">
        <v>1</v>
      </c>
    </row>
    <row r="818" spans="1:12" ht="12">
      <c r="A818" s="59" t="s">
        <v>2</v>
      </c>
      <c r="C818" s="77"/>
      <c r="D818" s="59" t="s">
        <v>2</v>
      </c>
      <c r="E818" s="77"/>
      <c r="F818" s="474" t="s">
        <v>333</v>
      </c>
      <c r="G818" s="474"/>
      <c r="H818" s="475" t="s">
        <v>334</v>
      </c>
      <c r="I818" s="475"/>
      <c r="J818" s="196"/>
      <c r="K818" s="474" t="s">
        <v>335</v>
      </c>
      <c r="L818" s="474"/>
    </row>
    <row r="819" spans="1:12" ht="12">
      <c r="A819" s="59" t="s">
        <v>4</v>
      </c>
      <c r="B819" s="47" t="s">
        <v>510</v>
      </c>
      <c r="C819" s="77" t="s">
        <v>511</v>
      </c>
      <c r="D819" s="59" t="s">
        <v>4</v>
      </c>
      <c r="E819" s="77"/>
      <c r="F819" s="96" t="s">
        <v>338</v>
      </c>
      <c r="G819" s="87" t="s">
        <v>339</v>
      </c>
      <c r="H819" s="96" t="s">
        <v>338</v>
      </c>
      <c r="I819" s="87" t="s">
        <v>339</v>
      </c>
      <c r="J819" s="87"/>
      <c r="K819" s="195" t="s">
        <v>338</v>
      </c>
      <c r="L819" s="87" t="s">
        <v>339</v>
      </c>
    </row>
    <row r="820" spans="2:12" ht="12">
      <c r="B820" s="48" t="s">
        <v>512</v>
      </c>
      <c r="C820" s="77" t="s">
        <v>513</v>
      </c>
      <c r="D820" s="77"/>
      <c r="E820" s="77"/>
      <c r="F820" s="96" t="s">
        <v>514</v>
      </c>
      <c r="G820" s="87" t="s">
        <v>342</v>
      </c>
      <c r="H820" s="96" t="s">
        <v>514</v>
      </c>
      <c r="I820" s="87" t="s">
        <v>342</v>
      </c>
      <c r="J820" s="87"/>
      <c r="K820" s="195" t="s">
        <v>514</v>
      </c>
      <c r="L820" s="87" t="s">
        <v>342</v>
      </c>
    </row>
    <row r="821" spans="1:12" ht="12">
      <c r="A821" s="45" t="s">
        <v>1</v>
      </c>
      <c r="B821" s="45" t="s">
        <v>1</v>
      </c>
      <c r="C821" s="45" t="s">
        <v>1</v>
      </c>
      <c r="D821" s="45" t="s">
        <v>1</v>
      </c>
      <c r="E821" s="174" t="s">
        <v>515</v>
      </c>
      <c r="F821" s="95" t="s">
        <v>1</v>
      </c>
      <c r="G821" s="71" t="s">
        <v>1</v>
      </c>
      <c r="H821" s="95" t="s">
        <v>1</v>
      </c>
      <c r="I821" s="71" t="s">
        <v>1</v>
      </c>
      <c r="J821" s="45" t="s">
        <v>1</v>
      </c>
      <c r="K821" s="193" t="s">
        <v>1</v>
      </c>
      <c r="L821" s="71" t="s">
        <v>1</v>
      </c>
    </row>
    <row r="822" spans="1:12" s="5" customFormat="1" ht="12">
      <c r="A822" s="14"/>
      <c r="C822" s="36"/>
      <c r="D822" s="14"/>
      <c r="H822" s="26"/>
      <c r="I822" s="16"/>
      <c r="K822" s="26"/>
      <c r="L822" s="16"/>
    </row>
    <row r="823" spans="1:12" s="5" customFormat="1" ht="12">
      <c r="A823" s="24">
        <v>1</v>
      </c>
      <c r="B823" s="249" t="s">
        <v>343</v>
      </c>
      <c r="C823" s="250"/>
      <c r="D823" s="24">
        <v>1</v>
      </c>
      <c r="E823" s="251"/>
      <c r="F823" s="15"/>
      <c r="G823" s="18"/>
      <c r="H823" s="252"/>
      <c r="I823" s="15"/>
      <c r="J823" s="18"/>
      <c r="K823" s="26"/>
      <c r="L823" s="16"/>
    </row>
    <row r="824" spans="1:12" s="5" customFormat="1" ht="12">
      <c r="A824" s="24">
        <f aca="true" t="shared" si="0" ref="A824:A846">(A823+1)</f>
        <v>2</v>
      </c>
      <c r="B824" s="249" t="s">
        <v>343</v>
      </c>
      <c r="C824" s="250"/>
      <c r="D824" s="24">
        <v>1</v>
      </c>
      <c r="E824" s="251"/>
      <c r="F824" s="155"/>
      <c r="G824" s="155"/>
      <c r="H824" s="155"/>
      <c r="I824" s="155"/>
      <c r="J824" s="155"/>
      <c r="K824" s="26"/>
      <c r="L824" s="16"/>
    </row>
    <row r="825" spans="1:12" s="5" customFormat="1" ht="24">
      <c r="A825" s="24">
        <f t="shared" si="0"/>
        <v>3</v>
      </c>
      <c r="B825" s="253" t="s">
        <v>611</v>
      </c>
      <c r="C825" s="250"/>
      <c r="D825" s="24">
        <f aca="true" t="shared" si="1" ref="D825:D846">(D824+1)</f>
        <v>2</v>
      </c>
      <c r="E825" s="251"/>
      <c r="F825" s="155"/>
      <c r="G825" s="155"/>
      <c r="I825" s="155"/>
      <c r="J825" s="155"/>
      <c r="K825" s="26"/>
      <c r="L825" s="16"/>
    </row>
    <row r="826" spans="1:12" s="5" customFormat="1" ht="12">
      <c r="A826" s="24">
        <f t="shared" si="0"/>
        <v>4</v>
      </c>
      <c r="B826" s="253" t="s">
        <v>612</v>
      </c>
      <c r="C826" s="250"/>
      <c r="D826" s="24">
        <f t="shared" si="1"/>
        <v>3</v>
      </c>
      <c r="E826" s="251"/>
      <c r="F826" s="155"/>
      <c r="G826" s="155">
        <v>39550000</v>
      </c>
      <c r="I826" s="155"/>
      <c r="J826" s="155"/>
      <c r="K826" s="26"/>
      <c r="L826" s="16"/>
    </row>
    <row r="827" spans="1:12" s="5" customFormat="1" ht="12">
      <c r="A827" s="24">
        <f t="shared" si="0"/>
        <v>5</v>
      </c>
      <c r="B827" s="254" t="s">
        <v>613</v>
      </c>
      <c r="D827" s="24">
        <f t="shared" si="1"/>
        <v>4</v>
      </c>
      <c r="E827" s="251"/>
      <c r="F827" s="155">
        <v>63619180</v>
      </c>
      <c r="G827" s="155">
        <v>22227526</v>
      </c>
      <c r="I827" s="155"/>
      <c r="J827" s="155"/>
      <c r="K827" s="26"/>
      <c r="L827" s="16"/>
    </row>
    <row r="828" spans="1:12" s="5" customFormat="1" ht="12">
      <c r="A828" s="24">
        <f t="shared" si="0"/>
        <v>6</v>
      </c>
      <c r="B828" s="255"/>
      <c r="C828" s="256"/>
      <c r="D828" s="24">
        <f t="shared" si="1"/>
        <v>5</v>
      </c>
      <c r="E828" s="251"/>
      <c r="F828" s="26"/>
      <c r="G828" s="16"/>
      <c r="H828" s="155"/>
      <c r="I828" s="155"/>
      <c r="J828" s="155"/>
      <c r="K828" s="26"/>
      <c r="L828" s="16"/>
    </row>
    <row r="829" spans="1:12" s="5" customFormat="1" ht="12">
      <c r="A829" s="24">
        <f t="shared" si="0"/>
        <v>7</v>
      </c>
      <c r="B829" s="255"/>
      <c r="C829" s="256"/>
      <c r="D829" s="24">
        <f t="shared" si="1"/>
        <v>6</v>
      </c>
      <c r="E829" s="251"/>
      <c r="F829" s="155"/>
      <c r="G829" s="155"/>
      <c r="H829" s="155"/>
      <c r="I829" s="155"/>
      <c r="J829" s="155"/>
      <c r="K829" s="26"/>
      <c r="L829" s="16"/>
    </row>
    <row r="830" spans="1:12" s="5" customFormat="1" ht="12">
      <c r="A830" s="257">
        <f t="shared" si="0"/>
        <v>8</v>
      </c>
      <c r="B830" s="255"/>
      <c r="C830" s="250"/>
      <c r="D830" s="24">
        <f t="shared" si="1"/>
        <v>7</v>
      </c>
      <c r="E830" s="251"/>
      <c r="F830" s="155"/>
      <c r="G830" s="155"/>
      <c r="H830" s="155"/>
      <c r="I830" s="155"/>
      <c r="J830" s="155"/>
      <c r="K830" s="26"/>
      <c r="L830" s="16"/>
    </row>
    <row r="831" spans="1:12" s="5" customFormat="1" ht="12">
      <c r="A831" s="24">
        <f t="shared" si="0"/>
        <v>9</v>
      </c>
      <c r="B831" s="255"/>
      <c r="C831" s="258"/>
      <c r="D831" s="24">
        <f t="shared" si="1"/>
        <v>8</v>
      </c>
      <c r="E831" s="251"/>
      <c r="F831" s="155"/>
      <c r="G831" s="155"/>
      <c r="H831" s="155"/>
      <c r="I831" s="155"/>
      <c r="J831" s="155"/>
      <c r="K831" s="26"/>
      <c r="L831" s="16"/>
    </row>
    <row r="832" spans="1:12" s="5" customFormat="1" ht="12">
      <c r="A832" s="24">
        <f t="shared" si="0"/>
        <v>10</v>
      </c>
      <c r="B832" s="255"/>
      <c r="C832" s="256"/>
      <c r="D832" s="24">
        <f t="shared" si="1"/>
        <v>9</v>
      </c>
      <c r="E832" s="251"/>
      <c r="F832" s="155"/>
      <c r="G832" s="155"/>
      <c r="H832" s="155"/>
      <c r="I832" s="155"/>
      <c r="J832" s="155"/>
      <c r="K832" s="26"/>
      <c r="L832" s="16"/>
    </row>
    <row r="833" spans="1:12" s="5" customFormat="1" ht="12">
      <c r="A833" s="24">
        <f t="shared" si="0"/>
        <v>11</v>
      </c>
      <c r="B833" s="255"/>
      <c r="C833" s="256"/>
      <c r="D833" s="24">
        <f t="shared" si="1"/>
        <v>10</v>
      </c>
      <c r="E833" s="251"/>
      <c r="F833" s="155"/>
      <c r="G833" s="155"/>
      <c r="H833" s="155"/>
      <c r="I833" s="155"/>
      <c r="J833" s="155"/>
      <c r="K833" s="26"/>
      <c r="L833" s="16"/>
    </row>
    <row r="834" spans="1:12" s="5" customFormat="1" ht="12">
      <c r="A834" s="24">
        <f t="shared" si="0"/>
        <v>12</v>
      </c>
      <c r="B834" s="255"/>
      <c r="C834" s="250"/>
      <c r="D834" s="24">
        <f t="shared" si="1"/>
        <v>11</v>
      </c>
      <c r="E834" s="251"/>
      <c r="F834" s="155"/>
      <c r="G834" s="155"/>
      <c r="H834" s="155"/>
      <c r="I834" s="155"/>
      <c r="J834" s="155"/>
      <c r="K834" s="26"/>
      <c r="L834" s="16"/>
    </row>
    <row r="835" spans="1:12" s="5" customFormat="1" ht="12">
      <c r="A835" s="24">
        <f t="shared" si="0"/>
        <v>13</v>
      </c>
      <c r="B835" s="259"/>
      <c r="C835" s="258"/>
      <c r="D835" s="24">
        <f t="shared" si="1"/>
        <v>12</v>
      </c>
      <c r="E835" s="251"/>
      <c r="F835" s="155"/>
      <c r="G835" s="155"/>
      <c r="H835" s="155"/>
      <c r="I835" s="155"/>
      <c r="J835" s="155"/>
      <c r="K835" s="26"/>
      <c r="L835" s="16"/>
    </row>
    <row r="836" spans="1:12" s="5" customFormat="1" ht="12">
      <c r="A836" s="24">
        <f t="shared" si="0"/>
        <v>14</v>
      </c>
      <c r="B836" s="255"/>
      <c r="C836" s="258"/>
      <c r="D836" s="24">
        <f t="shared" si="1"/>
        <v>13</v>
      </c>
      <c r="E836" s="251"/>
      <c r="F836" s="155"/>
      <c r="G836" s="155"/>
      <c r="H836" s="155"/>
      <c r="I836" s="155"/>
      <c r="J836" s="155"/>
      <c r="K836" s="26"/>
      <c r="L836" s="16"/>
    </row>
    <row r="837" spans="1:12" s="5" customFormat="1" ht="12">
      <c r="A837" s="24">
        <f t="shared" si="0"/>
        <v>15</v>
      </c>
      <c r="B837" s="255"/>
      <c r="C837" s="250"/>
      <c r="D837" s="24">
        <f t="shared" si="1"/>
        <v>14</v>
      </c>
      <c r="E837" s="251"/>
      <c r="F837" s="155"/>
      <c r="G837" s="155"/>
      <c r="H837" s="155"/>
      <c r="I837" s="155"/>
      <c r="J837" s="155"/>
      <c r="K837" s="26"/>
      <c r="L837" s="16"/>
    </row>
    <row r="838" spans="1:12" s="5" customFormat="1" ht="12">
      <c r="A838" s="24">
        <f t="shared" si="0"/>
        <v>16</v>
      </c>
      <c r="B838" s="255"/>
      <c r="C838" s="258"/>
      <c r="D838" s="24">
        <f t="shared" si="1"/>
        <v>15</v>
      </c>
      <c r="E838" s="251"/>
      <c r="F838" s="155"/>
      <c r="G838" s="155"/>
      <c r="H838" s="155"/>
      <c r="I838" s="155"/>
      <c r="J838" s="155"/>
      <c r="K838" s="26"/>
      <c r="L838" s="16"/>
    </row>
    <row r="839" spans="1:12" s="5" customFormat="1" ht="12">
      <c r="A839" s="24">
        <f t="shared" si="0"/>
        <v>17</v>
      </c>
      <c r="B839" s="260"/>
      <c r="C839" s="256"/>
      <c r="D839" s="24">
        <f t="shared" si="1"/>
        <v>16</v>
      </c>
      <c r="E839" s="251"/>
      <c r="F839" s="155"/>
      <c r="G839" s="155"/>
      <c r="H839" s="158"/>
      <c r="I839" s="158"/>
      <c r="J839" s="158"/>
      <c r="K839" s="26"/>
      <c r="L839" s="16"/>
    </row>
    <row r="840" spans="1:12" s="5" customFormat="1" ht="12">
      <c r="A840" s="24">
        <f t="shared" si="0"/>
        <v>18</v>
      </c>
      <c r="B840" s="260" t="s">
        <v>364</v>
      </c>
      <c r="C840" s="256"/>
      <c r="D840" s="24">
        <f t="shared" si="1"/>
        <v>17</v>
      </c>
      <c r="E840" s="251"/>
      <c r="F840" s="158"/>
      <c r="G840" s="158"/>
      <c r="H840" s="158"/>
      <c r="I840" s="158"/>
      <c r="J840" s="158"/>
      <c r="K840" s="26"/>
      <c r="L840" s="16"/>
    </row>
    <row r="841" spans="1:12" s="5" customFormat="1" ht="12">
      <c r="A841" s="24">
        <f t="shared" si="0"/>
        <v>19</v>
      </c>
      <c r="B841" s="261" t="s">
        <v>614</v>
      </c>
      <c r="C841" s="256"/>
      <c r="D841" s="24">
        <f t="shared" si="1"/>
        <v>18</v>
      </c>
      <c r="E841" s="251"/>
      <c r="F841" s="158"/>
      <c r="G841" s="158"/>
      <c r="H841" s="158"/>
      <c r="I841" s="158"/>
      <c r="J841" s="158"/>
      <c r="K841" s="26"/>
      <c r="L841" s="16"/>
    </row>
    <row r="842" spans="1:12" s="5" customFormat="1" ht="12">
      <c r="A842" s="24">
        <f t="shared" si="0"/>
        <v>20</v>
      </c>
      <c r="B842" s="262" t="s">
        <v>615</v>
      </c>
      <c r="C842" s="256"/>
      <c r="D842" s="24">
        <f t="shared" si="1"/>
        <v>19</v>
      </c>
      <c r="E842" s="251"/>
      <c r="F842" s="158">
        <v>810260</v>
      </c>
      <c r="G842" s="158"/>
      <c r="H842" s="155"/>
      <c r="I842" s="155"/>
      <c r="J842" s="155"/>
      <c r="K842" s="26"/>
      <c r="L842" s="16"/>
    </row>
    <row r="843" spans="1:12" s="5" customFormat="1" ht="12">
      <c r="A843" s="24">
        <f t="shared" si="0"/>
        <v>21</v>
      </c>
      <c r="B843" s="263" t="s">
        <v>616</v>
      </c>
      <c r="C843" s="256"/>
      <c r="D843" s="24">
        <f t="shared" si="1"/>
        <v>20</v>
      </c>
      <c r="E843" s="251"/>
      <c r="F843" s="155">
        <v>949467</v>
      </c>
      <c r="G843" s="155"/>
      <c r="H843" s="158"/>
      <c r="I843" s="155">
        <v>1078986</v>
      </c>
      <c r="J843" s="155"/>
      <c r="K843" s="26"/>
      <c r="L843" s="16"/>
    </row>
    <row r="844" spans="1:12" s="5" customFormat="1" ht="12">
      <c r="A844" s="24">
        <f t="shared" si="0"/>
        <v>22</v>
      </c>
      <c r="B844" s="20"/>
      <c r="C844" s="256"/>
      <c r="D844" s="24">
        <f t="shared" si="1"/>
        <v>21</v>
      </c>
      <c r="F844" s="155"/>
      <c r="G844" s="155"/>
      <c r="H844" s="155"/>
      <c r="I844" s="155"/>
      <c r="J844" s="155"/>
      <c r="K844" s="26"/>
      <c r="L844" s="16"/>
    </row>
    <row r="845" spans="1:12" s="5" customFormat="1" ht="12">
      <c r="A845" s="24">
        <f t="shared" si="0"/>
        <v>23</v>
      </c>
      <c r="C845" s="256"/>
      <c r="D845" s="24">
        <f t="shared" si="1"/>
        <v>22</v>
      </c>
      <c r="E845" s="251"/>
      <c r="F845" s="155"/>
      <c r="G845" s="155"/>
      <c r="H845" s="155"/>
      <c r="I845" s="155"/>
      <c r="J845" s="155"/>
      <c r="K845" s="155"/>
      <c r="L845" s="155"/>
    </row>
    <row r="846" spans="1:12" s="5" customFormat="1" ht="12">
      <c r="A846" s="24">
        <f t="shared" si="0"/>
        <v>24</v>
      </c>
      <c r="C846" s="256"/>
      <c r="D846" s="24">
        <f t="shared" si="1"/>
        <v>23</v>
      </c>
      <c r="E846" s="251"/>
      <c r="F846" s="155"/>
      <c r="G846" s="155"/>
      <c r="H846" s="155"/>
      <c r="I846" s="155"/>
      <c r="J846" s="158"/>
      <c r="K846" s="158"/>
      <c r="L846" s="155"/>
    </row>
    <row r="847" spans="1:12" s="5" customFormat="1" ht="12">
      <c r="A847" s="5">
        <v>25</v>
      </c>
      <c r="C847" s="256"/>
      <c r="D847" s="5">
        <v>25</v>
      </c>
      <c r="E847" s="251"/>
      <c r="F847" s="155"/>
      <c r="G847" s="155"/>
      <c r="H847" s="159"/>
      <c r="I847" s="159"/>
      <c r="J847" s="158"/>
      <c r="K847" s="155"/>
      <c r="L847" s="155"/>
    </row>
    <row r="848" spans="2:12" s="5" customFormat="1" ht="12">
      <c r="B848" s="20"/>
      <c r="C848" s="256"/>
      <c r="H848" s="22"/>
      <c r="I848" s="23"/>
      <c r="J848" s="264"/>
      <c r="K848" s="22"/>
      <c r="L848" s="23"/>
    </row>
    <row r="849" spans="3:12" s="5" customFormat="1" ht="12" customHeight="1">
      <c r="C849" s="258"/>
      <c r="D849" s="265"/>
      <c r="E849" s="14" t="s">
        <v>1</v>
      </c>
      <c r="F849" s="14"/>
      <c r="G849" s="14"/>
      <c r="H849" s="15" t="s">
        <v>1</v>
      </c>
      <c r="I849" s="18" t="s">
        <v>1</v>
      </c>
      <c r="J849" s="266" t="s">
        <v>1</v>
      </c>
      <c r="K849" s="15" t="s">
        <v>1</v>
      </c>
      <c r="L849" s="18" t="s">
        <v>1</v>
      </c>
    </row>
    <row r="850" spans="1:12" s="5" customFormat="1" ht="12" customHeight="1">
      <c r="A850" s="24">
        <v>26</v>
      </c>
      <c r="B850" s="4" t="s">
        <v>526</v>
      </c>
      <c r="C850" s="250"/>
      <c r="D850" s="24">
        <v>26</v>
      </c>
      <c r="F850" s="159">
        <f>SUM(F822:F848)</f>
        <v>65378907</v>
      </c>
      <c r="G850" s="159">
        <f>SUM(G822:G848)</f>
        <v>61777526</v>
      </c>
      <c r="H850" s="159">
        <f>SUM(H822:H848)</f>
        <v>0</v>
      </c>
      <c r="I850" s="159">
        <f>SUM(I822:I848)</f>
        <v>1078986</v>
      </c>
      <c r="J850" s="159"/>
      <c r="K850" s="159">
        <f>SUM(K822:K848)</f>
        <v>0</v>
      </c>
      <c r="L850" s="159">
        <f>SUM(L822:L848)</f>
        <v>0</v>
      </c>
    </row>
    <row r="851" spans="3:12" s="5" customFormat="1" ht="12" customHeight="1">
      <c r="C851" s="258"/>
      <c r="D851" s="265"/>
      <c r="E851" s="14" t="s">
        <v>1</v>
      </c>
      <c r="F851" s="14"/>
      <c r="G851" s="14"/>
      <c r="H851" s="15" t="s">
        <v>1</v>
      </c>
      <c r="I851" s="18" t="s">
        <v>1</v>
      </c>
      <c r="J851" s="266" t="s">
        <v>1</v>
      </c>
      <c r="K851" s="15" t="s">
        <v>1</v>
      </c>
      <c r="L851" s="18" t="s">
        <v>1</v>
      </c>
    </row>
    <row r="852" spans="3:10" ht="12" customHeight="1">
      <c r="C852" s="191"/>
      <c r="D852" s="44"/>
      <c r="E852" s="68"/>
      <c r="F852" s="95"/>
      <c r="G852" s="71"/>
      <c r="H852" s="95"/>
      <c r="I852" s="71"/>
      <c r="J852" s="71"/>
    </row>
    <row r="853" spans="3:10" ht="12" customHeight="1">
      <c r="C853" s="191"/>
      <c r="D853" s="44"/>
      <c r="E853" s="68"/>
      <c r="F853" s="95"/>
      <c r="G853" s="71"/>
      <c r="H853" s="95"/>
      <c r="I853" s="71"/>
      <c r="J853" s="71"/>
    </row>
    <row r="854" spans="3:10" ht="12" customHeight="1">
      <c r="C854" s="191"/>
      <c r="D854" s="44"/>
      <c r="E854" s="68"/>
      <c r="F854" s="95"/>
      <c r="G854" s="71"/>
      <c r="H854" s="95"/>
      <c r="I854" s="71"/>
      <c r="J854" s="71"/>
    </row>
    <row r="855" spans="3:10" ht="12" customHeight="1">
      <c r="C855" s="191"/>
      <c r="D855" s="44"/>
      <c r="E855" s="68"/>
      <c r="F855" s="95"/>
      <c r="G855" s="71"/>
      <c r="H855" s="95"/>
      <c r="I855" s="71"/>
      <c r="J855" s="71"/>
    </row>
    <row r="856" spans="3:10" ht="12" customHeight="1">
      <c r="C856" s="191"/>
      <c r="D856" s="44"/>
      <c r="E856" s="68"/>
      <c r="F856" s="95"/>
      <c r="G856" s="71"/>
      <c r="H856" s="95"/>
      <c r="I856" s="71"/>
      <c r="J856" s="71"/>
    </row>
    <row r="857" spans="3:10" ht="12" customHeight="1">
      <c r="C857" s="191"/>
      <c r="D857" s="44"/>
      <c r="E857" s="68"/>
      <c r="F857" s="95"/>
      <c r="G857" s="71"/>
      <c r="H857" s="95"/>
      <c r="I857" s="71"/>
      <c r="J857" s="71"/>
    </row>
    <row r="858" spans="3:11" ht="12" customHeight="1">
      <c r="C858" s="191"/>
      <c r="D858" s="44"/>
      <c r="E858" s="68"/>
      <c r="F858" s="95"/>
      <c r="G858" s="71"/>
      <c r="H858" s="95"/>
      <c r="I858" s="71"/>
      <c r="J858" s="71"/>
      <c r="K858" s="48"/>
    </row>
    <row r="859" spans="3:11" ht="12" customHeight="1">
      <c r="C859" s="191"/>
      <c r="D859" s="44"/>
      <c r="E859" s="68"/>
      <c r="F859" s="95"/>
      <c r="G859" s="71"/>
      <c r="H859" s="95"/>
      <c r="I859" s="71"/>
      <c r="J859" s="71"/>
      <c r="K859" s="48"/>
    </row>
    <row r="860" spans="3:11" ht="12" customHeight="1">
      <c r="C860" s="191"/>
      <c r="D860" s="44"/>
      <c r="E860" s="68"/>
      <c r="F860" s="95"/>
      <c r="G860" s="71"/>
      <c r="H860" s="95"/>
      <c r="I860" s="71"/>
      <c r="J860" s="71"/>
      <c r="K860" s="48"/>
    </row>
    <row r="861" spans="3:11" ht="12" customHeight="1">
      <c r="C861" s="191"/>
      <c r="D861" s="44"/>
      <c r="E861" s="68"/>
      <c r="F861" s="95"/>
      <c r="G861" s="71"/>
      <c r="H861" s="95"/>
      <c r="I861" s="71"/>
      <c r="J861" s="71"/>
      <c r="K861" s="48"/>
    </row>
    <row r="862" spans="3:11" ht="12" customHeight="1">
      <c r="C862" s="191"/>
      <c r="D862" s="44"/>
      <c r="E862" s="68"/>
      <c r="F862" s="95"/>
      <c r="G862" s="71"/>
      <c r="H862" s="95"/>
      <c r="I862" s="71"/>
      <c r="J862" s="71"/>
      <c r="K862" s="48"/>
    </row>
    <row r="863" spans="3:11" ht="12" customHeight="1">
      <c r="C863" s="191"/>
      <c r="D863" s="44"/>
      <c r="E863" s="68"/>
      <c r="F863" s="95"/>
      <c r="G863" s="71"/>
      <c r="H863" s="95"/>
      <c r="I863" s="71"/>
      <c r="J863" s="71"/>
      <c r="K863" s="48"/>
    </row>
    <row r="864" spans="3:11" ht="12" customHeight="1">
      <c r="C864" s="191"/>
      <c r="D864" s="44"/>
      <c r="E864" s="68"/>
      <c r="F864" s="95"/>
      <c r="G864" s="71"/>
      <c r="H864" s="95"/>
      <c r="I864" s="71"/>
      <c r="J864" s="71"/>
      <c r="K864" s="48"/>
    </row>
    <row r="865" spans="3:11" ht="12" customHeight="1">
      <c r="C865" s="191"/>
      <c r="D865" s="44"/>
      <c r="E865" s="68"/>
      <c r="F865" s="95"/>
      <c r="G865" s="71"/>
      <c r="H865" s="95"/>
      <c r="I865" s="71"/>
      <c r="J865" s="71"/>
      <c r="K865" s="48"/>
    </row>
    <row r="866" spans="3:11" ht="12" customHeight="1">
      <c r="C866" s="191"/>
      <c r="D866" s="44"/>
      <c r="E866" s="68"/>
      <c r="F866" s="95"/>
      <c r="G866" s="71"/>
      <c r="H866" s="95"/>
      <c r="I866" s="71"/>
      <c r="J866" s="71"/>
      <c r="K866" s="48"/>
    </row>
    <row r="867" spans="3:11" ht="12" customHeight="1">
      <c r="C867" s="191"/>
      <c r="D867" s="44"/>
      <c r="E867" s="68"/>
      <c r="F867" s="95"/>
      <c r="G867" s="71"/>
      <c r="H867" s="95"/>
      <c r="I867" s="71"/>
      <c r="J867" s="71"/>
      <c r="K867" s="48"/>
    </row>
    <row r="868" spans="3:11" ht="12" customHeight="1">
      <c r="C868" s="191"/>
      <c r="D868" s="44"/>
      <c r="E868" s="68"/>
      <c r="F868" s="95"/>
      <c r="G868" s="71"/>
      <c r="H868" s="95"/>
      <c r="I868" s="71"/>
      <c r="J868" s="71"/>
      <c r="K868" s="48"/>
    </row>
    <row r="869" spans="3:11" ht="12" customHeight="1">
      <c r="C869" s="191"/>
      <c r="D869" s="44"/>
      <c r="E869" s="68"/>
      <c r="F869" s="95"/>
      <c r="G869" s="71"/>
      <c r="H869" s="95"/>
      <c r="I869" s="71"/>
      <c r="J869" s="71"/>
      <c r="K869" s="48"/>
    </row>
    <row r="870" spans="3:11" ht="12" customHeight="1">
      <c r="C870" s="191"/>
      <c r="D870" s="44"/>
      <c r="E870" s="68"/>
      <c r="F870" s="95"/>
      <c r="G870" s="71"/>
      <c r="H870" s="95"/>
      <c r="I870" s="71"/>
      <c r="J870" s="71"/>
      <c r="K870" s="48"/>
    </row>
    <row r="871" spans="3:11" ht="12">
      <c r="C871" s="47"/>
      <c r="F871" s="84"/>
      <c r="G871" s="58"/>
      <c r="H871" s="84"/>
      <c r="I871" s="58"/>
      <c r="J871" s="58"/>
      <c r="K871" s="48"/>
    </row>
    <row r="872" spans="3:11" ht="12">
      <c r="C872" s="47"/>
      <c r="F872" s="84"/>
      <c r="G872" s="58"/>
      <c r="H872" s="84"/>
      <c r="I872" s="58"/>
      <c r="J872" s="58"/>
      <c r="K872" s="48"/>
    </row>
    <row r="873" spans="3:11" ht="12">
      <c r="C873" s="47"/>
      <c r="F873" s="84"/>
      <c r="G873" s="58"/>
      <c r="H873" s="84"/>
      <c r="I873" s="58"/>
      <c r="J873" s="58"/>
      <c r="K873" s="48"/>
    </row>
    <row r="874" spans="3:11" ht="12">
      <c r="C874" s="47"/>
      <c r="F874" s="84"/>
      <c r="G874" s="58"/>
      <c r="H874" s="84"/>
      <c r="I874" s="58"/>
      <c r="J874" s="58"/>
      <c r="K874" s="48"/>
    </row>
    <row r="875" spans="3:11" ht="12">
      <c r="C875" s="47"/>
      <c r="F875" s="84"/>
      <c r="G875" s="58"/>
      <c r="H875" s="84"/>
      <c r="I875" s="58"/>
      <c r="J875" s="58"/>
      <c r="K875" s="48"/>
    </row>
    <row r="876" spans="3:11" ht="12">
      <c r="C876" s="47"/>
      <c r="F876" s="84"/>
      <c r="G876" s="58"/>
      <c r="H876" s="84"/>
      <c r="I876" s="58"/>
      <c r="J876" s="58"/>
      <c r="K876" s="48"/>
    </row>
    <row r="877" spans="3:11" ht="12">
      <c r="C877" s="47"/>
      <c r="F877" s="84"/>
      <c r="G877" s="58"/>
      <c r="H877" s="84"/>
      <c r="I877" s="58"/>
      <c r="J877" s="58"/>
      <c r="K877" s="48"/>
    </row>
    <row r="878" spans="3:11" ht="12">
      <c r="C878" s="47"/>
      <c r="F878" s="84"/>
      <c r="G878" s="58"/>
      <c r="H878" s="84"/>
      <c r="I878" s="58"/>
      <c r="J878" s="58"/>
      <c r="K878" s="48"/>
    </row>
    <row r="879" spans="3:11" ht="12">
      <c r="C879" s="47"/>
      <c r="F879" s="84"/>
      <c r="G879" s="58"/>
      <c r="H879" s="84"/>
      <c r="I879" s="58"/>
      <c r="J879" s="58"/>
      <c r="K879" s="48"/>
    </row>
    <row r="880" spans="3:11" ht="12">
      <c r="C880" s="47"/>
      <c r="F880" s="84"/>
      <c r="G880" s="58"/>
      <c r="H880" s="84"/>
      <c r="I880" s="58"/>
      <c r="J880" s="58"/>
      <c r="K880" s="48"/>
    </row>
    <row r="881" spans="3:11" ht="12">
      <c r="C881" s="47"/>
      <c r="F881" s="84"/>
      <c r="G881" s="58"/>
      <c r="H881" s="84"/>
      <c r="I881" s="58"/>
      <c r="J881" s="58"/>
      <c r="K881" s="48"/>
    </row>
    <row r="882" spans="3:11" ht="12">
      <c r="C882" s="47"/>
      <c r="F882" s="84"/>
      <c r="G882" s="58"/>
      <c r="H882" s="84"/>
      <c r="I882" s="58"/>
      <c r="J882" s="58"/>
      <c r="K882" s="48"/>
    </row>
    <row r="883" spans="3:11" ht="12">
      <c r="C883" s="47"/>
      <c r="F883" s="84"/>
      <c r="G883" s="58"/>
      <c r="H883" s="84"/>
      <c r="I883" s="58"/>
      <c r="J883" s="58"/>
      <c r="K883" s="48"/>
    </row>
    <row r="884" spans="3:11" ht="12">
      <c r="C884" s="47"/>
      <c r="F884" s="84"/>
      <c r="G884" s="58"/>
      <c r="H884" s="84"/>
      <c r="I884" s="58"/>
      <c r="J884" s="58"/>
      <c r="K884" s="48"/>
    </row>
    <row r="885" spans="3:11" ht="12">
      <c r="C885" s="47"/>
      <c r="F885" s="84"/>
      <c r="G885" s="58"/>
      <c r="H885" s="84"/>
      <c r="I885" s="58"/>
      <c r="J885" s="58"/>
      <c r="K885" s="48"/>
    </row>
    <row r="886" spans="3:11" ht="12">
      <c r="C886" s="47"/>
      <c r="F886" s="84"/>
      <c r="G886" s="58"/>
      <c r="H886" s="84"/>
      <c r="I886" s="58"/>
      <c r="J886" s="58"/>
      <c r="K886" s="48"/>
    </row>
    <row r="887" spans="3:11" ht="12">
      <c r="C887" s="47"/>
      <c r="F887" s="84"/>
      <c r="G887" s="58"/>
      <c r="H887" s="84"/>
      <c r="I887" s="58"/>
      <c r="J887" s="58"/>
      <c r="K887" s="48"/>
    </row>
    <row r="888" spans="3:11" ht="12">
      <c r="C888" s="47"/>
      <c r="F888" s="84"/>
      <c r="G888" s="58"/>
      <c r="H888" s="84"/>
      <c r="I888" s="58"/>
      <c r="J888" s="58"/>
      <c r="K888" s="48"/>
    </row>
    <row r="889" spans="3:11" ht="12">
      <c r="C889" s="47"/>
      <c r="F889" s="84"/>
      <c r="G889" s="58"/>
      <c r="H889" s="84"/>
      <c r="I889" s="58"/>
      <c r="J889" s="58"/>
      <c r="K889" s="48"/>
    </row>
    <row r="890" spans="3:11" ht="12">
      <c r="C890" s="47"/>
      <c r="F890" s="84"/>
      <c r="G890" s="58"/>
      <c r="H890" s="84"/>
      <c r="I890" s="58"/>
      <c r="J890" s="58"/>
      <c r="K890" s="48"/>
    </row>
    <row r="891" spans="3:11" ht="12">
      <c r="C891" s="47"/>
      <c r="F891" s="84"/>
      <c r="G891" s="58"/>
      <c r="H891" s="84"/>
      <c r="I891" s="58"/>
      <c r="J891" s="58"/>
      <c r="K891" s="48"/>
    </row>
    <row r="892" spans="3:11" ht="12">
      <c r="C892" s="47"/>
      <c r="F892" s="84"/>
      <c r="G892" s="58"/>
      <c r="H892" s="84"/>
      <c r="I892" s="58"/>
      <c r="J892" s="58"/>
      <c r="K892" s="48"/>
    </row>
    <row r="893" spans="3:11" ht="12">
      <c r="C893" s="47"/>
      <c r="F893" s="84"/>
      <c r="G893" s="58"/>
      <c r="H893" s="84"/>
      <c r="I893" s="58"/>
      <c r="J893" s="58"/>
      <c r="K893" s="48"/>
    </row>
    <row r="894" spans="3:11" ht="12">
      <c r="C894" s="47"/>
      <c r="F894" s="84"/>
      <c r="G894" s="58"/>
      <c r="H894" s="84"/>
      <c r="I894" s="58"/>
      <c r="J894" s="58"/>
      <c r="K894" s="48"/>
    </row>
    <row r="895" spans="3:11" ht="12">
      <c r="C895" s="47"/>
      <c r="F895" s="84"/>
      <c r="G895" s="58"/>
      <c r="H895" s="84"/>
      <c r="I895" s="58"/>
      <c r="J895" s="58"/>
      <c r="K895" s="48"/>
    </row>
    <row r="934" spans="3:11" ht="12">
      <c r="C934" s="77"/>
      <c r="E934" s="68"/>
      <c r="F934" s="84"/>
      <c r="G934" s="58"/>
      <c r="H934" s="84"/>
      <c r="I934" s="58"/>
      <c r="J934" s="58"/>
      <c r="K934" s="48"/>
    </row>
  </sheetData>
  <sheetProtection/>
  <mergeCells count="29">
    <mergeCell ref="A514:L514"/>
    <mergeCell ref="A478:L478"/>
    <mergeCell ref="A550:L550"/>
    <mergeCell ref="A32:L32"/>
    <mergeCell ref="A75:L75"/>
    <mergeCell ref="A121:L121"/>
    <mergeCell ref="A159:L159"/>
    <mergeCell ref="A274:L274"/>
    <mergeCell ref="A199:L199"/>
    <mergeCell ref="A745:L745"/>
    <mergeCell ref="A780:L780"/>
    <mergeCell ref="A815:L815"/>
    <mergeCell ref="A710:L710"/>
    <mergeCell ref="A319:L319"/>
    <mergeCell ref="A340:L340"/>
    <mergeCell ref="A377:L377"/>
    <mergeCell ref="A393:L393"/>
    <mergeCell ref="A429:L429"/>
    <mergeCell ref="A441:L441"/>
    <mergeCell ref="A18:L18"/>
    <mergeCell ref="A691:L691"/>
    <mergeCell ref="C816:E816"/>
    <mergeCell ref="F818:G818"/>
    <mergeCell ref="H818:I818"/>
    <mergeCell ref="A586:L586"/>
    <mergeCell ref="A622:L622"/>
    <mergeCell ref="A657:L657"/>
    <mergeCell ref="K818:L818"/>
    <mergeCell ref="B237:I237"/>
  </mergeCells>
  <printOptions horizontalCentered="1"/>
  <pageMargins left="0.3" right="0.3" top="1" bottom="1" header="0.5" footer="0.24"/>
  <pageSetup fitToHeight="47" horizontalDpi="600" verticalDpi="600" orientation="landscape" scale="85" r:id="rId1"/>
  <rowBreaks count="23" manualBreakCount="23">
    <brk id="30" max="11" man="1"/>
    <brk id="119" max="11" man="1"/>
    <brk id="157" max="11" man="1"/>
    <brk id="197" max="11" man="1"/>
    <brk id="235" max="11" man="1"/>
    <brk id="272" max="11" man="1"/>
    <brk id="316" max="11" man="1"/>
    <brk id="338" max="11" man="1"/>
    <brk id="375" max="11" man="1"/>
    <brk id="391" max="11" man="1"/>
    <brk id="427" max="11" man="1"/>
    <brk id="439" max="11" man="1"/>
    <brk id="476" max="11" man="1"/>
    <brk id="512" max="11" man="1"/>
    <brk id="548" max="11" man="1"/>
    <brk id="584" max="11" man="1"/>
    <brk id="620" max="11" man="1"/>
    <brk id="655" max="11" man="1"/>
    <brk id="689" max="11" man="1"/>
    <brk id="708" max="11" man="1"/>
    <brk id="743" max="11" man="1"/>
    <brk id="778" max="11" man="1"/>
    <brk id="813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S943"/>
  <sheetViews>
    <sheetView showGridLines="0" showZeros="0" view="pageBreakPreview" zoomScale="75" zoomScaleNormal="75" zoomScaleSheetLayoutView="75" workbookViewId="0" topLeftCell="A811">
      <selection activeCell="P7" sqref="P7"/>
    </sheetView>
  </sheetViews>
  <sheetFormatPr defaultColWidth="9.00390625" defaultRowHeight="12.75"/>
  <cols>
    <col min="1" max="1" width="4.625" style="48" customWidth="1"/>
    <col min="2" max="2" width="33.00390625" style="48" customWidth="1"/>
    <col min="3" max="3" width="19.125" style="48" customWidth="1"/>
    <col min="4" max="5" width="8.125" style="48" customWidth="1"/>
    <col min="6" max="6" width="10.00390625" style="85" bestFit="1" customWidth="1"/>
    <col min="7" max="7" width="12.625" style="57" customWidth="1"/>
    <col min="8" max="8" width="10.375" style="85" bestFit="1" customWidth="1"/>
    <col min="9" max="9" width="12.50390625" style="57" customWidth="1"/>
    <col min="10" max="10" width="5.50390625" style="57" customWidth="1"/>
    <col min="11" max="11" width="9.625" style="48" customWidth="1"/>
    <col min="12" max="12" width="13.00390625" style="48" bestFit="1" customWidth="1"/>
    <col min="13" max="14" width="9.00390625" style="48" customWidth="1"/>
    <col min="15" max="15" width="9.125" style="48" bestFit="1" customWidth="1"/>
    <col min="16" max="16384" width="9.00390625" style="48" customWidth="1"/>
  </cols>
  <sheetData>
    <row r="1" spans="11:14" s="5" customFormat="1" ht="12">
      <c r="K1" s="26"/>
      <c r="L1" s="28" t="s">
        <v>71</v>
      </c>
      <c r="N1" s="26"/>
    </row>
    <row r="2" spans="11:15" s="5" customFormat="1" ht="12">
      <c r="K2" s="26"/>
      <c r="L2" s="16"/>
      <c r="N2" s="26"/>
      <c r="O2" s="16"/>
    </row>
    <row r="3" spans="1:15" s="5" customFormat="1" ht="45">
      <c r="A3" s="385" t="s">
        <v>35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</row>
    <row r="4" spans="11:15" s="5" customFormat="1" ht="12">
      <c r="K4" s="26"/>
      <c r="L4" s="16"/>
      <c r="N4" s="26"/>
      <c r="O4" s="16"/>
    </row>
    <row r="5" spans="11:15" s="5" customFormat="1" ht="12">
      <c r="K5" s="26"/>
      <c r="L5" s="16"/>
      <c r="N5" s="26"/>
      <c r="O5" s="16"/>
    </row>
    <row r="6" spans="1:15" s="29" customFormat="1" ht="33">
      <c r="A6" s="386" t="s">
        <v>72</v>
      </c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</row>
    <row r="7" spans="1:15" s="29" customFormat="1" ht="33">
      <c r="A7" s="386" t="s">
        <v>73</v>
      </c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</row>
    <row r="8" spans="11:15" s="5" customFormat="1" ht="12">
      <c r="K8" s="26"/>
      <c r="L8" s="16"/>
      <c r="N8" s="26"/>
      <c r="O8" s="16"/>
    </row>
    <row r="9" spans="11:15" s="5" customFormat="1" ht="12">
      <c r="K9" s="26"/>
      <c r="L9" s="16"/>
      <c r="N9" s="26"/>
      <c r="O9" s="16"/>
    </row>
    <row r="10" spans="11:15" s="5" customFormat="1" ht="12">
      <c r="K10" s="26"/>
      <c r="L10" s="16"/>
      <c r="N10" s="26"/>
      <c r="O10" s="16"/>
    </row>
    <row r="11" spans="11:15" s="5" customFormat="1" ht="12">
      <c r="K11" s="26"/>
      <c r="L11" s="16"/>
      <c r="N11" s="26"/>
      <c r="O11" s="16"/>
    </row>
    <row r="12" spans="11:15" s="5" customFormat="1" ht="12">
      <c r="K12" s="26"/>
      <c r="L12" s="16"/>
      <c r="N12" s="26"/>
      <c r="O12" s="16"/>
    </row>
    <row r="13" spans="11:15" s="5" customFormat="1" ht="12">
      <c r="K13" s="26"/>
      <c r="L13" s="16"/>
      <c r="N13" s="26"/>
      <c r="O13" s="16"/>
    </row>
    <row r="14" spans="11:15" s="5" customFormat="1" ht="12">
      <c r="K14" s="26"/>
      <c r="L14" s="16"/>
      <c r="N14" s="26"/>
      <c r="O14" s="16"/>
    </row>
    <row r="15" spans="11:15" s="5" customFormat="1" ht="12">
      <c r="K15" s="26"/>
      <c r="L15" s="16"/>
      <c r="N15" s="26"/>
      <c r="O15" s="16"/>
    </row>
    <row r="16" spans="11:15" s="5" customFormat="1" ht="12">
      <c r="K16" s="26"/>
      <c r="L16" s="16"/>
      <c r="N16" s="26"/>
      <c r="O16" s="16"/>
    </row>
    <row r="17" spans="11:15" s="5" customFormat="1" ht="12">
      <c r="K17" s="26"/>
      <c r="L17" s="16"/>
      <c r="N17" s="26"/>
      <c r="O17" s="16"/>
    </row>
    <row r="18" spans="1:15" s="5" customFormat="1" ht="45">
      <c r="A18" s="452" t="s">
        <v>610</v>
      </c>
      <c r="B18" s="452"/>
      <c r="C18" s="452"/>
      <c r="D18" s="452"/>
      <c r="E18" s="452"/>
      <c r="F18" s="452"/>
      <c r="G18" s="452"/>
      <c r="H18" s="452"/>
      <c r="I18" s="452"/>
      <c r="J18" s="452"/>
      <c r="K18" s="452"/>
      <c r="L18" s="452"/>
      <c r="M18" s="90"/>
      <c r="N18" s="90"/>
      <c r="O18" s="90"/>
    </row>
    <row r="19" spans="11:15" s="5" customFormat="1" ht="12">
      <c r="K19" s="26"/>
      <c r="L19" s="16"/>
      <c r="N19" s="26"/>
      <c r="O19" s="16"/>
    </row>
    <row r="20" spans="11:15" s="5" customFormat="1" ht="12">
      <c r="K20" s="26"/>
      <c r="L20" s="16"/>
      <c r="N20" s="26"/>
      <c r="O20" s="16"/>
    </row>
    <row r="21" spans="11:15" s="5" customFormat="1" ht="12">
      <c r="K21" s="26"/>
      <c r="L21" s="16"/>
      <c r="N21" s="26"/>
      <c r="O21" s="16"/>
    </row>
    <row r="22" spans="11:15" s="5" customFormat="1" ht="12">
      <c r="K22" s="26"/>
      <c r="L22" s="16"/>
      <c r="N22" s="26"/>
      <c r="O22" s="16"/>
    </row>
    <row r="23" spans="11:15" s="5" customFormat="1" ht="12">
      <c r="K23" s="26"/>
      <c r="L23" s="16"/>
      <c r="N23" s="26"/>
      <c r="O23" s="16"/>
    </row>
    <row r="24" spans="11:15" s="5" customFormat="1" ht="12">
      <c r="K24" s="26"/>
      <c r="L24" s="16"/>
      <c r="N24" s="26"/>
      <c r="O24" s="16"/>
    </row>
    <row r="25" spans="11:15" s="5" customFormat="1" ht="12">
      <c r="K25" s="26"/>
      <c r="L25" s="16"/>
      <c r="N25" s="26"/>
      <c r="O25" s="16"/>
    </row>
    <row r="26" spans="11:15" s="5" customFormat="1" ht="12">
      <c r="K26" s="26"/>
      <c r="L26" s="16"/>
      <c r="N26" s="26"/>
      <c r="O26" s="16"/>
    </row>
    <row r="27" spans="11:15" s="5" customFormat="1" ht="12">
      <c r="K27" s="26"/>
      <c r="L27" s="16"/>
      <c r="N27" s="26"/>
      <c r="O27" s="16"/>
    </row>
    <row r="28" spans="11:15" s="5" customFormat="1" ht="12">
      <c r="K28" s="26"/>
      <c r="L28" s="16"/>
      <c r="N28" s="26"/>
      <c r="O28" s="16"/>
    </row>
    <row r="29" spans="11:15" s="5" customFormat="1" ht="12">
      <c r="K29" s="26"/>
      <c r="L29" s="16"/>
      <c r="N29" s="26"/>
      <c r="O29" s="16"/>
    </row>
    <row r="30" spans="11:15" s="5" customFormat="1" ht="12">
      <c r="K30" s="26"/>
      <c r="L30" s="16"/>
      <c r="N30" s="26"/>
      <c r="O30" s="16"/>
    </row>
    <row r="31" spans="1:12" ht="12">
      <c r="A31" s="91" t="s">
        <v>550</v>
      </c>
      <c r="F31" s="84"/>
      <c r="J31" s="92"/>
      <c r="L31" s="92" t="s">
        <v>76</v>
      </c>
    </row>
    <row r="32" spans="1:12" s="93" customFormat="1" ht="12">
      <c r="A32" s="455" t="s">
        <v>77</v>
      </c>
      <c r="B32" s="455"/>
      <c r="C32" s="455"/>
      <c r="D32" s="455"/>
      <c r="E32" s="455"/>
      <c r="F32" s="455"/>
      <c r="G32" s="455"/>
      <c r="H32" s="455"/>
      <c r="I32" s="455"/>
      <c r="J32" s="455"/>
      <c r="K32" s="455"/>
      <c r="L32" s="455"/>
    </row>
    <row r="33" spans="1:12" ht="12">
      <c r="A33" s="91" t="s">
        <v>551</v>
      </c>
      <c r="F33" s="84"/>
      <c r="H33" s="84"/>
      <c r="I33" s="94"/>
      <c r="J33" s="94"/>
      <c r="L33" s="94" t="s">
        <v>71</v>
      </c>
    </row>
    <row r="34" spans="1:12" ht="12">
      <c r="A34" s="45" t="s">
        <v>1</v>
      </c>
      <c r="B34" s="45" t="s">
        <v>1</v>
      </c>
      <c r="C34" s="45" t="s">
        <v>1</v>
      </c>
      <c r="D34" s="45" t="s">
        <v>1</v>
      </c>
      <c r="E34" s="45"/>
      <c r="F34" s="95" t="s">
        <v>1</v>
      </c>
      <c r="G34" s="71" t="s">
        <v>1</v>
      </c>
      <c r="H34" s="95" t="s">
        <v>1</v>
      </c>
      <c r="I34" s="71" t="s">
        <v>1</v>
      </c>
      <c r="J34" s="71"/>
      <c r="K34" s="71" t="s">
        <v>1</v>
      </c>
      <c r="L34" s="71" t="s">
        <v>1</v>
      </c>
    </row>
    <row r="35" spans="1:12" ht="12">
      <c r="A35" s="59" t="s">
        <v>2</v>
      </c>
      <c r="B35" s="47" t="s">
        <v>3</v>
      </c>
      <c r="D35" s="59" t="s">
        <v>2</v>
      </c>
      <c r="E35" s="59"/>
      <c r="F35" s="96"/>
      <c r="G35" s="87" t="s">
        <v>62</v>
      </c>
      <c r="H35" s="96"/>
      <c r="I35" s="87" t="s">
        <v>65</v>
      </c>
      <c r="J35" s="87"/>
      <c r="L35" s="77" t="s">
        <v>70</v>
      </c>
    </row>
    <row r="36" spans="1:12" ht="12">
      <c r="A36" s="59" t="s">
        <v>4</v>
      </c>
      <c r="B36" s="80" t="s">
        <v>5</v>
      </c>
      <c r="D36" s="59" t="s">
        <v>4</v>
      </c>
      <c r="E36" s="59"/>
      <c r="F36" s="96" t="s">
        <v>6</v>
      </c>
      <c r="G36" s="87" t="s">
        <v>7</v>
      </c>
      <c r="H36" s="96" t="s">
        <v>6</v>
      </c>
      <c r="I36" s="87" t="s">
        <v>7</v>
      </c>
      <c r="J36" s="87"/>
      <c r="K36" s="77" t="s">
        <v>19</v>
      </c>
      <c r="L36" s="77" t="s">
        <v>8</v>
      </c>
    </row>
    <row r="37" spans="1:12" ht="12">
      <c r="A37" s="45" t="s">
        <v>1</v>
      </c>
      <c r="B37" s="45" t="s">
        <v>1</v>
      </c>
      <c r="C37" s="45" t="s">
        <v>1</v>
      </c>
      <c r="D37" s="45" t="s">
        <v>1</v>
      </c>
      <c r="E37" s="45"/>
      <c r="F37" s="95" t="s">
        <v>1</v>
      </c>
      <c r="G37" s="95" t="s">
        <v>1</v>
      </c>
      <c r="H37" s="95" t="s">
        <v>1</v>
      </c>
      <c r="I37" s="71" t="s">
        <v>1</v>
      </c>
      <c r="J37" s="71"/>
      <c r="K37" s="71" t="s">
        <v>1</v>
      </c>
      <c r="L37" s="71" t="s">
        <v>1</v>
      </c>
    </row>
    <row r="38" spans="1:13" ht="12">
      <c r="A38" s="72">
        <v>1</v>
      </c>
      <c r="B38" s="47" t="s">
        <v>9</v>
      </c>
      <c r="C38" s="81" t="s">
        <v>24</v>
      </c>
      <c r="D38" s="72">
        <v>1</v>
      </c>
      <c r="E38" s="72"/>
      <c r="F38" s="97">
        <v>585.835727058245</v>
      </c>
      <c r="G38" s="98">
        <v>75285685</v>
      </c>
      <c r="H38" s="97">
        <v>570.1951937034913</v>
      </c>
      <c r="I38" s="98">
        <v>78038529</v>
      </c>
      <c r="J38" s="98"/>
      <c r="K38" s="97">
        <v>571.3058944644706</v>
      </c>
      <c r="L38" s="98">
        <v>78761531</v>
      </c>
      <c r="M38" s="72"/>
    </row>
    <row r="39" spans="1:13" ht="12">
      <c r="A39" s="72">
        <v>2</v>
      </c>
      <c r="B39" s="47" t="s">
        <v>10</v>
      </c>
      <c r="C39" s="81" t="s">
        <v>25</v>
      </c>
      <c r="D39" s="72">
        <v>2</v>
      </c>
      <c r="E39" s="72"/>
      <c r="F39" s="97">
        <v>0</v>
      </c>
      <c r="G39" s="98">
        <v>58330</v>
      </c>
      <c r="H39" s="97">
        <v>1.238121301775148</v>
      </c>
      <c r="I39" s="98">
        <v>156741</v>
      </c>
      <c r="J39" s="98"/>
      <c r="K39" s="97">
        <v>0.07396449704142012</v>
      </c>
      <c r="L39" s="98">
        <v>12892</v>
      </c>
      <c r="M39" s="72"/>
    </row>
    <row r="40" spans="1:13" ht="12">
      <c r="A40" s="72">
        <v>3</v>
      </c>
      <c r="B40" s="47" t="s">
        <v>11</v>
      </c>
      <c r="C40" s="81" t="s">
        <v>26</v>
      </c>
      <c r="D40" s="72">
        <v>3</v>
      </c>
      <c r="E40" s="72"/>
      <c r="F40" s="97">
        <v>0</v>
      </c>
      <c r="G40" s="98">
        <v>57658</v>
      </c>
      <c r="H40" s="97">
        <v>0</v>
      </c>
      <c r="I40" s="98">
        <v>18028</v>
      </c>
      <c r="J40" s="98"/>
      <c r="K40" s="97">
        <v>0</v>
      </c>
      <c r="L40" s="98">
        <v>2613</v>
      </c>
      <c r="M40" s="72"/>
    </row>
    <row r="41" spans="1:13" ht="12">
      <c r="A41" s="72">
        <v>4</v>
      </c>
      <c r="B41" s="47" t="s">
        <v>12</v>
      </c>
      <c r="C41" s="81" t="s">
        <v>27</v>
      </c>
      <c r="D41" s="72">
        <v>4</v>
      </c>
      <c r="E41" s="72"/>
      <c r="F41" s="97">
        <v>128.3396683639544</v>
      </c>
      <c r="G41" s="98">
        <v>16216300</v>
      </c>
      <c r="H41" s="97">
        <v>146.02227161566185</v>
      </c>
      <c r="I41" s="98">
        <v>17940564</v>
      </c>
      <c r="J41" s="98"/>
      <c r="K41" s="97">
        <v>141.7651860353771</v>
      </c>
      <c r="L41" s="98">
        <v>18424627</v>
      </c>
      <c r="M41" s="72"/>
    </row>
    <row r="42" spans="1:13" ht="12">
      <c r="A42" s="72">
        <v>5</v>
      </c>
      <c r="B42" s="47" t="s">
        <v>13</v>
      </c>
      <c r="C42" s="81" t="s">
        <v>28</v>
      </c>
      <c r="D42" s="72">
        <v>5</v>
      </c>
      <c r="E42" s="72"/>
      <c r="F42" s="97">
        <v>12.175753557383088</v>
      </c>
      <c r="G42" s="98">
        <v>1150311</v>
      </c>
      <c r="H42" s="97">
        <v>13.789773579122302</v>
      </c>
      <c r="I42" s="98">
        <v>1338123</v>
      </c>
      <c r="J42" s="98"/>
      <c r="K42" s="97">
        <v>12.115012633559967</v>
      </c>
      <c r="L42" s="98">
        <v>1209345</v>
      </c>
      <c r="M42" s="72"/>
    </row>
    <row r="43" spans="1:13" ht="12">
      <c r="A43" s="72">
        <v>6</v>
      </c>
      <c r="B43" s="47" t="s">
        <v>14</v>
      </c>
      <c r="C43" s="81" t="s">
        <v>29</v>
      </c>
      <c r="D43" s="72">
        <v>6</v>
      </c>
      <c r="E43" s="72"/>
      <c r="F43" s="97">
        <v>235.3270628618601</v>
      </c>
      <c r="G43" s="98">
        <v>27248477</v>
      </c>
      <c r="H43" s="97">
        <v>193.21563016832798</v>
      </c>
      <c r="I43" s="98">
        <v>22439080</v>
      </c>
      <c r="J43" s="98"/>
      <c r="K43" s="97">
        <v>194.9825477076248</v>
      </c>
      <c r="L43" s="98">
        <v>23008097</v>
      </c>
      <c r="M43" s="72"/>
    </row>
    <row r="44" spans="1:13" ht="12">
      <c r="A44" s="72">
        <v>7</v>
      </c>
      <c r="B44" s="47" t="s">
        <v>20</v>
      </c>
      <c r="C44" s="81" t="s">
        <v>30</v>
      </c>
      <c r="D44" s="72">
        <v>7</v>
      </c>
      <c r="E44" s="72"/>
      <c r="F44" s="97">
        <v>215.94443885034133</v>
      </c>
      <c r="G44" s="98">
        <v>23108711</v>
      </c>
      <c r="H44" s="97">
        <v>125.58746408333789</v>
      </c>
      <c r="I44" s="98">
        <v>17812790</v>
      </c>
      <c r="J44" s="98"/>
      <c r="K44" s="97">
        <v>123.12680532520969</v>
      </c>
      <c r="L44" s="98">
        <v>17447693</v>
      </c>
      <c r="M44" s="72"/>
    </row>
    <row r="45" spans="1:13" ht="12">
      <c r="A45" s="72">
        <v>8</v>
      </c>
      <c r="B45" s="47" t="s">
        <v>15</v>
      </c>
      <c r="C45" s="81" t="s">
        <v>31</v>
      </c>
      <c r="D45" s="72">
        <v>8</v>
      </c>
      <c r="E45" s="72"/>
      <c r="F45" s="97">
        <v>0</v>
      </c>
      <c r="G45" s="98">
        <v>1506164</v>
      </c>
      <c r="H45" s="97">
        <v>0</v>
      </c>
      <c r="I45" s="98">
        <v>1526114</v>
      </c>
      <c r="J45" s="98"/>
      <c r="K45" s="97">
        <v>0</v>
      </c>
      <c r="L45" s="98">
        <v>2707601</v>
      </c>
      <c r="M45" s="72"/>
    </row>
    <row r="46" spans="1:13" ht="12">
      <c r="A46" s="72">
        <v>9</v>
      </c>
      <c r="B46" s="47" t="s">
        <v>22</v>
      </c>
      <c r="C46" s="81" t="s">
        <v>32</v>
      </c>
      <c r="D46" s="72">
        <v>9</v>
      </c>
      <c r="E46" s="72"/>
      <c r="F46" s="97">
        <v>0</v>
      </c>
      <c r="G46" s="97">
        <v>0</v>
      </c>
      <c r="H46" s="97">
        <v>0</v>
      </c>
      <c r="I46" s="234">
        <v>-2880</v>
      </c>
      <c r="J46" s="234"/>
      <c r="K46" s="97">
        <v>0</v>
      </c>
      <c r="L46" s="234">
        <v>0</v>
      </c>
      <c r="M46" s="72"/>
    </row>
    <row r="47" spans="1:13" ht="12">
      <c r="A47" s="72">
        <v>10</v>
      </c>
      <c r="B47" s="47" t="s">
        <v>16</v>
      </c>
      <c r="C47" s="81" t="s">
        <v>21</v>
      </c>
      <c r="D47" s="72">
        <v>10</v>
      </c>
      <c r="E47" s="72"/>
      <c r="F47" s="98">
        <v>0</v>
      </c>
      <c r="G47" s="98">
        <v>37643980</v>
      </c>
      <c r="H47" s="98">
        <v>0</v>
      </c>
      <c r="I47" s="98">
        <v>53941469</v>
      </c>
      <c r="J47" s="98"/>
      <c r="K47" s="98">
        <v>0</v>
      </c>
      <c r="L47" s="98">
        <v>42453771</v>
      </c>
      <c r="M47" s="72"/>
    </row>
    <row r="48" spans="1:13" ht="12">
      <c r="A48" s="72"/>
      <c r="B48" s="47"/>
      <c r="C48" s="81"/>
      <c r="D48" s="72"/>
      <c r="E48" s="95" t="s">
        <v>1</v>
      </c>
      <c r="F48" s="95" t="s">
        <v>1</v>
      </c>
      <c r="G48" s="100"/>
      <c r="H48" s="95"/>
      <c r="I48" s="100"/>
      <c r="J48" s="100"/>
      <c r="K48" s="71" t="s">
        <v>1</v>
      </c>
      <c r="L48" s="71" t="s">
        <v>1</v>
      </c>
      <c r="M48" s="72"/>
    </row>
    <row r="49" spans="1:12" ht="12">
      <c r="A49" s="48">
        <v>11</v>
      </c>
      <c r="B49" s="47" t="s">
        <v>59</v>
      </c>
      <c r="D49" s="48">
        <v>11</v>
      </c>
      <c r="F49" s="97">
        <v>1177.622650691784</v>
      </c>
      <c r="G49" s="98">
        <v>182275616</v>
      </c>
      <c r="H49" s="97">
        <v>1050.0484544517165</v>
      </c>
      <c r="I49" s="98">
        <v>193208558</v>
      </c>
      <c r="J49" s="98"/>
      <c r="K49" s="97">
        <v>1043.3694106632836</v>
      </c>
      <c r="L49" s="98">
        <v>184028170</v>
      </c>
    </row>
    <row r="50" spans="1:13" ht="12">
      <c r="A50" s="72"/>
      <c r="D50" s="72"/>
      <c r="E50" s="95" t="s">
        <v>1</v>
      </c>
      <c r="F50" s="95" t="s">
        <v>1</v>
      </c>
      <c r="G50" s="71"/>
      <c r="H50" s="95"/>
      <c r="I50" s="71"/>
      <c r="J50" s="71"/>
      <c r="K50" s="71" t="s">
        <v>1</v>
      </c>
      <c r="L50" s="71" t="s">
        <v>1</v>
      </c>
      <c r="M50" s="72"/>
    </row>
    <row r="51" spans="1:12" ht="12">
      <c r="A51" s="48">
        <v>12</v>
      </c>
      <c r="B51" s="47" t="s">
        <v>17</v>
      </c>
      <c r="D51" s="48">
        <v>12</v>
      </c>
      <c r="F51" s="102"/>
      <c r="G51" s="102"/>
      <c r="H51" s="97"/>
      <c r="I51" s="102"/>
      <c r="J51" s="102"/>
      <c r="L51" s="389"/>
    </row>
    <row r="52" spans="1:13" ht="12">
      <c r="A52" s="72">
        <v>13</v>
      </c>
      <c r="B52" s="47" t="s">
        <v>51</v>
      </c>
      <c r="C52" s="81" t="s">
        <v>57</v>
      </c>
      <c r="D52" s="72">
        <v>13</v>
      </c>
      <c r="E52" s="72"/>
      <c r="F52" s="97">
        <v>0</v>
      </c>
      <c r="G52" s="98">
        <v>17997300</v>
      </c>
      <c r="H52" s="97">
        <v>0</v>
      </c>
      <c r="I52" s="98">
        <v>17150000</v>
      </c>
      <c r="J52" s="98"/>
      <c r="L52" s="98">
        <v>16004485</v>
      </c>
      <c r="M52" s="72"/>
    </row>
    <row r="53" spans="1:13" ht="12">
      <c r="A53" s="72">
        <v>14</v>
      </c>
      <c r="B53" s="47" t="s">
        <v>52</v>
      </c>
      <c r="C53" s="81" t="s">
        <v>58</v>
      </c>
      <c r="D53" s="72">
        <v>14</v>
      </c>
      <c r="E53" s="72"/>
      <c r="F53" s="98">
        <v>0</v>
      </c>
      <c r="G53" s="98">
        <v>50591135</v>
      </c>
      <c r="H53" s="98">
        <v>0</v>
      </c>
      <c r="I53" s="98">
        <v>27258539</v>
      </c>
      <c r="J53" s="98"/>
      <c r="K53" s="98">
        <v>0</v>
      </c>
      <c r="L53" s="98">
        <v>52102398</v>
      </c>
      <c r="M53" s="72"/>
    </row>
    <row r="54" spans="1:13" ht="12">
      <c r="A54" s="72">
        <v>15</v>
      </c>
      <c r="B54" s="47" t="s">
        <v>54</v>
      </c>
      <c r="C54" s="81"/>
      <c r="D54" s="72">
        <v>15</v>
      </c>
      <c r="E54" s="72"/>
      <c r="F54" s="97"/>
      <c r="G54" s="98">
        <v>1244045</v>
      </c>
      <c r="H54" s="97"/>
      <c r="I54" s="98">
        <v>564170</v>
      </c>
      <c r="J54" s="98"/>
      <c r="L54" s="98">
        <v>863978</v>
      </c>
      <c r="M54" s="72"/>
    </row>
    <row r="55" spans="1:13" ht="12">
      <c r="A55" s="72">
        <v>16</v>
      </c>
      <c r="B55" s="47" t="s">
        <v>53</v>
      </c>
      <c r="C55" s="81"/>
      <c r="D55" s="72">
        <v>16</v>
      </c>
      <c r="E55" s="72"/>
      <c r="F55" s="97"/>
      <c r="G55" s="98">
        <v>5696957</v>
      </c>
      <c r="H55" s="97"/>
      <c r="I55" s="98">
        <v>4557989</v>
      </c>
      <c r="J55" s="98"/>
      <c r="K55" s="97"/>
      <c r="L55" s="98">
        <v>4359092</v>
      </c>
      <c r="M55" s="72"/>
    </row>
    <row r="56" spans="1:253" ht="12">
      <c r="A56" s="81">
        <v>17</v>
      </c>
      <c r="B56" s="103" t="s">
        <v>55</v>
      </c>
      <c r="C56" s="81" t="s">
        <v>377</v>
      </c>
      <c r="D56" s="81">
        <v>17</v>
      </c>
      <c r="E56" s="81"/>
      <c r="F56" s="97">
        <v>422</v>
      </c>
      <c r="G56" s="98">
        <v>6941002</v>
      </c>
      <c r="H56" s="97">
        <v>396</v>
      </c>
      <c r="I56" s="98">
        <v>5122159</v>
      </c>
      <c r="J56" s="98"/>
      <c r="K56" s="97">
        <v>399</v>
      </c>
      <c r="L56" s="98">
        <v>5223070</v>
      </c>
      <c r="M56" s="81"/>
      <c r="N56" s="103"/>
      <c r="O56" s="81"/>
      <c r="P56" s="103"/>
      <c r="Q56" s="81"/>
      <c r="R56" s="103"/>
      <c r="S56" s="81"/>
      <c r="T56" s="103"/>
      <c r="U56" s="81"/>
      <c r="V56" s="103"/>
      <c r="W56" s="81"/>
      <c r="X56" s="103"/>
      <c r="Y56" s="81"/>
      <c r="Z56" s="103"/>
      <c r="AA56" s="81"/>
      <c r="AB56" s="103"/>
      <c r="AC56" s="81"/>
      <c r="AD56" s="103"/>
      <c r="AE56" s="81"/>
      <c r="AF56" s="103"/>
      <c r="AG56" s="81"/>
      <c r="AH56" s="103"/>
      <c r="AI56" s="81"/>
      <c r="AJ56" s="103"/>
      <c r="AK56" s="81"/>
      <c r="AL56" s="103"/>
      <c r="AM56" s="81"/>
      <c r="AN56" s="103"/>
      <c r="AO56" s="81"/>
      <c r="AP56" s="103"/>
      <c r="AQ56" s="81"/>
      <c r="AR56" s="103"/>
      <c r="AS56" s="81"/>
      <c r="AT56" s="103"/>
      <c r="AU56" s="81"/>
      <c r="AV56" s="103"/>
      <c r="AW56" s="81"/>
      <c r="AX56" s="103"/>
      <c r="AY56" s="81"/>
      <c r="AZ56" s="103"/>
      <c r="BA56" s="81"/>
      <c r="BB56" s="103"/>
      <c r="BC56" s="81"/>
      <c r="BD56" s="103"/>
      <c r="BE56" s="81"/>
      <c r="BF56" s="103"/>
      <c r="BG56" s="81"/>
      <c r="BH56" s="103"/>
      <c r="BI56" s="81"/>
      <c r="BJ56" s="103"/>
      <c r="BK56" s="81"/>
      <c r="BL56" s="103"/>
      <c r="BM56" s="81"/>
      <c r="BN56" s="103"/>
      <c r="BO56" s="81"/>
      <c r="BP56" s="103"/>
      <c r="BQ56" s="81"/>
      <c r="BR56" s="103"/>
      <c r="BS56" s="81"/>
      <c r="BT56" s="103"/>
      <c r="BU56" s="81"/>
      <c r="BV56" s="103"/>
      <c r="BW56" s="81"/>
      <c r="BX56" s="103"/>
      <c r="BY56" s="81"/>
      <c r="BZ56" s="103"/>
      <c r="CA56" s="81"/>
      <c r="CB56" s="103"/>
      <c r="CC56" s="81"/>
      <c r="CD56" s="103"/>
      <c r="CE56" s="81"/>
      <c r="CF56" s="103"/>
      <c r="CG56" s="81"/>
      <c r="CH56" s="103"/>
      <c r="CI56" s="81"/>
      <c r="CJ56" s="103"/>
      <c r="CK56" s="81"/>
      <c r="CL56" s="103"/>
      <c r="CM56" s="81"/>
      <c r="CN56" s="103"/>
      <c r="CO56" s="81"/>
      <c r="CP56" s="103"/>
      <c r="CQ56" s="81"/>
      <c r="CR56" s="103"/>
      <c r="CS56" s="81"/>
      <c r="CT56" s="103"/>
      <c r="CU56" s="81"/>
      <c r="CV56" s="103"/>
      <c r="CW56" s="81"/>
      <c r="CX56" s="103"/>
      <c r="CY56" s="81"/>
      <c r="CZ56" s="103"/>
      <c r="DA56" s="81"/>
      <c r="DB56" s="103"/>
      <c r="DC56" s="81"/>
      <c r="DD56" s="103"/>
      <c r="DE56" s="81"/>
      <c r="DF56" s="103"/>
      <c r="DG56" s="81"/>
      <c r="DH56" s="103"/>
      <c r="DI56" s="81"/>
      <c r="DJ56" s="103"/>
      <c r="DK56" s="81"/>
      <c r="DL56" s="103"/>
      <c r="DM56" s="81"/>
      <c r="DN56" s="103"/>
      <c r="DO56" s="81"/>
      <c r="DP56" s="103"/>
      <c r="DQ56" s="81"/>
      <c r="DR56" s="103"/>
      <c r="DS56" s="81"/>
      <c r="DT56" s="103"/>
      <c r="DU56" s="81"/>
      <c r="DV56" s="103"/>
      <c r="DW56" s="81"/>
      <c r="DX56" s="103"/>
      <c r="DY56" s="81"/>
      <c r="DZ56" s="103"/>
      <c r="EA56" s="81"/>
      <c r="EB56" s="103"/>
      <c r="EC56" s="81"/>
      <c r="ED56" s="103"/>
      <c r="EE56" s="81"/>
      <c r="EF56" s="103"/>
      <c r="EG56" s="81"/>
      <c r="EH56" s="103"/>
      <c r="EI56" s="81"/>
      <c r="EJ56" s="103"/>
      <c r="EK56" s="81"/>
      <c r="EL56" s="103"/>
      <c r="EM56" s="81"/>
      <c r="EN56" s="103"/>
      <c r="EO56" s="81"/>
      <c r="EP56" s="103"/>
      <c r="EQ56" s="81"/>
      <c r="ER56" s="103"/>
      <c r="ES56" s="81"/>
      <c r="ET56" s="103"/>
      <c r="EU56" s="81"/>
      <c r="EV56" s="103"/>
      <c r="EW56" s="81"/>
      <c r="EX56" s="103"/>
      <c r="EY56" s="81"/>
      <c r="EZ56" s="103"/>
      <c r="FA56" s="81"/>
      <c r="FB56" s="103"/>
      <c r="FC56" s="81"/>
      <c r="FD56" s="103"/>
      <c r="FE56" s="81"/>
      <c r="FF56" s="103"/>
      <c r="FG56" s="81"/>
      <c r="FH56" s="103"/>
      <c r="FI56" s="81"/>
      <c r="FJ56" s="103"/>
      <c r="FK56" s="81"/>
      <c r="FL56" s="103"/>
      <c r="FM56" s="81"/>
      <c r="FN56" s="103"/>
      <c r="FO56" s="81"/>
      <c r="FP56" s="103"/>
      <c r="FQ56" s="81"/>
      <c r="FR56" s="103"/>
      <c r="FS56" s="81"/>
      <c r="FT56" s="103"/>
      <c r="FU56" s="81"/>
      <c r="FV56" s="103"/>
      <c r="FW56" s="81"/>
      <c r="FX56" s="103"/>
      <c r="FY56" s="81"/>
      <c r="FZ56" s="103"/>
      <c r="GA56" s="81"/>
      <c r="GB56" s="103"/>
      <c r="GC56" s="81"/>
      <c r="GD56" s="103"/>
      <c r="GE56" s="81"/>
      <c r="GF56" s="103"/>
      <c r="GG56" s="81"/>
      <c r="GH56" s="103"/>
      <c r="GI56" s="81"/>
      <c r="GJ56" s="103"/>
      <c r="GK56" s="81"/>
      <c r="GL56" s="103"/>
      <c r="GM56" s="81"/>
      <c r="GN56" s="103"/>
      <c r="GO56" s="81"/>
      <c r="GP56" s="103"/>
      <c r="GQ56" s="81"/>
      <c r="GR56" s="103"/>
      <c r="GS56" s="81"/>
      <c r="GT56" s="103"/>
      <c r="GU56" s="81"/>
      <c r="GV56" s="103"/>
      <c r="GW56" s="81"/>
      <c r="GX56" s="103"/>
      <c r="GY56" s="81"/>
      <c r="GZ56" s="103"/>
      <c r="HA56" s="81"/>
      <c r="HB56" s="103"/>
      <c r="HC56" s="81"/>
      <c r="HD56" s="103"/>
      <c r="HE56" s="81"/>
      <c r="HF56" s="103"/>
      <c r="HG56" s="81"/>
      <c r="HH56" s="103"/>
      <c r="HI56" s="81"/>
      <c r="HJ56" s="103"/>
      <c r="HK56" s="81"/>
      <c r="HL56" s="103"/>
      <c r="HM56" s="81"/>
      <c r="HN56" s="103"/>
      <c r="HO56" s="81"/>
      <c r="HP56" s="103"/>
      <c r="HQ56" s="81"/>
      <c r="HR56" s="103"/>
      <c r="HS56" s="81"/>
      <c r="HT56" s="103"/>
      <c r="HU56" s="81"/>
      <c r="HV56" s="103"/>
      <c r="HW56" s="81"/>
      <c r="HX56" s="103"/>
      <c r="HY56" s="81"/>
      <c r="HZ56" s="103"/>
      <c r="IA56" s="81"/>
      <c r="IB56" s="103"/>
      <c r="IC56" s="81"/>
      <c r="ID56" s="103"/>
      <c r="IE56" s="81"/>
      <c r="IF56" s="103"/>
      <c r="IG56" s="81"/>
      <c r="IH56" s="103"/>
      <c r="II56" s="81"/>
      <c r="IJ56" s="103"/>
      <c r="IK56" s="81"/>
      <c r="IL56" s="103"/>
      <c r="IM56" s="81"/>
      <c r="IN56" s="103"/>
      <c r="IO56" s="81"/>
      <c r="IP56" s="103"/>
      <c r="IQ56" s="81"/>
      <c r="IR56" s="103"/>
      <c r="IS56" s="81"/>
    </row>
    <row r="57" spans="1:13" ht="12">
      <c r="A57" s="72">
        <v>18</v>
      </c>
      <c r="B57" s="47" t="s">
        <v>56</v>
      </c>
      <c r="C57" s="81" t="s">
        <v>377</v>
      </c>
      <c r="D57" s="72">
        <v>18</v>
      </c>
      <c r="E57" s="72"/>
      <c r="F57" s="97">
        <v>2161</v>
      </c>
      <c r="G57" s="98">
        <v>27091494</v>
      </c>
      <c r="H57" s="97">
        <v>2264</v>
      </c>
      <c r="I57" s="98">
        <v>30460716</v>
      </c>
      <c r="J57" s="98"/>
      <c r="K57" s="97">
        <v>2261</v>
      </c>
      <c r="L57" s="98">
        <v>33915727</v>
      </c>
      <c r="M57" s="72"/>
    </row>
    <row r="58" spans="1:13" ht="12">
      <c r="A58" s="72">
        <v>19</v>
      </c>
      <c r="B58" s="47" t="s">
        <v>37</v>
      </c>
      <c r="C58" s="81" t="s">
        <v>377</v>
      </c>
      <c r="D58" s="72">
        <v>19</v>
      </c>
      <c r="E58" s="72"/>
      <c r="F58" s="97">
        <v>416</v>
      </c>
      <c r="G58" s="98">
        <v>9605230</v>
      </c>
      <c r="H58" s="97">
        <v>511</v>
      </c>
      <c r="I58" s="98">
        <v>12375711</v>
      </c>
      <c r="J58" s="98"/>
      <c r="K58" s="97">
        <v>497</v>
      </c>
      <c r="L58" s="98">
        <v>13179055</v>
      </c>
      <c r="M58" s="72"/>
    </row>
    <row r="59" spans="1:13" ht="12">
      <c r="A59" s="72">
        <v>20</v>
      </c>
      <c r="B59" s="47" t="s">
        <v>36</v>
      </c>
      <c r="C59" s="81" t="s">
        <v>377</v>
      </c>
      <c r="D59" s="72">
        <v>20</v>
      </c>
      <c r="E59" s="72"/>
      <c r="F59" s="97">
        <v>2999</v>
      </c>
      <c r="G59" s="98">
        <v>43637726</v>
      </c>
      <c r="H59" s="97">
        <v>3171</v>
      </c>
      <c r="I59" s="98">
        <v>47958586</v>
      </c>
      <c r="J59" s="98"/>
      <c r="K59" s="97">
        <v>3157</v>
      </c>
      <c r="L59" s="98">
        <v>52317852</v>
      </c>
      <c r="M59" s="72"/>
    </row>
    <row r="60" spans="1:13" ht="12">
      <c r="A60" s="81" t="s">
        <v>68</v>
      </c>
      <c r="B60" s="47" t="s">
        <v>552</v>
      </c>
      <c r="C60" s="81" t="s">
        <v>378</v>
      </c>
      <c r="D60" s="72">
        <v>21</v>
      </c>
      <c r="E60" s="72"/>
      <c r="F60" s="97">
        <v>0</v>
      </c>
      <c r="G60" s="98">
        <v>3829906.3999999985</v>
      </c>
      <c r="H60" s="97">
        <v>0</v>
      </c>
      <c r="I60" s="98">
        <v>5431744</v>
      </c>
      <c r="J60" s="98"/>
      <c r="K60" s="97">
        <v>0</v>
      </c>
      <c r="L60" s="98">
        <v>6568662</v>
      </c>
      <c r="M60" s="81"/>
    </row>
    <row r="61" spans="1:13" ht="12">
      <c r="A61" s="81" t="s">
        <v>69</v>
      </c>
      <c r="B61" s="47" t="s">
        <v>67</v>
      </c>
      <c r="C61" s="81"/>
      <c r="D61" s="81" t="s">
        <v>69</v>
      </c>
      <c r="E61" s="81"/>
      <c r="F61" s="97"/>
      <c r="G61" s="98">
        <v>14954668</v>
      </c>
      <c r="H61" s="97"/>
      <c r="I61" s="98">
        <v>39020695</v>
      </c>
      <c r="J61" s="98"/>
      <c r="K61" s="97"/>
      <c r="L61" s="98">
        <v>9015832</v>
      </c>
      <c r="M61" s="81"/>
    </row>
    <row r="62" spans="1:13" ht="12">
      <c r="A62" s="72">
        <v>22</v>
      </c>
      <c r="B62" s="53"/>
      <c r="D62" s="72">
        <v>22</v>
      </c>
      <c r="E62" s="72"/>
      <c r="F62" s="95"/>
      <c r="G62" s="71"/>
      <c r="H62" s="95"/>
      <c r="I62" s="71"/>
      <c r="J62" s="71"/>
      <c r="M62" s="72"/>
    </row>
    <row r="63" spans="1:13" ht="12">
      <c r="A63" s="72">
        <v>23</v>
      </c>
      <c r="B63" s="48" t="s">
        <v>38</v>
      </c>
      <c r="C63" s="83"/>
      <c r="D63" s="72">
        <v>23</v>
      </c>
      <c r="E63" s="72"/>
      <c r="F63" s="97"/>
      <c r="G63" s="98">
        <v>131010735.4</v>
      </c>
      <c r="H63" s="97"/>
      <c r="I63" s="98">
        <v>136819564</v>
      </c>
      <c r="J63" s="98"/>
      <c r="L63" s="98">
        <v>136009229</v>
      </c>
      <c r="M63" s="72"/>
    </row>
    <row r="64" spans="1:13" ht="12">
      <c r="A64" s="72">
        <v>24</v>
      </c>
      <c r="B64" s="53"/>
      <c r="C64" s="47"/>
      <c r="D64" s="72">
        <v>24</v>
      </c>
      <c r="E64" s="72"/>
      <c r="M64" s="72"/>
    </row>
    <row r="65" spans="1:13" ht="12">
      <c r="A65" s="72">
        <v>25</v>
      </c>
      <c r="B65" s="186" t="s">
        <v>553</v>
      </c>
      <c r="C65" s="81" t="s">
        <v>379</v>
      </c>
      <c r="D65" s="72">
        <v>25</v>
      </c>
      <c r="E65" s="72"/>
      <c r="F65" s="97"/>
      <c r="G65" s="98">
        <v>51264879.269999996</v>
      </c>
      <c r="H65" s="97"/>
      <c r="I65" s="98">
        <v>56388994</v>
      </c>
      <c r="J65" s="98"/>
      <c r="L65" s="98">
        <v>48018941</v>
      </c>
      <c r="M65" s="72"/>
    </row>
    <row r="66" spans="1:12" ht="12">
      <c r="A66" s="48">
        <v>26</v>
      </c>
      <c r="D66" s="48">
        <v>26</v>
      </c>
      <c r="F66" s="95"/>
      <c r="G66" s="71"/>
      <c r="H66" s="95"/>
      <c r="I66" s="71"/>
      <c r="J66" s="71"/>
      <c r="L66" s="82"/>
    </row>
    <row r="67" spans="1:13" ht="13.5" customHeight="1">
      <c r="A67" s="72">
        <v>27</v>
      </c>
      <c r="B67" s="47" t="s">
        <v>60</v>
      </c>
      <c r="D67" s="72">
        <v>27</v>
      </c>
      <c r="E67" s="72"/>
      <c r="F67" s="97"/>
      <c r="G67" s="98">
        <v>182275614.67000002</v>
      </c>
      <c r="H67" s="97"/>
      <c r="I67" s="98">
        <v>193208558</v>
      </c>
      <c r="J67" s="98"/>
      <c r="L67" s="98">
        <v>184028170</v>
      </c>
      <c r="M67" s="72"/>
    </row>
    <row r="68" spans="1:13" ht="12">
      <c r="A68" s="72"/>
      <c r="B68" s="47"/>
      <c r="D68" s="72"/>
      <c r="E68" s="72"/>
      <c r="F68" s="55"/>
      <c r="G68" s="234"/>
      <c r="H68" s="55"/>
      <c r="I68" s="234">
        <v>0</v>
      </c>
      <c r="J68" s="234"/>
      <c r="L68" s="234">
        <v>0</v>
      </c>
      <c r="M68" s="72"/>
    </row>
    <row r="69" spans="2:12" ht="12">
      <c r="B69" s="105" t="s">
        <v>23</v>
      </c>
      <c r="C69" s="106"/>
      <c r="D69" s="105"/>
      <c r="E69" s="105"/>
      <c r="F69" s="108"/>
      <c r="G69" s="237">
        <v>10152931</v>
      </c>
      <c r="H69" s="108"/>
      <c r="I69" s="108">
        <v>7770664</v>
      </c>
      <c r="J69" s="108"/>
      <c r="K69" s="108"/>
      <c r="L69" s="108">
        <v>8240269</v>
      </c>
    </row>
    <row r="70" spans="3:10" ht="12">
      <c r="C70" s="81"/>
      <c r="F70" s="95"/>
      <c r="H70" s="95"/>
      <c r="I70" s="71"/>
      <c r="J70" s="71"/>
    </row>
    <row r="71" spans="1:12" ht="12">
      <c r="A71" s="91" t="s">
        <v>550</v>
      </c>
      <c r="D71" s="68"/>
      <c r="E71" s="68"/>
      <c r="F71" s="84"/>
      <c r="G71" s="58"/>
      <c r="H71" s="84"/>
      <c r="J71" s="92"/>
      <c r="K71" s="49"/>
      <c r="L71" s="92" t="s">
        <v>107</v>
      </c>
    </row>
    <row r="72" spans="1:12" s="93" customFormat="1" ht="12">
      <c r="A72" s="477" t="s">
        <v>380</v>
      </c>
      <c r="B72" s="477"/>
      <c r="C72" s="477"/>
      <c r="D72" s="477"/>
      <c r="E72" s="477"/>
      <c r="F72" s="477"/>
      <c r="G72" s="477"/>
      <c r="H72" s="477"/>
      <c r="I72" s="477"/>
      <c r="J72" s="115"/>
      <c r="K72" s="154"/>
      <c r="L72" s="118"/>
    </row>
    <row r="73" spans="1:12" ht="12">
      <c r="A73" s="91" t="s">
        <v>551</v>
      </c>
      <c r="G73" s="58"/>
      <c r="H73" s="84"/>
      <c r="I73" s="94"/>
      <c r="J73" s="94"/>
      <c r="K73" s="49"/>
      <c r="L73" s="94" t="s">
        <v>71</v>
      </c>
    </row>
    <row r="74" spans="1:12" ht="12">
      <c r="A74" s="45" t="s">
        <v>1</v>
      </c>
      <c r="B74" s="45" t="s">
        <v>1</v>
      </c>
      <c r="C74" s="45" t="s">
        <v>1</v>
      </c>
      <c r="D74" s="45" t="s">
        <v>1</v>
      </c>
      <c r="E74" s="45"/>
      <c r="F74" s="95" t="s">
        <v>1</v>
      </c>
      <c r="G74" s="71" t="s">
        <v>1</v>
      </c>
      <c r="H74" s="95" t="s">
        <v>1</v>
      </c>
      <c r="I74" s="71" t="s">
        <v>1</v>
      </c>
      <c r="J74" s="71"/>
      <c r="K74" s="71" t="s">
        <v>1</v>
      </c>
      <c r="L74" s="71" t="s">
        <v>1</v>
      </c>
    </row>
    <row r="75" spans="1:12" ht="12">
      <c r="A75" s="59" t="s">
        <v>2</v>
      </c>
      <c r="D75" s="59" t="s">
        <v>2</v>
      </c>
      <c r="E75" s="59"/>
      <c r="F75" s="96"/>
      <c r="G75" s="87" t="s">
        <v>62</v>
      </c>
      <c r="H75" s="96"/>
      <c r="I75" s="87" t="s">
        <v>65</v>
      </c>
      <c r="J75" s="87"/>
      <c r="L75" s="77" t="s">
        <v>70</v>
      </c>
    </row>
    <row r="76" spans="1:12" ht="12">
      <c r="A76" s="59" t="s">
        <v>4</v>
      </c>
      <c r="D76" s="59" t="s">
        <v>4</v>
      </c>
      <c r="E76" s="59"/>
      <c r="F76" s="96"/>
      <c r="G76" s="87" t="s">
        <v>7</v>
      </c>
      <c r="H76" s="96"/>
      <c r="I76" s="87" t="s">
        <v>7</v>
      </c>
      <c r="J76" s="87"/>
      <c r="L76" s="77" t="s">
        <v>8</v>
      </c>
    </row>
    <row r="77" spans="1:12" ht="12">
      <c r="A77" s="45" t="s">
        <v>1</v>
      </c>
      <c r="B77" s="45" t="s">
        <v>1</v>
      </c>
      <c r="C77" s="45" t="s">
        <v>1</v>
      </c>
      <c r="D77" s="45" t="s">
        <v>1</v>
      </c>
      <c r="E77" s="45"/>
      <c r="F77" s="95" t="s">
        <v>1</v>
      </c>
      <c r="G77" s="71" t="s">
        <v>1</v>
      </c>
      <c r="H77" s="95" t="s">
        <v>1</v>
      </c>
      <c r="I77" s="71" t="s">
        <v>1</v>
      </c>
      <c r="J77" s="71"/>
      <c r="K77" s="71" t="s">
        <v>1</v>
      </c>
      <c r="L77" s="71" t="s">
        <v>1</v>
      </c>
    </row>
    <row r="78" spans="1:10" ht="12">
      <c r="A78" s="72">
        <v>1</v>
      </c>
      <c r="B78" s="47" t="s">
        <v>109</v>
      </c>
      <c r="D78" s="72">
        <v>1</v>
      </c>
      <c r="E78" s="72"/>
      <c r="F78" s="84"/>
      <c r="G78" s="99"/>
      <c r="H78" s="84"/>
      <c r="I78" s="99"/>
      <c r="J78" s="99"/>
    </row>
    <row r="79" spans="1:10" ht="12">
      <c r="A79" s="81" t="s">
        <v>381</v>
      </c>
      <c r="B79" s="47" t="s">
        <v>382</v>
      </c>
      <c r="D79" s="81" t="s">
        <v>381</v>
      </c>
      <c r="E79" s="81"/>
      <c r="F79" s="119"/>
      <c r="G79" s="120"/>
      <c r="H79" s="119"/>
      <c r="I79" s="120"/>
      <c r="J79" s="120"/>
    </row>
    <row r="80" spans="1:10" ht="12">
      <c r="A80" s="81" t="s">
        <v>383</v>
      </c>
      <c r="B80" s="47" t="s">
        <v>384</v>
      </c>
      <c r="D80" s="81" t="s">
        <v>383</v>
      </c>
      <c r="E80" s="81"/>
      <c r="F80" s="119"/>
      <c r="G80" s="120"/>
      <c r="H80" s="119"/>
      <c r="I80" s="120">
        <v>0</v>
      </c>
      <c r="J80" s="120"/>
    </row>
    <row r="81" spans="1:12" ht="12">
      <c r="A81" s="81" t="s">
        <v>385</v>
      </c>
      <c r="B81" s="47" t="s">
        <v>386</v>
      </c>
      <c r="D81" s="81" t="s">
        <v>385</v>
      </c>
      <c r="E81" s="81"/>
      <c r="F81" s="119"/>
      <c r="G81" s="120">
        <v>422</v>
      </c>
      <c r="H81" s="119"/>
      <c r="I81" s="120">
        <v>396</v>
      </c>
      <c r="J81" s="120"/>
      <c r="L81" s="120">
        <v>399</v>
      </c>
    </row>
    <row r="82" spans="1:12" ht="12">
      <c r="A82" s="72">
        <v>3</v>
      </c>
      <c r="B82" s="47" t="s">
        <v>116</v>
      </c>
      <c r="D82" s="72">
        <v>3</v>
      </c>
      <c r="E82" s="72"/>
      <c r="F82" s="119"/>
      <c r="G82" s="120">
        <v>2161</v>
      </c>
      <c r="H82" s="119"/>
      <c r="I82" s="120">
        <v>2264</v>
      </c>
      <c r="J82" s="120"/>
      <c r="L82" s="120">
        <v>2261</v>
      </c>
    </row>
    <row r="83" spans="1:12" ht="12">
      <c r="A83" s="72">
        <v>4</v>
      </c>
      <c r="B83" s="47" t="s">
        <v>117</v>
      </c>
      <c r="D83" s="72">
        <v>4</v>
      </c>
      <c r="E83" s="72"/>
      <c r="F83" s="119"/>
      <c r="G83" s="120">
        <v>2583</v>
      </c>
      <c r="H83" s="119"/>
      <c r="I83" s="120">
        <v>2660</v>
      </c>
      <c r="J83" s="120"/>
      <c r="L83" s="120">
        <v>2660</v>
      </c>
    </row>
    <row r="84" spans="1:12" ht="12">
      <c r="A84" s="72">
        <v>5</v>
      </c>
      <c r="D84" s="72">
        <v>5</v>
      </c>
      <c r="E84" s="72"/>
      <c r="F84" s="119"/>
      <c r="G84" s="120"/>
      <c r="H84" s="119"/>
      <c r="I84" s="120"/>
      <c r="J84" s="120"/>
      <c r="L84" s="120"/>
    </row>
    <row r="85" spans="1:12" ht="12">
      <c r="A85" s="72">
        <v>6</v>
      </c>
      <c r="B85" s="47" t="s">
        <v>118</v>
      </c>
      <c r="D85" s="72">
        <v>6</v>
      </c>
      <c r="E85" s="72"/>
      <c r="F85" s="119"/>
      <c r="G85" s="120">
        <v>13</v>
      </c>
      <c r="H85" s="119"/>
      <c r="I85" s="120">
        <v>20</v>
      </c>
      <c r="J85" s="120"/>
      <c r="L85" s="120">
        <v>12</v>
      </c>
    </row>
    <row r="86" spans="1:12" ht="12">
      <c r="A86" s="72">
        <v>7</v>
      </c>
      <c r="B86" s="47" t="s">
        <v>119</v>
      </c>
      <c r="D86" s="72">
        <v>7</v>
      </c>
      <c r="E86" s="72"/>
      <c r="F86" s="119"/>
      <c r="G86" s="120">
        <v>403</v>
      </c>
      <c r="H86" s="119"/>
      <c r="I86" s="120">
        <v>491</v>
      </c>
      <c r="J86" s="120"/>
      <c r="L86" s="120">
        <v>485</v>
      </c>
    </row>
    <row r="87" spans="1:12" ht="12">
      <c r="A87" s="72">
        <v>8</v>
      </c>
      <c r="B87" s="47" t="s">
        <v>120</v>
      </c>
      <c r="D87" s="72">
        <v>8</v>
      </c>
      <c r="E87" s="72"/>
      <c r="F87" s="119"/>
      <c r="G87" s="120">
        <v>416</v>
      </c>
      <c r="H87" s="119"/>
      <c r="I87" s="120">
        <v>511</v>
      </c>
      <c r="J87" s="120"/>
      <c r="L87" s="120">
        <v>497</v>
      </c>
    </row>
    <row r="88" spans="1:12" ht="12">
      <c r="A88" s="72">
        <v>9</v>
      </c>
      <c r="D88" s="72">
        <v>9</v>
      </c>
      <c r="E88" s="72"/>
      <c r="F88" s="119"/>
      <c r="G88" s="120"/>
      <c r="H88" s="119"/>
      <c r="I88" s="120"/>
      <c r="J88" s="120"/>
      <c r="L88" s="120"/>
    </row>
    <row r="89" spans="1:12" ht="12">
      <c r="A89" s="72">
        <v>10</v>
      </c>
      <c r="B89" s="47" t="s">
        <v>121</v>
      </c>
      <c r="D89" s="72">
        <v>10</v>
      </c>
      <c r="E89" s="72"/>
      <c r="F89" s="119"/>
      <c r="G89" s="120">
        <v>435</v>
      </c>
      <c r="H89" s="119"/>
      <c r="I89" s="120">
        <v>416</v>
      </c>
      <c r="J89" s="120"/>
      <c r="L89" s="120">
        <v>411</v>
      </c>
    </row>
    <row r="90" spans="1:12" ht="12">
      <c r="A90" s="72">
        <v>11</v>
      </c>
      <c r="B90" s="47" t="s">
        <v>122</v>
      </c>
      <c r="D90" s="72">
        <v>11</v>
      </c>
      <c r="E90" s="72"/>
      <c r="F90" s="119"/>
      <c r="G90" s="120">
        <v>2564</v>
      </c>
      <c r="H90" s="119"/>
      <c r="I90" s="120">
        <v>2755</v>
      </c>
      <c r="J90" s="120"/>
      <c r="L90" s="120">
        <v>2746</v>
      </c>
    </row>
    <row r="91" spans="1:12" ht="12">
      <c r="A91" s="72">
        <v>12</v>
      </c>
      <c r="B91" s="47" t="s">
        <v>123</v>
      </c>
      <c r="D91" s="72">
        <v>12</v>
      </c>
      <c r="E91" s="72"/>
      <c r="F91" s="119"/>
      <c r="G91" s="120">
        <v>2999</v>
      </c>
      <c r="H91" s="119"/>
      <c r="I91" s="120">
        <v>3171</v>
      </c>
      <c r="J91" s="120"/>
      <c r="L91" s="120">
        <v>3157</v>
      </c>
    </row>
    <row r="92" spans="1:12" ht="12">
      <c r="A92" s="72">
        <v>13</v>
      </c>
      <c r="D92" s="72">
        <v>13</v>
      </c>
      <c r="E92" s="72"/>
      <c r="F92" s="119"/>
      <c r="G92" s="121"/>
      <c r="H92" s="119"/>
      <c r="I92" s="121"/>
      <c r="J92" s="121"/>
      <c r="L92" s="230"/>
    </row>
    <row r="93" spans="1:12" ht="12">
      <c r="A93" s="72">
        <v>15</v>
      </c>
      <c r="B93" s="47" t="s">
        <v>124</v>
      </c>
      <c r="D93" s="72">
        <v>15</v>
      </c>
      <c r="E93" s="72"/>
      <c r="F93" s="119"/>
      <c r="G93" s="123"/>
      <c r="H93" s="119"/>
      <c r="I93" s="123"/>
      <c r="J93" s="123"/>
      <c r="L93" s="230"/>
    </row>
    <row r="94" spans="1:12" ht="12">
      <c r="A94" s="72">
        <v>16</v>
      </c>
      <c r="B94" s="47" t="s">
        <v>387</v>
      </c>
      <c r="D94" s="72">
        <v>16</v>
      </c>
      <c r="E94" s="72"/>
      <c r="F94" s="119"/>
      <c r="G94" s="121">
        <v>43716.525308436154</v>
      </c>
      <c r="H94" s="119"/>
      <c r="I94" s="121">
        <v>43373.68558814254</v>
      </c>
      <c r="J94" s="121"/>
      <c r="L94" s="121">
        <v>43345.767184035474</v>
      </c>
    </row>
    <row r="95" spans="1:12" ht="12">
      <c r="A95" s="72">
        <v>17</v>
      </c>
      <c r="B95" s="47" t="s">
        <v>388</v>
      </c>
      <c r="D95" s="72">
        <v>17</v>
      </c>
      <c r="E95" s="72"/>
      <c r="F95" s="119"/>
      <c r="G95" s="122">
        <v>2040</v>
      </c>
      <c r="H95" s="119"/>
      <c r="I95" s="122">
        <v>1320</v>
      </c>
      <c r="J95" s="122"/>
      <c r="L95" s="122">
        <v>1860</v>
      </c>
    </row>
    <row r="96" spans="1:12" ht="12">
      <c r="A96" s="72">
        <v>18</v>
      </c>
      <c r="D96" s="72">
        <v>18</v>
      </c>
      <c r="E96" s="72"/>
      <c r="F96" s="119"/>
      <c r="G96" s="122"/>
      <c r="H96" s="119"/>
      <c r="I96" s="122"/>
      <c r="J96" s="122"/>
      <c r="L96" s="230"/>
    </row>
    <row r="97" spans="1:12" ht="12">
      <c r="A97" s="48">
        <v>19</v>
      </c>
      <c r="B97" s="47" t="s">
        <v>389</v>
      </c>
      <c r="D97" s="48">
        <v>19</v>
      </c>
      <c r="F97" s="119"/>
      <c r="G97" s="122"/>
      <c r="H97" s="119"/>
      <c r="I97" s="122"/>
      <c r="J97" s="122"/>
      <c r="L97" s="230"/>
    </row>
    <row r="98" spans="1:12" ht="12">
      <c r="A98" s="72">
        <v>20</v>
      </c>
      <c r="B98" s="47" t="s">
        <v>128</v>
      </c>
      <c r="D98" s="72">
        <v>20</v>
      </c>
      <c r="E98" s="72"/>
      <c r="F98" s="125"/>
      <c r="G98" s="124">
        <v>426.88289447635844</v>
      </c>
      <c r="H98" s="125"/>
      <c r="I98" s="124">
        <v>431.12532907969285</v>
      </c>
      <c r="J98" s="124"/>
      <c r="L98" s="124">
        <v>443.0170355246683</v>
      </c>
    </row>
    <row r="99" spans="1:12" ht="12">
      <c r="A99" s="72">
        <v>21</v>
      </c>
      <c r="B99" s="47" t="s">
        <v>129</v>
      </c>
      <c r="D99" s="72">
        <v>21</v>
      </c>
      <c r="E99" s="72"/>
      <c r="F99" s="125"/>
      <c r="G99" s="124">
        <v>392.2957311729537</v>
      </c>
      <c r="H99" s="125"/>
      <c r="I99" s="124">
        <v>396.09801554071163</v>
      </c>
      <c r="J99" s="124"/>
      <c r="L99" s="124">
        <v>407.84046427389046</v>
      </c>
    </row>
    <row r="100" spans="1:12" ht="12">
      <c r="A100" s="72">
        <v>22</v>
      </c>
      <c r="B100" s="47" t="s">
        <v>130</v>
      </c>
      <c r="D100" s="72">
        <v>22</v>
      </c>
      <c r="E100" s="72"/>
      <c r="F100" s="125"/>
      <c r="G100" s="124">
        <v>34.58716330340475</v>
      </c>
      <c r="H100" s="125"/>
      <c r="I100" s="124">
        <v>35.02731353898124</v>
      </c>
      <c r="J100" s="124"/>
      <c r="L100" s="124">
        <v>35.17657125077784</v>
      </c>
    </row>
    <row r="101" spans="1:12" ht="12">
      <c r="A101" s="72">
        <v>23</v>
      </c>
      <c r="D101" s="72">
        <v>23</v>
      </c>
      <c r="E101" s="72"/>
      <c r="F101" s="125"/>
      <c r="G101" s="124"/>
      <c r="H101" s="125"/>
      <c r="I101" s="125"/>
      <c r="J101" s="125"/>
      <c r="L101" s="206"/>
    </row>
    <row r="102" spans="1:12" ht="12">
      <c r="A102" s="72">
        <v>24</v>
      </c>
      <c r="B102" s="47" t="s">
        <v>131</v>
      </c>
      <c r="D102" s="72">
        <v>24</v>
      </c>
      <c r="E102" s="72"/>
      <c r="F102" s="125"/>
      <c r="G102" s="125"/>
      <c r="H102" s="125"/>
      <c r="I102" s="125"/>
      <c r="J102" s="125"/>
      <c r="L102" s="206"/>
    </row>
    <row r="103" spans="1:12" ht="12">
      <c r="A103" s="72">
        <v>25</v>
      </c>
      <c r="B103" s="47" t="s">
        <v>132</v>
      </c>
      <c r="D103" s="72">
        <v>25</v>
      </c>
      <c r="E103" s="72"/>
      <c r="F103" s="119"/>
      <c r="G103" s="122">
        <v>121261.6871507528</v>
      </c>
      <c r="H103" s="119"/>
      <c r="I103" s="122">
        <v>121560.5172441921</v>
      </c>
      <c r="J103" s="122"/>
      <c r="L103" s="198">
        <v>121548.05274300025</v>
      </c>
    </row>
    <row r="104" spans="1:12" ht="12">
      <c r="A104" s="72">
        <v>26</v>
      </c>
      <c r="B104" s="47" t="s">
        <v>133</v>
      </c>
      <c r="D104" s="72">
        <v>26</v>
      </c>
      <c r="E104" s="72"/>
      <c r="F104" s="119"/>
      <c r="G104" s="122">
        <v>127985.7311979375</v>
      </c>
      <c r="H104" s="119"/>
      <c r="I104" s="122">
        <v>128331.1882555378</v>
      </c>
      <c r="J104" s="122"/>
      <c r="L104" s="198">
        <v>128150.72945998987</v>
      </c>
    </row>
    <row r="105" spans="1:12" ht="12">
      <c r="A105" s="72">
        <v>27</v>
      </c>
      <c r="B105" s="47" t="s">
        <v>134</v>
      </c>
      <c r="D105" s="72">
        <v>27</v>
      </c>
      <c r="E105" s="72"/>
      <c r="F105" s="119"/>
      <c r="G105" s="122">
        <v>44995.99999999999</v>
      </c>
      <c r="H105" s="119"/>
      <c r="I105" s="122">
        <v>44996.00000000001</v>
      </c>
      <c r="J105" s="122"/>
      <c r="L105" s="198">
        <v>44996.00000000001</v>
      </c>
    </row>
    <row r="106" spans="1:12" ht="12">
      <c r="A106" s="72">
        <v>28</v>
      </c>
      <c r="D106" s="72">
        <v>28</v>
      </c>
      <c r="E106" s="72"/>
      <c r="F106" s="119"/>
      <c r="G106" s="122"/>
      <c r="H106" s="119"/>
      <c r="I106" s="122"/>
      <c r="J106" s="122"/>
      <c r="L106" s="232"/>
    </row>
    <row r="107" spans="1:12" ht="12">
      <c r="A107" s="72">
        <v>29</v>
      </c>
      <c r="B107" s="47" t="s">
        <v>390</v>
      </c>
      <c r="D107" s="72">
        <v>29</v>
      </c>
      <c r="E107" s="72"/>
      <c r="F107" s="119"/>
      <c r="G107" s="120">
        <v>1177.622650691784</v>
      </c>
      <c r="H107" s="119"/>
      <c r="I107" s="120">
        <v>1050.0484544517165</v>
      </c>
      <c r="J107" s="120"/>
      <c r="L107" s="120">
        <v>1043.3694106632836</v>
      </c>
    </row>
    <row r="108" spans="1:10" ht="12">
      <c r="A108" s="47"/>
      <c r="G108" s="58"/>
      <c r="I108" s="58"/>
      <c r="J108" s="58"/>
    </row>
    <row r="109" spans="1:10" ht="12">
      <c r="A109" s="47"/>
      <c r="B109" s="48" t="s">
        <v>554</v>
      </c>
      <c r="G109" s="58"/>
      <c r="I109" s="58"/>
      <c r="J109" s="58"/>
    </row>
    <row r="110" spans="1:10" ht="12">
      <c r="A110" s="47"/>
      <c r="G110" s="58"/>
      <c r="I110" s="58"/>
      <c r="J110" s="58"/>
    </row>
    <row r="111" spans="1:12" ht="12">
      <c r="A111" s="91" t="s">
        <v>550</v>
      </c>
      <c r="D111" s="68"/>
      <c r="E111" s="68"/>
      <c r="F111" s="84"/>
      <c r="G111" s="58"/>
      <c r="H111" s="84"/>
      <c r="J111" s="92"/>
      <c r="K111" s="49"/>
      <c r="L111" s="92" t="s">
        <v>136</v>
      </c>
    </row>
    <row r="112" spans="1:12" s="93" customFormat="1" ht="12">
      <c r="A112" s="477" t="s">
        <v>391</v>
      </c>
      <c r="B112" s="477"/>
      <c r="C112" s="477"/>
      <c r="D112" s="477"/>
      <c r="E112" s="477"/>
      <c r="F112" s="477"/>
      <c r="G112" s="477"/>
      <c r="H112" s="477"/>
      <c r="I112" s="477"/>
      <c r="J112" s="477"/>
      <c r="K112" s="477"/>
      <c r="L112" s="477"/>
    </row>
    <row r="113" spans="1:12" ht="12">
      <c r="A113" s="91" t="s">
        <v>551</v>
      </c>
      <c r="G113" s="58"/>
      <c r="H113" s="84"/>
      <c r="I113" s="94"/>
      <c r="J113" s="94"/>
      <c r="K113" s="49"/>
      <c r="L113" s="94" t="s">
        <v>71</v>
      </c>
    </row>
    <row r="114" spans="1:12" ht="12">
      <c r="A114" s="45" t="s">
        <v>1</v>
      </c>
      <c r="B114" s="45" t="s">
        <v>1</v>
      </c>
      <c r="C114" s="45" t="s">
        <v>1</v>
      </c>
      <c r="D114" s="45" t="s">
        <v>1</v>
      </c>
      <c r="E114" s="45"/>
      <c r="F114" s="95" t="s">
        <v>1</v>
      </c>
      <c r="G114" s="71" t="s">
        <v>1</v>
      </c>
      <c r="H114" s="95" t="s">
        <v>1</v>
      </c>
      <c r="I114" s="71" t="s">
        <v>1</v>
      </c>
      <c r="J114" s="71"/>
      <c r="K114" s="71" t="s">
        <v>1</v>
      </c>
      <c r="L114" s="71" t="s">
        <v>1</v>
      </c>
    </row>
    <row r="115" spans="1:12" ht="12">
      <c r="A115" s="59" t="s">
        <v>2</v>
      </c>
      <c r="D115" s="59" t="s">
        <v>2</v>
      </c>
      <c r="E115" s="59"/>
      <c r="F115" s="96"/>
      <c r="G115" s="87" t="s">
        <v>62</v>
      </c>
      <c r="H115" s="96"/>
      <c r="I115" s="87" t="s">
        <v>65</v>
      </c>
      <c r="J115" s="87"/>
      <c r="L115" s="77" t="s">
        <v>70</v>
      </c>
    </row>
    <row r="116" spans="1:12" ht="12">
      <c r="A116" s="59" t="s">
        <v>4</v>
      </c>
      <c r="B116" s="47" t="s">
        <v>0</v>
      </c>
      <c r="D116" s="59" t="s">
        <v>4</v>
      </c>
      <c r="E116" s="59"/>
      <c r="F116" s="96"/>
      <c r="G116" s="87" t="s">
        <v>7</v>
      </c>
      <c r="H116" s="96"/>
      <c r="I116" s="87" t="s">
        <v>7</v>
      </c>
      <c r="J116" s="87"/>
      <c r="L116" s="77" t="s">
        <v>8</v>
      </c>
    </row>
    <row r="117" spans="1:12" ht="12">
      <c r="A117" s="45" t="s">
        <v>1</v>
      </c>
      <c r="B117" s="45" t="s">
        <v>1</v>
      </c>
      <c r="C117" s="45" t="s">
        <v>1</v>
      </c>
      <c r="D117" s="45" t="s">
        <v>1</v>
      </c>
      <c r="E117" s="45"/>
      <c r="F117" s="95" t="s">
        <v>1</v>
      </c>
      <c r="G117" s="71" t="s">
        <v>1</v>
      </c>
      <c r="H117" s="95" t="s">
        <v>1</v>
      </c>
      <c r="I117" s="71" t="s">
        <v>1</v>
      </c>
      <c r="J117" s="71"/>
      <c r="K117" s="71" t="s">
        <v>1</v>
      </c>
      <c r="L117" s="71" t="s">
        <v>1</v>
      </c>
    </row>
    <row r="118" spans="1:10" ht="12">
      <c r="A118" s="72">
        <v>1</v>
      </c>
      <c r="B118" s="47" t="s">
        <v>392</v>
      </c>
      <c r="D118" s="72">
        <v>1</v>
      </c>
      <c r="E118" s="72"/>
      <c r="F118" s="119"/>
      <c r="G118" s="119"/>
      <c r="H118" s="127"/>
      <c r="I118" s="128"/>
      <c r="J118" s="128"/>
    </row>
    <row r="119" spans="1:10" ht="12">
      <c r="A119" s="72">
        <v>2</v>
      </c>
      <c r="B119" s="47" t="s">
        <v>140</v>
      </c>
      <c r="D119" s="72">
        <v>2</v>
      </c>
      <c r="E119" s="72"/>
      <c r="F119" s="119"/>
      <c r="G119" s="119"/>
      <c r="H119" s="127"/>
      <c r="I119" s="129"/>
      <c r="J119" s="129"/>
    </row>
    <row r="120" spans="1:10" ht="12">
      <c r="A120" s="72">
        <v>3</v>
      </c>
      <c r="B120" s="47" t="s">
        <v>141</v>
      </c>
      <c r="D120" s="72">
        <v>3</v>
      </c>
      <c r="E120" s="72"/>
      <c r="F120" s="119"/>
      <c r="G120" s="119"/>
      <c r="H120" s="127"/>
      <c r="I120" s="129"/>
      <c r="J120" s="129"/>
    </row>
    <row r="121" spans="1:10" ht="12">
      <c r="A121" s="72">
        <v>4</v>
      </c>
      <c r="B121" s="47" t="s">
        <v>555</v>
      </c>
      <c r="D121" s="72">
        <v>4</v>
      </c>
      <c r="E121" s="72"/>
      <c r="F121" s="119"/>
      <c r="G121" s="129">
        <v>9720</v>
      </c>
      <c r="H121" s="127"/>
      <c r="I121" s="129"/>
      <c r="J121" s="129"/>
    </row>
    <row r="122" spans="1:12" ht="12">
      <c r="A122" s="72">
        <v>5</v>
      </c>
      <c r="B122" s="48" t="s">
        <v>556</v>
      </c>
      <c r="D122" s="72">
        <v>5</v>
      </c>
      <c r="E122" s="72"/>
      <c r="F122" s="119"/>
      <c r="G122" s="129">
        <v>12150</v>
      </c>
      <c r="H122" s="127"/>
      <c r="I122" s="129">
        <v>13230</v>
      </c>
      <c r="J122" s="129"/>
      <c r="L122" s="155">
        <v>14400</v>
      </c>
    </row>
    <row r="123" spans="1:12" ht="12">
      <c r="A123" s="72">
        <v>6</v>
      </c>
      <c r="B123" s="47" t="s">
        <v>0</v>
      </c>
      <c r="D123" s="72">
        <v>6</v>
      </c>
      <c r="E123" s="72"/>
      <c r="F123" s="119"/>
      <c r="G123" s="119"/>
      <c r="H123" s="127"/>
      <c r="I123" s="129"/>
      <c r="J123" s="129"/>
      <c r="L123" s="155"/>
    </row>
    <row r="124" spans="1:12" ht="12">
      <c r="A124" s="72">
        <v>7</v>
      </c>
      <c r="B124" s="47" t="s">
        <v>0</v>
      </c>
      <c r="D124" s="72">
        <v>7</v>
      </c>
      <c r="E124" s="72"/>
      <c r="F124" s="119"/>
      <c r="G124" s="119"/>
      <c r="H124" s="127"/>
      <c r="I124" s="130" t="s">
        <v>0</v>
      </c>
      <c r="J124" s="130"/>
      <c r="L124" s="155"/>
    </row>
    <row r="125" spans="1:12" ht="12">
      <c r="A125" s="72">
        <v>8</v>
      </c>
      <c r="D125" s="72">
        <v>8</v>
      </c>
      <c r="E125" s="72"/>
      <c r="F125" s="119"/>
      <c r="G125" s="119"/>
      <c r="H125" s="127"/>
      <c r="I125" s="129"/>
      <c r="J125" s="129"/>
      <c r="L125" s="155"/>
    </row>
    <row r="126" spans="1:12" ht="12">
      <c r="A126" s="72">
        <v>9</v>
      </c>
      <c r="B126" s="47" t="s">
        <v>0</v>
      </c>
      <c r="D126" s="72">
        <v>9</v>
      </c>
      <c r="E126" s="72"/>
      <c r="F126" s="119"/>
      <c r="G126" s="119"/>
      <c r="H126" s="127"/>
      <c r="I126" s="129"/>
      <c r="J126" s="129"/>
      <c r="L126" s="155"/>
    </row>
    <row r="127" spans="1:12" ht="12">
      <c r="A127" s="72">
        <v>10</v>
      </c>
      <c r="B127" s="47" t="s">
        <v>0</v>
      </c>
      <c r="D127" s="72">
        <v>10</v>
      </c>
      <c r="E127" s="72"/>
      <c r="F127" s="119"/>
      <c r="G127" s="119"/>
      <c r="H127" s="127"/>
      <c r="I127" s="129"/>
      <c r="J127" s="129"/>
      <c r="L127" s="155"/>
    </row>
    <row r="128" spans="1:12" ht="12">
      <c r="A128" s="72">
        <v>11</v>
      </c>
      <c r="B128" s="47" t="s">
        <v>146</v>
      </c>
      <c r="D128" s="72">
        <v>11</v>
      </c>
      <c r="E128" s="72"/>
      <c r="F128" s="119"/>
      <c r="G128" s="119"/>
      <c r="H128" s="127"/>
      <c r="I128" s="129"/>
      <c r="J128" s="129"/>
      <c r="L128" s="155"/>
    </row>
    <row r="129" spans="1:12" ht="12">
      <c r="A129" s="72">
        <v>12</v>
      </c>
      <c r="B129" s="47" t="s">
        <v>140</v>
      </c>
      <c r="D129" s="72">
        <v>12</v>
      </c>
      <c r="E129" s="72"/>
      <c r="F129" s="119"/>
      <c r="G129" s="119"/>
      <c r="H129" s="127"/>
      <c r="I129" s="129"/>
      <c r="J129" s="129"/>
      <c r="L129" s="155"/>
    </row>
    <row r="130" spans="1:12" ht="12">
      <c r="A130" s="72">
        <v>13</v>
      </c>
      <c r="B130" s="47" t="s">
        <v>141</v>
      </c>
      <c r="D130" s="72">
        <v>13</v>
      </c>
      <c r="E130" s="72"/>
      <c r="F130" s="119"/>
      <c r="G130" s="119"/>
      <c r="H130" s="127"/>
      <c r="I130" s="129"/>
      <c r="J130" s="129"/>
      <c r="L130" s="155"/>
    </row>
    <row r="131" spans="1:12" ht="12">
      <c r="A131" s="72">
        <v>14</v>
      </c>
      <c r="B131" s="47" t="s">
        <v>557</v>
      </c>
      <c r="D131" s="72">
        <v>14</v>
      </c>
      <c r="E131" s="72"/>
      <c r="F131" s="125"/>
      <c r="G131" s="132">
        <v>5805</v>
      </c>
      <c r="H131" s="131"/>
      <c r="I131" s="132">
        <v>5985</v>
      </c>
      <c r="J131" s="132"/>
      <c r="L131" s="155">
        <v>6165</v>
      </c>
    </row>
    <row r="132" spans="1:12" ht="12">
      <c r="A132" s="72">
        <v>15</v>
      </c>
      <c r="B132" s="47" t="s">
        <v>558</v>
      </c>
      <c r="D132" s="72">
        <v>15</v>
      </c>
      <c r="E132" s="72"/>
      <c r="F132" s="125"/>
      <c r="G132" s="132">
        <v>21825</v>
      </c>
      <c r="H132" s="131"/>
      <c r="I132" s="132">
        <v>23445</v>
      </c>
      <c r="J132" s="132"/>
      <c r="L132" s="155">
        <v>24885</v>
      </c>
    </row>
    <row r="133" spans="1:12" ht="12">
      <c r="A133" s="72">
        <v>16</v>
      </c>
      <c r="B133" s="47" t="s">
        <v>556</v>
      </c>
      <c r="D133" s="72">
        <v>16</v>
      </c>
      <c r="E133" s="72"/>
      <c r="F133" s="125"/>
      <c r="G133" s="132">
        <v>18000</v>
      </c>
      <c r="H133" s="131"/>
      <c r="I133" s="132">
        <v>19125</v>
      </c>
      <c r="J133" s="132"/>
      <c r="L133" s="155">
        <v>20700</v>
      </c>
    </row>
    <row r="134" spans="1:12" ht="12">
      <c r="A134" s="72">
        <v>17</v>
      </c>
      <c r="B134" s="47" t="s">
        <v>559</v>
      </c>
      <c r="D134" s="72">
        <v>17</v>
      </c>
      <c r="E134" s="72"/>
      <c r="F134" s="125"/>
      <c r="G134" s="132">
        <v>3483</v>
      </c>
      <c r="H134" s="131"/>
      <c r="I134" s="132">
        <v>3588</v>
      </c>
      <c r="J134" s="132"/>
      <c r="L134" s="155">
        <v>3696</v>
      </c>
    </row>
    <row r="135" spans="1:12" ht="12">
      <c r="A135" s="72">
        <v>18</v>
      </c>
      <c r="B135" s="47" t="s">
        <v>0</v>
      </c>
      <c r="D135" s="72">
        <v>18</v>
      </c>
      <c r="E135" s="72"/>
      <c r="F135" s="125"/>
      <c r="G135" s="125"/>
      <c r="H135" s="131"/>
      <c r="I135" s="132"/>
      <c r="J135" s="132"/>
      <c r="L135" s="155"/>
    </row>
    <row r="136" spans="1:12" ht="12">
      <c r="A136" s="72">
        <v>19</v>
      </c>
      <c r="D136" s="72">
        <v>19</v>
      </c>
      <c r="E136" s="72"/>
      <c r="F136" s="119"/>
      <c r="G136" s="119"/>
      <c r="H136" s="127"/>
      <c r="I136" s="129"/>
      <c r="J136" s="129"/>
      <c r="L136" s="155"/>
    </row>
    <row r="137" spans="1:12" ht="12">
      <c r="A137" s="72">
        <v>20</v>
      </c>
      <c r="D137" s="72">
        <v>20</v>
      </c>
      <c r="E137" s="72"/>
      <c r="F137" s="119"/>
      <c r="G137" s="119"/>
      <c r="H137" s="127"/>
      <c r="I137" s="129"/>
      <c r="J137" s="129"/>
      <c r="L137" s="155"/>
    </row>
    <row r="138" spans="1:12" ht="12">
      <c r="A138" s="72">
        <v>21</v>
      </c>
      <c r="B138" s="47" t="s">
        <v>149</v>
      </c>
      <c r="D138" s="72">
        <v>21</v>
      </c>
      <c r="E138" s="72"/>
      <c r="F138" s="119"/>
      <c r="G138" s="119"/>
      <c r="H138" s="127"/>
      <c r="I138" s="129"/>
      <c r="J138" s="129"/>
      <c r="L138" s="155"/>
    </row>
    <row r="139" spans="1:12" ht="12">
      <c r="A139" s="72">
        <v>22</v>
      </c>
      <c r="B139" s="47" t="s">
        <v>140</v>
      </c>
      <c r="D139" s="72">
        <v>22</v>
      </c>
      <c r="E139" s="72"/>
      <c r="F139" s="119"/>
      <c r="G139" s="119"/>
      <c r="H139" s="127"/>
      <c r="I139" s="129"/>
      <c r="J139" s="129"/>
      <c r="L139" s="155"/>
    </row>
    <row r="140" spans="1:12" ht="12">
      <c r="A140" s="72">
        <v>23</v>
      </c>
      <c r="B140" s="47" t="s">
        <v>141</v>
      </c>
      <c r="D140" s="72">
        <v>23</v>
      </c>
      <c r="E140" s="72"/>
      <c r="F140" s="119"/>
      <c r="G140" s="119"/>
      <c r="H140" s="127"/>
      <c r="I140" s="128"/>
      <c r="J140" s="128"/>
      <c r="L140" s="155"/>
    </row>
    <row r="141" spans="1:12" ht="12">
      <c r="A141" s="72">
        <v>24</v>
      </c>
      <c r="B141" s="47" t="s">
        <v>560</v>
      </c>
      <c r="D141" s="72">
        <v>24</v>
      </c>
      <c r="E141" s="72"/>
      <c r="F141" s="119"/>
      <c r="G141" s="128">
        <v>25009</v>
      </c>
      <c r="H141" s="127"/>
      <c r="I141" s="128">
        <v>26485</v>
      </c>
      <c r="J141" s="128"/>
      <c r="L141" s="155">
        <v>28207</v>
      </c>
    </row>
    <row r="142" spans="1:12" ht="12">
      <c r="A142" s="72">
        <v>25</v>
      </c>
      <c r="B142" s="48" t="s">
        <v>561</v>
      </c>
      <c r="D142" s="72">
        <v>25</v>
      </c>
      <c r="E142" s="72"/>
      <c r="F142" s="122"/>
      <c r="G142" s="228">
        <v>16560</v>
      </c>
      <c r="H142" s="133"/>
      <c r="I142" s="228">
        <v>16830</v>
      </c>
      <c r="J142" s="228"/>
      <c r="L142" s="155">
        <v>17100</v>
      </c>
    </row>
    <row r="143" spans="1:12" ht="12">
      <c r="A143" s="72">
        <v>26</v>
      </c>
      <c r="B143" s="47" t="s">
        <v>562</v>
      </c>
      <c r="D143" s="72">
        <v>26</v>
      </c>
      <c r="E143" s="72"/>
      <c r="F143" s="119"/>
      <c r="G143" s="128">
        <v>20450</v>
      </c>
      <c r="H143" s="127"/>
      <c r="I143" s="128">
        <v>22291</v>
      </c>
      <c r="J143" s="128"/>
      <c r="L143" s="155">
        <v>24297</v>
      </c>
    </row>
    <row r="144" spans="1:12" ht="12">
      <c r="A144" s="72">
        <v>27</v>
      </c>
      <c r="B144" s="47" t="s">
        <v>556</v>
      </c>
      <c r="D144" s="72">
        <v>27</v>
      </c>
      <c r="E144" s="72"/>
      <c r="F144" s="119"/>
      <c r="G144" s="128">
        <v>18000</v>
      </c>
      <c r="H144" s="127"/>
      <c r="I144" s="128">
        <v>19125</v>
      </c>
      <c r="J144" s="128"/>
      <c r="L144" s="155">
        <v>20700</v>
      </c>
    </row>
    <row r="145" spans="1:12" ht="12">
      <c r="A145" s="72">
        <v>28</v>
      </c>
      <c r="B145" s="47" t="s">
        <v>559</v>
      </c>
      <c r="D145" s="72">
        <v>28</v>
      </c>
      <c r="E145" s="72"/>
      <c r="F145" s="119"/>
      <c r="G145" s="128">
        <v>16446</v>
      </c>
      <c r="H145" s="127"/>
      <c r="I145" s="128">
        <v>17928</v>
      </c>
      <c r="J145" s="128"/>
      <c r="L145" s="155">
        <v>19542</v>
      </c>
    </row>
    <row r="146" spans="1:10" ht="12">
      <c r="A146" s="72"/>
      <c r="B146" s="47" t="s">
        <v>0</v>
      </c>
      <c r="D146" s="68"/>
      <c r="E146" s="68"/>
      <c r="F146" s="84"/>
      <c r="G146" s="58"/>
      <c r="H146" s="84"/>
      <c r="I146" s="58"/>
      <c r="J146" s="58"/>
    </row>
    <row r="147" spans="1:5" ht="12">
      <c r="A147" s="72"/>
      <c r="D147" s="68"/>
      <c r="E147" s="68"/>
    </row>
    <row r="148" spans="1:10" s="134" customFormat="1" ht="9">
      <c r="A148" s="134" t="s">
        <v>407</v>
      </c>
      <c r="F148" s="135"/>
      <c r="G148" s="136"/>
      <c r="H148" s="135"/>
      <c r="I148" s="136"/>
      <c r="J148" s="136"/>
    </row>
    <row r="149" spans="1:10" s="134" customFormat="1" ht="9">
      <c r="A149" s="137" t="s">
        <v>408</v>
      </c>
      <c r="F149" s="135"/>
      <c r="G149" s="136"/>
      <c r="H149" s="135"/>
      <c r="I149" s="136"/>
      <c r="J149" s="136"/>
    </row>
    <row r="150" spans="1:10" ht="12">
      <c r="A150" s="47"/>
      <c r="G150" s="58"/>
      <c r="I150" s="58"/>
      <c r="J150" s="58"/>
    </row>
    <row r="151" spans="1:12" ht="12">
      <c r="A151" s="91" t="s">
        <v>550</v>
      </c>
      <c r="D151" s="68"/>
      <c r="E151" s="68"/>
      <c r="F151" s="84"/>
      <c r="G151" s="58"/>
      <c r="H151" s="84"/>
      <c r="J151" s="92"/>
      <c r="K151" s="49"/>
      <c r="L151" s="92" t="s">
        <v>158</v>
      </c>
    </row>
    <row r="152" spans="1:12" ht="12.75" customHeight="1">
      <c r="A152" s="477" t="s">
        <v>409</v>
      </c>
      <c r="B152" s="477"/>
      <c r="C152" s="477"/>
      <c r="D152" s="477"/>
      <c r="E152" s="477"/>
      <c r="F152" s="477"/>
      <c r="G152" s="477"/>
      <c r="H152" s="477"/>
      <c r="I152" s="477"/>
      <c r="J152" s="477"/>
      <c r="K152" s="477"/>
      <c r="L152" s="477"/>
    </row>
    <row r="153" spans="1:12" ht="12">
      <c r="A153" s="91" t="s">
        <v>551</v>
      </c>
      <c r="G153" s="58"/>
      <c r="H153" s="84"/>
      <c r="I153" s="94"/>
      <c r="J153" s="94"/>
      <c r="K153" s="49"/>
      <c r="L153" s="94" t="s">
        <v>71</v>
      </c>
    </row>
    <row r="154" spans="1:12" ht="12">
      <c r="A154" s="45" t="s">
        <v>1</v>
      </c>
      <c r="B154" s="45" t="s">
        <v>1</v>
      </c>
      <c r="C154" s="45" t="s">
        <v>1</v>
      </c>
      <c r="D154" s="45" t="s">
        <v>1</v>
      </c>
      <c r="E154" s="45"/>
      <c r="F154" s="95" t="s">
        <v>1</v>
      </c>
      <c r="G154" s="71" t="s">
        <v>1</v>
      </c>
      <c r="H154" s="95" t="s">
        <v>1</v>
      </c>
      <c r="I154" s="71" t="s">
        <v>1</v>
      </c>
      <c r="J154" s="71"/>
      <c r="K154" s="71" t="s">
        <v>1</v>
      </c>
      <c r="L154" s="71" t="s">
        <v>1</v>
      </c>
    </row>
    <row r="155" spans="1:12" ht="12">
      <c r="A155" s="59" t="s">
        <v>2</v>
      </c>
      <c r="D155" s="59" t="s">
        <v>2</v>
      </c>
      <c r="E155" s="59"/>
      <c r="F155" s="96"/>
      <c r="G155" s="87" t="s">
        <v>62</v>
      </c>
      <c r="H155" s="96"/>
      <c r="I155" s="87" t="s">
        <v>65</v>
      </c>
      <c r="J155" s="87"/>
      <c r="L155" s="77" t="s">
        <v>70</v>
      </c>
    </row>
    <row r="156" spans="1:12" ht="12">
      <c r="A156" s="59" t="s">
        <v>4</v>
      </c>
      <c r="B156" s="47" t="s">
        <v>0</v>
      </c>
      <c r="D156" s="59" t="s">
        <v>4</v>
      </c>
      <c r="E156" s="59"/>
      <c r="F156" s="96"/>
      <c r="G156" s="87" t="s">
        <v>7</v>
      </c>
      <c r="H156" s="96"/>
      <c r="I156" s="87" t="s">
        <v>7</v>
      </c>
      <c r="J156" s="87"/>
      <c r="L156" s="77" t="s">
        <v>8</v>
      </c>
    </row>
    <row r="157" spans="1:12" ht="12">
      <c r="A157" s="45" t="s">
        <v>1</v>
      </c>
      <c r="B157" s="45" t="s">
        <v>1</v>
      </c>
      <c r="C157" s="45" t="s">
        <v>1</v>
      </c>
      <c r="D157" s="45" t="s">
        <v>1</v>
      </c>
      <c r="E157" s="45"/>
      <c r="F157" s="95" t="s">
        <v>1</v>
      </c>
      <c r="G157" s="71" t="s">
        <v>1</v>
      </c>
      <c r="H157" s="95" t="s">
        <v>1</v>
      </c>
      <c r="I157" s="71" t="s">
        <v>1</v>
      </c>
      <c r="J157" s="71"/>
      <c r="K157" s="71" t="s">
        <v>1</v>
      </c>
      <c r="L157" s="71" t="s">
        <v>1</v>
      </c>
    </row>
    <row r="158" spans="1:10" ht="12">
      <c r="A158" s="72">
        <v>1</v>
      </c>
      <c r="B158" s="47" t="s">
        <v>392</v>
      </c>
      <c r="D158" s="72">
        <v>1</v>
      </c>
      <c r="E158" s="72"/>
      <c r="F158" s="119"/>
      <c r="G158" s="119"/>
      <c r="H158" s="84"/>
      <c r="I158" s="58"/>
      <c r="J158" s="58"/>
    </row>
    <row r="159" spans="1:10" ht="12">
      <c r="A159" s="72">
        <v>2</v>
      </c>
      <c r="B159" s="47" t="s">
        <v>140</v>
      </c>
      <c r="D159" s="72">
        <v>2</v>
      </c>
      <c r="E159" s="72"/>
      <c r="F159" s="119"/>
      <c r="G159" s="119"/>
      <c r="H159" s="84"/>
      <c r="I159" s="129"/>
      <c r="J159" s="129"/>
    </row>
    <row r="160" spans="1:10" ht="12">
      <c r="A160" s="72">
        <v>3</v>
      </c>
      <c r="B160" s="47" t="s">
        <v>141</v>
      </c>
      <c r="D160" s="72">
        <v>3</v>
      </c>
      <c r="E160" s="72"/>
      <c r="F160" s="119"/>
      <c r="G160" s="119"/>
      <c r="H160" s="84"/>
      <c r="I160" s="129"/>
      <c r="J160" s="129"/>
    </row>
    <row r="161" spans="1:10" ht="12">
      <c r="A161" s="72">
        <v>4</v>
      </c>
      <c r="B161" s="47" t="s">
        <v>555</v>
      </c>
      <c r="D161" s="72">
        <v>4</v>
      </c>
      <c r="E161" s="72"/>
      <c r="F161" s="119"/>
      <c r="G161" s="129">
        <v>31725</v>
      </c>
      <c r="H161" s="84"/>
      <c r="I161" s="129"/>
      <c r="J161" s="129"/>
    </row>
    <row r="162" spans="1:12" ht="12">
      <c r="A162" s="72">
        <v>5</v>
      </c>
      <c r="B162" s="48" t="s">
        <v>556</v>
      </c>
      <c r="D162" s="72">
        <v>5</v>
      </c>
      <c r="E162" s="72"/>
      <c r="F162" s="119"/>
      <c r="G162" s="129">
        <v>36855</v>
      </c>
      <c r="H162" s="84"/>
      <c r="I162" s="129">
        <v>36855</v>
      </c>
      <c r="J162" s="129"/>
      <c r="L162" s="155">
        <v>36855</v>
      </c>
    </row>
    <row r="163" spans="1:12" ht="12">
      <c r="A163" s="72">
        <v>6</v>
      </c>
      <c r="B163" s="47" t="s">
        <v>0</v>
      </c>
      <c r="D163" s="72">
        <v>6</v>
      </c>
      <c r="E163" s="72"/>
      <c r="F163" s="119"/>
      <c r="G163" s="119"/>
      <c r="H163" s="84"/>
      <c r="I163" s="129"/>
      <c r="J163" s="129"/>
      <c r="L163" s="155"/>
    </row>
    <row r="164" spans="1:12" ht="12">
      <c r="A164" s="72">
        <v>7</v>
      </c>
      <c r="B164" s="47" t="s">
        <v>0</v>
      </c>
      <c r="D164" s="72">
        <v>7</v>
      </c>
      <c r="E164" s="72"/>
      <c r="F164" s="119"/>
      <c r="G164" s="119"/>
      <c r="H164" s="84"/>
      <c r="I164" s="129"/>
      <c r="J164" s="129"/>
      <c r="L164" s="155"/>
    </row>
    <row r="165" spans="1:12" ht="12">
      <c r="A165" s="72">
        <v>8</v>
      </c>
      <c r="D165" s="72">
        <v>8</v>
      </c>
      <c r="E165" s="72"/>
      <c r="F165" s="119"/>
      <c r="G165" s="119"/>
      <c r="H165" s="84"/>
      <c r="I165" s="129"/>
      <c r="J165" s="129"/>
      <c r="L165" s="155"/>
    </row>
    <row r="166" spans="1:12" ht="12">
      <c r="A166" s="72">
        <v>9</v>
      </c>
      <c r="B166" s="47" t="s">
        <v>0</v>
      </c>
      <c r="D166" s="72">
        <v>9</v>
      </c>
      <c r="E166" s="72"/>
      <c r="F166" s="119"/>
      <c r="G166" s="119"/>
      <c r="H166" s="84"/>
      <c r="I166" s="129"/>
      <c r="J166" s="129"/>
      <c r="L166" s="155"/>
    </row>
    <row r="167" spans="1:12" ht="12">
      <c r="A167" s="72">
        <v>10</v>
      </c>
      <c r="B167" s="47" t="s">
        <v>0</v>
      </c>
      <c r="D167" s="72">
        <v>10</v>
      </c>
      <c r="E167" s="72"/>
      <c r="F167" s="119"/>
      <c r="G167" s="119"/>
      <c r="H167" s="84"/>
      <c r="I167" s="129"/>
      <c r="J167" s="129"/>
      <c r="L167" s="155"/>
    </row>
    <row r="168" spans="1:12" ht="12">
      <c r="A168" s="72">
        <v>11</v>
      </c>
      <c r="B168" s="47" t="s">
        <v>146</v>
      </c>
      <c r="D168" s="72">
        <v>11</v>
      </c>
      <c r="E168" s="72"/>
      <c r="F168" s="119"/>
      <c r="G168" s="119"/>
      <c r="H168" s="84"/>
      <c r="I168" s="129"/>
      <c r="J168" s="129"/>
      <c r="L168" s="155"/>
    </row>
    <row r="169" spans="1:12" ht="12">
      <c r="A169" s="72">
        <v>12</v>
      </c>
      <c r="B169" s="47" t="s">
        <v>140</v>
      </c>
      <c r="D169" s="72">
        <v>12</v>
      </c>
      <c r="E169" s="72"/>
      <c r="F169" s="119"/>
      <c r="G169" s="119"/>
      <c r="H169" s="84"/>
      <c r="I169" s="129"/>
      <c r="J169" s="129"/>
      <c r="L169" s="155"/>
    </row>
    <row r="170" spans="1:12" ht="12">
      <c r="A170" s="72">
        <v>13</v>
      </c>
      <c r="B170" s="47" t="s">
        <v>141</v>
      </c>
      <c r="D170" s="72">
        <v>13</v>
      </c>
      <c r="E170" s="72"/>
      <c r="F170" s="119"/>
      <c r="G170" s="119"/>
      <c r="H170" s="84"/>
      <c r="I170" s="129"/>
      <c r="J170" s="129"/>
      <c r="L170" s="155"/>
    </row>
    <row r="171" spans="1:12" ht="12">
      <c r="A171" s="72">
        <v>14</v>
      </c>
      <c r="B171" s="47" t="s">
        <v>557</v>
      </c>
      <c r="D171" s="72">
        <v>14</v>
      </c>
      <c r="E171" s="72"/>
      <c r="F171" s="125"/>
      <c r="G171" s="132">
        <v>26775</v>
      </c>
      <c r="H171" s="139"/>
      <c r="I171" s="132">
        <v>26775</v>
      </c>
      <c r="J171" s="132"/>
      <c r="L171" s="155">
        <v>27045</v>
      </c>
    </row>
    <row r="172" spans="1:12" ht="12">
      <c r="A172" s="72">
        <v>15</v>
      </c>
      <c r="B172" s="47" t="s">
        <v>558</v>
      </c>
      <c r="D172" s="72">
        <v>15</v>
      </c>
      <c r="E172" s="72"/>
      <c r="F172" s="125"/>
      <c r="G172" s="132">
        <v>39375</v>
      </c>
      <c r="H172" s="139"/>
      <c r="I172" s="132">
        <v>42345</v>
      </c>
      <c r="J172" s="132"/>
      <c r="L172" s="155">
        <v>44865</v>
      </c>
    </row>
    <row r="173" spans="1:12" ht="12">
      <c r="A173" s="72">
        <v>16</v>
      </c>
      <c r="B173" s="47" t="s">
        <v>556</v>
      </c>
      <c r="D173" s="72">
        <v>16</v>
      </c>
      <c r="E173" s="72"/>
      <c r="F173" s="125"/>
      <c r="G173" s="132">
        <v>44055</v>
      </c>
      <c r="H173" s="139"/>
      <c r="I173" s="132">
        <v>44055</v>
      </c>
      <c r="J173" s="132"/>
      <c r="L173" s="155">
        <v>44055</v>
      </c>
    </row>
    <row r="174" spans="1:12" ht="12">
      <c r="A174" s="72">
        <v>17</v>
      </c>
      <c r="B174" s="47" t="s">
        <v>559</v>
      </c>
      <c r="D174" s="72">
        <v>17</v>
      </c>
      <c r="E174" s="72"/>
      <c r="F174" s="125"/>
      <c r="G174" s="132">
        <v>16065</v>
      </c>
      <c r="H174" s="139"/>
      <c r="I174" s="132">
        <v>16065</v>
      </c>
      <c r="J174" s="132"/>
      <c r="L174" s="155">
        <v>16227</v>
      </c>
    </row>
    <row r="175" spans="1:12" ht="12">
      <c r="A175" s="72">
        <v>18</v>
      </c>
      <c r="B175" s="47" t="s">
        <v>0</v>
      </c>
      <c r="D175" s="72">
        <v>18</v>
      </c>
      <c r="E175" s="72"/>
      <c r="F175" s="125"/>
      <c r="G175" s="125"/>
      <c r="H175" s="139"/>
      <c r="I175" s="132"/>
      <c r="J175" s="132"/>
      <c r="L175" s="155"/>
    </row>
    <row r="176" spans="1:12" ht="12">
      <c r="A176" s="72">
        <v>19</v>
      </c>
      <c r="D176" s="72">
        <v>19</v>
      </c>
      <c r="E176" s="72"/>
      <c r="F176" s="119"/>
      <c r="G176" s="119"/>
      <c r="H176" s="84"/>
      <c r="I176" s="129"/>
      <c r="J176" s="129"/>
      <c r="L176" s="155"/>
    </row>
    <row r="177" spans="1:12" ht="12">
      <c r="A177" s="72">
        <v>20</v>
      </c>
      <c r="D177" s="72">
        <v>20</v>
      </c>
      <c r="E177" s="72"/>
      <c r="F177" s="119"/>
      <c r="G177" s="119"/>
      <c r="H177" s="84"/>
      <c r="I177" s="129"/>
      <c r="J177" s="129"/>
      <c r="L177" s="155"/>
    </row>
    <row r="178" spans="1:12" ht="12">
      <c r="A178" s="72">
        <v>21</v>
      </c>
      <c r="B178" s="47" t="s">
        <v>149</v>
      </c>
      <c r="D178" s="72">
        <v>21</v>
      </c>
      <c r="E178" s="72"/>
      <c r="F178" s="119"/>
      <c r="G178" s="119"/>
      <c r="H178" s="84"/>
      <c r="I178" s="129"/>
      <c r="J178" s="129"/>
      <c r="L178" s="155"/>
    </row>
    <row r="179" spans="1:12" ht="12">
      <c r="A179" s="72">
        <v>22</v>
      </c>
      <c r="B179" s="47" t="s">
        <v>140</v>
      </c>
      <c r="D179" s="72">
        <v>22</v>
      </c>
      <c r="E179" s="72"/>
      <c r="F179" s="119"/>
      <c r="G179" s="119"/>
      <c r="H179" s="84"/>
      <c r="I179" s="129"/>
      <c r="J179" s="129"/>
      <c r="L179" s="155"/>
    </row>
    <row r="180" spans="1:12" ht="12">
      <c r="A180" s="72">
        <v>23</v>
      </c>
      <c r="B180" s="47" t="s">
        <v>141</v>
      </c>
      <c r="D180" s="72">
        <v>23</v>
      </c>
      <c r="E180" s="72"/>
      <c r="F180" s="119"/>
      <c r="G180" s="119"/>
      <c r="H180" s="84"/>
      <c r="I180" s="129"/>
      <c r="J180" s="129"/>
      <c r="L180" s="155"/>
    </row>
    <row r="181" spans="1:12" ht="12">
      <c r="A181" s="72">
        <v>24</v>
      </c>
      <c r="B181" s="47" t="s">
        <v>560</v>
      </c>
      <c r="D181" s="72">
        <v>24</v>
      </c>
      <c r="E181" s="72"/>
      <c r="F181" s="119"/>
      <c r="G181" s="58">
        <v>82059</v>
      </c>
      <c r="H181" s="84"/>
      <c r="I181" s="58">
        <v>82059</v>
      </c>
      <c r="J181" s="58"/>
      <c r="L181" s="155">
        <v>82059</v>
      </c>
    </row>
    <row r="182" spans="1:12" ht="12">
      <c r="A182" s="72">
        <v>25</v>
      </c>
      <c r="B182" s="48" t="s">
        <v>561</v>
      </c>
      <c r="D182" s="72">
        <v>25</v>
      </c>
      <c r="E182" s="72"/>
      <c r="F182" s="122"/>
      <c r="G182" s="57">
        <v>36900</v>
      </c>
      <c r="I182" s="57">
        <v>36900</v>
      </c>
      <c r="L182" s="155">
        <v>37440</v>
      </c>
    </row>
    <row r="183" spans="1:12" ht="12">
      <c r="A183" s="72">
        <v>26</v>
      </c>
      <c r="B183" s="47" t="s">
        <v>562</v>
      </c>
      <c r="D183" s="72">
        <v>26</v>
      </c>
      <c r="E183" s="72"/>
      <c r="F183" s="119"/>
      <c r="G183" s="58">
        <v>46114</v>
      </c>
      <c r="H183" s="84"/>
      <c r="I183" s="58">
        <v>50265</v>
      </c>
      <c r="J183" s="58"/>
      <c r="L183" s="155">
        <v>54789</v>
      </c>
    </row>
    <row r="184" spans="1:12" ht="12">
      <c r="A184" s="72">
        <v>27</v>
      </c>
      <c r="B184" s="47" t="s">
        <v>556</v>
      </c>
      <c r="D184" s="72">
        <v>27</v>
      </c>
      <c r="E184" s="72"/>
      <c r="F184" s="119"/>
      <c r="G184" s="58">
        <v>44055</v>
      </c>
      <c r="H184" s="84"/>
      <c r="I184" s="58">
        <v>44055</v>
      </c>
      <c r="J184" s="58"/>
      <c r="L184" s="155">
        <v>44055</v>
      </c>
    </row>
    <row r="185" spans="1:12" ht="12">
      <c r="A185" s="72">
        <v>28</v>
      </c>
      <c r="B185" s="47" t="s">
        <v>559</v>
      </c>
      <c r="D185" s="72">
        <v>28</v>
      </c>
      <c r="E185" s="72"/>
      <c r="F185" s="119"/>
      <c r="G185" s="58">
        <v>29568</v>
      </c>
      <c r="H185" s="84"/>
      <c r="I185" s="58">
        <v>29982</v>
      </c>
      <c r="J185" s="58"/>
      <c r="L185" s="155">
        <v>32676</v>
      </c>
    </row>
    <row r="186" spans="1:10" ht="12">
      <c r="A186" s="72">
        <v>29</v>
      </c>
      <c r="B186" s="47" t="s">
        <v>0</v>
      </c>
      <c r="D186" s="72">
        <v>29</v>
      </c>
      <c r="E186" s="72"/>
      <c r="F186" s="119"/>
      <c r="G186" s="119"/>
      <c r="H186" s="84"/>
      <c r="I186" s="58"/>
      <c r="J186" s="58"/>
    </row>
    <row r="187" spans="1:7" ht="12">
      <c r="A187" s="72">
        <v>30</v>
      </c>
      <c r="D187" s="72">
        <v>30</v>
      </c>
      <c r="E187" s="72"/>
      <c r="F187" s="122"/>
      <c r="G187" s="122"/>
    </row>
    <row r="189" spans="1:12" ht="12">
      <c r="A189" s="91" t="s">
        <v>550</v>
      </c>
      <c r="B189" s="140"/>
      <c r="F189" s="48"/>
      <c r="G189" s="48"/>
      <c r="H189" s="48"/>
      <c r="J189" s="48"/>
      <c r="L189" s="103" t="s">
        <v>164</v>
      </c>
    </row>
    <row r="190" spans="1:10" ht="12">
      <c r="A190" s="115"/>
      <c r="B190" s="476"/>
      <c r="C190" s="476"/>
      <c r="D190" s="476"/>
      <c r="E190" s="476"/>
      <c r="F190" s="476"/>
      <c r="G190" s="476"/>
      <c r="H190" s="476"/>
      <c r="I190" s="476"/>
      <c r="J190" s="141"/>
    </row>
    <row r="191" spans="1:12" ht="12">
      <c r="A191" s="91" t="s">
        <v>551</v>
      </c>
      <c r="F191" s="48"/>
      <c r="G191" s="48"/>
      <c r="H191" s="48"/>
      <c r="I191" s="93"/>
      <c r="J191" s="93"/>
      <c r="L191" s="94" t="s">
        <v>71</v>
      </c>
    </row>
    <row r="192" spans="1:11" ht="12">
      <c r="A192" s="45"/>
      <c r="B192" s="45" t="s">
        <v>1</v>
      </c>
      <c r="C192" s="45" t="s">
        <v>1</v>
      </c>
      <c r="D192" s="45" t="s">
        <v>1</v>
      </c>
      <c r="E192" s="45"/>
      <c r="F192" s="45" t="s">
        <v>1</v>
      </c>
      <c r="G192" s="45" t="s">
        <v>1</v>
      </c>
      <c r="H192" s="45" t="s">
        <v>1</v>
      </c>
      <c r="I192" s="45" t="s">
        <v>1</v>
      </c>
      <c r="J192" s="45"/>
      <c r="K192" s="45" t="s">
        <v>1</v>
      </c>
    </row>
    <row r="193" spans="1:10" ht="12">
      <c r="A193" s="59"/>
      <c r="C193" s="80" t="s">
        <v>563</v>
      </c>
      <c r="G193" s="80" t="s">
        <v>564</v>
      </c>
      <c r="H193" s="80"/>
      <c r="I193" s="48"/>
      <c r="J193" s="48"/>
    </row>
    <row r="194" spans="1:10" ht="12">
      <c r="A194" s="59"/>
      <c r="C194" s="80" t="s">
        <v>167</v>
      </c>
      <c r="G194" s="80" t="s">
        <v>167</v>
      </c>
      <c r="H194" s="80"/>
      <c r="I194" s="48"/>
      <c r="J194" s="48"/>
    </row>
    <row r="195" spans="1:10" ht="12">
      <c r="A195" s="45"/>
      <c r="C195" s="80" t="s">
        <v>19</v>
      </c>
      <c r="D195" s="80" t="s">
        <v>19</v>
      </c>
      <c r="E195" s="80"/>
      <c r="F195" s="238" t="s">
        <v>168</v>
      </c>
      <c r="G195" s="80" t="s">
        <v>19</v>
      </c>
      <c r="H195" s="80" t="s">
        <v>19</v>
      </c>
      <c r="I195" s="86" t="s">
        <v>168</v>
      </c>
      <c r="J195" s="86"/>
    </row>
    <row r="196" spans="1:10" ht="12">
      <c r="A196" s="47"/>
      <c r="B196" s="80" t="s">
        <v>169</v>
      </c>
      <c r="C196" s="80" t="s">
        <v>170</v>
      </c>
      <c r="D196" s="80" t="s">
        <v>171</v>
      </c>
      <c r="E196" s="80"/>
      <c r="F196" s="238" t="s">
        <v>565</v>
      </c>
      <c r="G196" s="80" t="s">
        <v>170</v>
      </c>
      <c r="H196" s="80" t="s">
        <v>171</v>
      </c>
      <c r="I196" s="86" t="s">
        <v>565</v>
      </c>
      <c r="J196" s="86"/>
    </row>
    <row r="197" spans="1:11" ht="12">
      <c r="A197" s="47"/>
      <c r="B197" s="45" t="s">
        <v>1</v>
      </c>
      <c r="C197" s="45" t="s">
        <v>1</v>
      </c>
      <c r="D197" s="45" t="s">
        <v>1</v>
      </c>
      <c r="E197" s="45"/>
      <c r="F197" s="45" t="s">
        <v>1</v>
      </c>
      <c r="G197" s="45" t="s">
        <v>1</v>
      </c>
      <c r="H197" s="45" t="s">
        <v>1</v>
      </c>
      <c r="I197" s="45" t="s">
        <v>1</v>
      </c>
      <c r="J197" s="45"/>
      <c r="K197" s="45" t="s">
        <v>1</v>
      </c>
    </row>
    <row r="198" spans="1:10" ht="12">
      <c r="A198" s="47"/>
      <c r="F198" s="48"/>
      <c r="G198" s="48"/>
      <c r="H198" s="48"/>
      <c r="I198" s="48"/>
      <c r="J198" s="48"/>
    </row>
    <row r="199" spans="1:10" ht="12">
      <c r="A199" s="47"/>
      <c r="B199" s="47" t="s">
        <v>173</v>
      </c>
      <c r="C199" s="142"/>
      <c r="D199" s="142"/>
      <c r="E199" s="142"/>
      <c r="F199" s="142"/>
      <c r="G199" s="142"/>
      <c r="H199" s="48"/>
      <c r="I199" s="48"/>
      <c r="J199" s="48"/>
    </row>
    <row r="200" spans="1:10" ht="12">
      <c r="A200" s="47"/>
      <c r="C200" s="142"/>
      <c r="D200" s="142"/>
      <c r="E200" s="142"/>
      <c r="F200" s="142"/>
      <c r="G200" s="142"/>
      <c r="H200" s="48"/>
      <c r="I200" s="48"/>
      <c r="J200" s="48"/>
    </row>
    <row r="201" spans="1:10" ht="12">
      <c r="A201" s="47"/>
      <c r="B201" s="47" t="s">
        <v>174</v>
      </c>
      <c r="C201" s="120"/>
      <c r="D201" s="120"/>
      <c r="E201" s="120"/>
      <c r="F201" s="120"/>
      <c r="G201" s="120"/>
      <c r="H201" s="72"/>
      <c r="I201" s="48"/>
      <c r="J201" s="48"/>
    </row>
    <row r="202" spans="1:10" ht="12">
      <c r="A202" s="47"/>
      <c r="C202" s="121"/>
      <c r="D202" s="121"/>
      <c r="E202" s="121"/>
      <c r="F202" s="121"/>
      <c r="G202" s="121"/>
      <c r="H202" s="121"/>
      <c r="I202" s="48"/>
      <c r="J202" s="48"/>
    </row>
    <row r="203" spans="1:10" ht="12">
      <c r="A203" s="47"/>
      <c r="B203" s="47" t="s">
        <v>175</v>
      </c>
      <c r="C203" s="120">
        <v>435</v>
      </c>
      <c r="D203" s="120"/>
      <c r="E203" s="120"/>
      <c r="F203" s="120"/>
      <c r="G203" s="120">
        <v>416</v>
      </c>
      <c r="H203" s="120"/>
      <c r="I203" s="48"/>
      <c r="J203" s="48"/>
    </row>
    <row r="204" spans="1:10" ht="12">
      <c r="A204" s="47"/>
      <c r="C204" s="121"/>
      <c r="D204" s="121"/>
      <c r="E204" s="121"/>
      <c r="F204" s="121"/>
      <c r="G204" s="121"/>
      <c r="H204" s="121"/>
      <c r="I204" s="48"/>
      <c r="J204" s="48"/>
    </row>
    <row r="205" spans="1:10" ht="12">
      <c r="A205" s="47"/>
      <c r="B205" s="47" t="s">
        <v>176</v>
      </c>
      <c r="C205" s="120">
        <v>435</v>
      </c>
      <c r="D205" s="120">
        <v>0</v>
      </c>
      <c r="E205" s="120"/>
      <c r="F205" s="120"/>
      <c r="G205" s="120">
        <v>416</v>
      </c>
      <c r="H205" s="120">
        <v>0</v>
      </c>
      <c r="I205" s="145"/>
      <c r="J205" s="145"/>
    </row>
    <row r="206" spans="1:10" ht="12">
      <c r="A206" s="47"/>
      <c r="C206" s="146"/>
      <c r="D206" s="73"/>
      <c r="E206" s="73"/>
      <c r="F206" s="146"/>
      <c r="G206" s="146"/>
      <c r="H206" s="73"/>
      <c r="I206" s="48"/>
      <c r="J206" s="48"/>
    </row>
    <row r="207" spans="1:10" ht="12">
      <c r="A207" s="47"/>
      <c r="C207" s="146"/>
      <c r="D207" s="73"/>
      <c r="E207" s="73"/>
      <c r="F207" s="146"/>
      <c r="G207" s="146"/>
      <c r="H207" s="73"/>
      <c r="I207" s="48"/>
      <c r="J207" s="48"/>
    </row>
    <row r="208" spans="1:10" ht="12">
      <c r="A208" s="47"/>
      <c r="B208" s="47" t="s">
        <v>177</v>
      </c>
      <c r="C208" s="121">
        <v>598</v>
      </c>
      <c r="D208" s="121"/>
      <c r="E208" s="121"/>
      <c r="F208" s="121"/>
      <c r="G208" s="121">
        <v>807</v>
      </c>
      <c r="H208" s="121"/>
      <c r="I208" s="48"/>
      <c r="J208" s="48"/>
    </row>
    <row r="209" spans="1:10" ht="12">
      <c r="A209" s="47"/>
      <c r="C209" s="121"/>
      <c r="D209" s="121"/>
      <c r="E209" s="121"/>
      <c r="F209" s="121"/>
      <c r="G209" s="121"/>
      <c r="H209" s="121"/>
      <c r="I209" s="48"/>
      <c r="J209" s="48"/>
    </row>
    <row r="210" spans="1:10" ht="12">
      <c r="A210" s="47"/>
      <c r="B210" s="47" t="s">
        <v>178</v>
      </c>
      <c r="C210" s="121">
        <v>420</v>
      </c>
      <c r="D210" s="121"/>
      <c r="E210" s="121"/>
      <c r="F210" s="121"/>
      <c r="G210" s="121">
        <v>364</v>
      </c>
      <c r="H210" s="121"/>
      <c r="I210" s="48"/>
      <c r="J210" s="48"/>
    </row>
    <row r="211" spans="1:10" ht="12">
      <c r="A211" s="47"/>
      <c r="C211" s="121"/>
      <c r="D211" s="121"/>
      <c r="E211" s="121"/>
      <c r="F211" s="121"/>
      <c r="G211" s="121"/>
      <c r="H211" s="121"/>
      <c r="I211" s="48"/>
      <c r="J211" s="48"/>
    </row>
    <row r="212" spans="1:10" ht="12">
      <c r="A212" s="47"/>
      <c r="B212" s="47" t="s">
        <v>179</v>
      </c>
      <c r="C212" s="121">
        <v>1018</v>
      </c>
      <c r="D212" s="121">
        <v>0</v>
      </c>
      <c r="E212" s="121"/>
      <c r="F212" s="121"/>
      <c r="G212" s="121">
        <v>1171</v>
      </c>
      <c r="H212" s="121">
        <v>0</v>
      </c>
      <c r="I212" s="48"/>
      <c r="J212" s="48"/>
    </row>
    <row r="213" spans="1:10" ht="12">
      <c r="A213" s="47"/>
      <c r="B213" s="47"/>
      <c r="C213" s="121"/>
      <c r="D213" s="121"/>
      <c r="E213" s="121"/>
      <c r="F213" s="121"/>
      <c r="G213" s="121"/>
      <c r="H213" s="121"/>
      <c r="I213" s="48"/>
      <c r="J213" s="48"/>
    </row>
    <row r="214" spans="1:10" ht="12">
      <c r="A214" s="47"/>
      <c r="B214" s="47" t="s">
        <v>566</v>
      </c>
      <c r="C214" s="121">
        <v>1546</v>
      </c>
      <c r="D214" s="121"/>
      <c r="E214" s="121"/>
      <c r="F214" s="121"/>
      <c r="G214" s="121">
        <v>1584</v>
      </c>
      <c r="H214" s="121"/>
      <c r="I214" s="48"/>
      <c r="J214" s="48"/>
    </row>
    <row r="215" spans="1:10" ht="12">
      <c r="A215" s="47"/>
      <c r="C215" s="73"/>
      <c r="D215" s="121"/>
      <c r="E215" s="121"/>
      <c r="F215" s="73"/>
      <c r="G215" s="73"/>
      <c r="H215" s="121"/>
      <c r="I215" s="48"/>
      <c r="J215" s="48"/>
    </row>
    <row r="216" spans="1:10" ht="12">
      <c r="A216" s="47"/>
      <c r="B216" s="47" t="s">
        <v>180</v>
      </c>
      <c r="C216" s="225">
        <v>2999</v>
      </c>
      <c r="D216" s="225">
        <v>426.88289447635844</v>
      </c>
      <c r="E216" s="144"/>
      <c r="F216" s="225">
        <v>7.025345917593543</v>
      </c>
      <c r="G216" s="225">
        <v>3171</v>
      </c>
      <c r="H216" s="225">
        <v>431.12532907969285</v>
      </c>
      <c r="I216" s="145">
        <v>7.355169798928343</v>
      </c>
      <c r="J216" s="145"/>
    </row>
    <row r="217" spans="1:10" ht="12">
      <c r="A217" s="47"/>
      <c r="F217" s="48"/>
      <c r="G217" s="48"/>
      <c r="H217" s="48"/>
      <c r="I217" s="48"/>
      <c r="J217" s="48"/>
    </row>
    <row r="218" spans="1:10" ht="12">
      <c r="A218" s="47"/>
      <c r="F218" s="48"/>
      <c r="G218" s="48"/>
      <c r="H218" s="48"/>
      <c r="I218" s="48"/>
      <c r="J218" s="48"/>
    </row>
    <row r="219" spans="1:10" ht="12">
      <c r="A219" s="47"/>
      <c r="F219" s="48"/>
      <c r="G219" s="48"/>
      <c r="H219" s="48"/>
      <c r="I219" s="48"/>
      <c r="J219" s="48"/>
    </row>
    <row r="220" spans="1:10" ht="12">
      <c r="A220" s="47"/>
      <c r="F220" s="48"/>
      <c r="G220" s="48"/>
      <c r="H220" s="48"/>
      <c r="I220" s="48"/>
      <c r="J220" s="48"/>
    </row>
    <row r="221" spans="1:10" ht="12">
      <c r="A221" s="47"/>
      <c r="B221" s="47" t="s">
        <v>181</v>
      </c>
      <c r="F221" s="48"/>
      <c r="G221" s="48"/>
      <c r="H221" s="48"/>
      <c r="I221" s="48"/>
      <c r="J221" s="48"/>
    </row>
    <row r="222" spans="1:10" ht="12">
      <c r="A222" s="47"/>
      <c r="B222" s="47" t="s">
        <v>411</v>
      </c>
      <c r="F222" s="48"/>
      <c r="G222" s="48"/>
      <c r="H222" s="48"/>
      <c r="I222" s="48"/>
      <c r="J222" s="48"/>
    </row>
    <row r="223" spans="1:10" ht="12">
      <c r="A223" s="47"/>
      <c r="G223" s="58"/>
      <c r="I223" s="58"/>
      <c r="J223" s="58"/>
    </row>
    <row r="224" spans="1:10" ht="12">
      <c r="A224" s="47"/>
      <c r="G224" s="58"/>
      <c r="I224" s="58"/>
      <c r="J224" s="58"/>
    </row>
    <row r="225" spans="1:10" ht="12">
      <c r="A225" s="47"/>
      <c r="G225" s="58"/>
      <c r="I225" s="58"/>
      <c r="J225" s="58"/>
    </row>
    <row r="226" spans="1:10" ht="12">
      <c r="A226" s="47"/>
      <c r="B226" s="48" t="s">
        <v>567</v>
      </c>
      <c r="G226" s="58"/>
      <c r="I226" s="58"/>
      <c r="J226" s="58"/>
    </row>
    <row r="227" spans="1:10" ht="12">
      <c r="A227" s="47"/>
      <c r="G227" s="58"/>
      <c r="I227" s="58"/>
      <c r="J227" s="58"/>
    </row>
    <row r="228" spans="1:12" s="93" customFormat="1" ht="12">
      <c r="A228" s="91" t="s">
        <v>550</v>
      </c>
      <c r="D228" s="112"/>
      <c r="E228" s="112"/>
      <c r="F228" s="113"/>
      <c r="G228" s="114"/>
      <c r="H228" s="113"/>
      <c r="J228" s="92"/>
      <c r="L228" s="92" t="s">
        <v>183</v>
      </c>
    </row>
    <row r="229" spans="4:10" s="93" customFormat="1" ht="12">
      <c r="D229" s="112" t="s">
        <v>413</v>
      </c>
      <c r="E229" s="112"/>
      <c r="F229" s="113"/>
      <c r="G229" s="114"/>
      <c r="H229" s="113"/>
      <c r="I229" s="114"/>
      <c r="J229" s="114"/>
    </row>
    <row r="230" spans="1:12" ht="12">
      <c r="A230" s="91" t="s">
        <v>551</v>
      </c>
      <c r="F230" s="147"/>
      <c r="G230" s="148"/>
      <c r="H230" s="84"/>
      <c r="I230" s="94"/>
      <c r="J230" s="94"/>
      <c r="L230" s="94" t="s">
        <v>71</v>
      </c>
    </row>
    <row r="231" spans="1:12" ht="12">
      <c r="A231" s="45" t="s">
        <v>1</v>
      </c>
      <c r="B231" s="45" t="s">
        <v>1</v>
      </c>
      <c r="C231" s="45" t="s">
        <v>1</v>
      </c>
      <c r="D231" s="45" t="s">
        <v>1</v>
      </c>
      <c r="E231" s="45"/>
      <c r="F231" s="95" t="s">
        <v>1</v>
      </c>
      <c r="G231" s="71" t="s">
        <v>1</v>
      </c>
      <c r="H231" s="95" t="s">
        <v>1</v>
      </c>
      <c r="I231" s="71" t="s">
        <v>1</v>
      </c>
      <c r="J231" s="71"/>
      <c r="K231" s="71" t="s">
        <v>1</v>
      </c>
      <c r="L231" s="71" t="s">
        <v>1</v>
      </c>
    </row>
    <row r="232" spans="1:12" ht="12">
      <c r="A232" s="59" t="s">
        <v>2</v>
      </c>
      <c r="D232" s="59" t="s">
        <v>2</v>
      </c>
      <c r="E232" s="59"/>
      <c r="F232" s="96"/>
      <c r="G232" s="87" t="s">
        <v>62</v>
      </c>
      <c r="H232" s="96"/>
      <c r="I232" s="87" t="s">
        <v>65</v>
      </c>
      <c r="J232" s="87"/>
      <c r="L232" s="77" t="s">
        <v>70</v>
      </c>
    </row>
    <row r="233" spans="1:12" ht="12">
      <c r="A233" s="59" t="s">
        <v>4</v>
      </c>
      <c r="B233" s="80" t="s">
        <v>18</v>
      </c>
      <c r="C233" s="149"/>
      <c r="D233" s="59" t="s">
        <v>4</v>
      </c>
      <c r="E233" s="59"/>
      <c r="F233" s="96" t="s">
        <v>6</v>
      </c>
      <c r="G233" s="87" t="s">
        <v>7</v>
      </c>
      <c r="H233" s="96" t="s">
        <v>6</v>
      </c>
      <c r="I233" s="87" t="s">
        <v>7</v>
      </c>
      <c r="J233" s="87"/>
      <c r="K233" s="77" t="s">
        <v>19</v>
      </c>
      <c r="L233" s="77" t="s">
        <v>8</v>
      </c>
    </row>
    <row r="234" spans="1:12" ht="12">
      <c r="A234" s="45" t="s">
        <v>1</v>
      </c>
      <c r="B234" s="45" t="s">
        <v>1</v>
      </c>
      <c r="C234" s="45" t="s">
        <v>1</v>
      </c>
      <c r="D234" s="45" t="s">
        <v>1</v>
      </c>
      <c r="E234" s="45"/>
      <c r="F234" s="95" t="s">
        <v>1</v>
      </c>
      <c r="G234" s="71" t="s">
        <v>1</v>
      </c>
      <c r="H234" s="95" t="s">
        <v>1</v>
      </c>
      <c r="I234" s="71" t="s">
        <v>1</v>
      </c>
      <c r="J234" s="71"/>
      <c r="K234" s="71" t="s">
        <v>1</v>
      </c>
      <c r="L234" s="71" t="s">
        <v>1</v>
      </c>
    </row>
    <row r="235" spans="1:10" ht="12">
      <c r="A235" s="72">
        <v>1</v>
      </c>
      <c r="B235" s="47" t="s">
        <v>186</v>
      </c>
      <c r="D235" s="72">
        <v>1</v>
      </c>
      <c r="E235" s="72"/>
      <c r="F235" s="84"/>
      <c r="G235" s="58"/>
      <c r="H235" s="84"/>
      <c r="I235" s="58"/>
      <c r="J235" s="58"/>
    </row>
    <row r="236" spans="1:12" ht="12">
      <c r="A236" s="72">
        <v>2</v>
      </c>
      <c r="B236" s="47" t="s">
        <v>414</v>
      </c>
      <c r="C236" s="47" t="s">
        <v>415</v>
      </c>
      <c r="D236" s="72">
        <v>2</v>
      </c>
      <c r="E236" s="72"/>
      <c r="F236" s="124"/>
      <c r="G236" s="125">
        <v>4202411</v>
      </c>
      <c r="H236" s="124"/>
      <c r="I236" s="125">
        <v>4681161</v>
      </c>
      <c r="J236" s="125"/>
      <c r="L236" s="57">
        <v>4911500</v>
      </c>
    </row>
    <row r="237" spans="1:12" ht="12">
      <c r="A237" s="72">
        <v>3</v>
      </c>
      <c r="C237" s="47" t="s">
        <v>416</v>
      </c>
      <c r="D237" s="72">
        <v>3</v>
      </c>
      <c r="E237" s="72"/>
      <c r="F237" s="124"/>
      <c r="G237" s="125">
        <v>721002</v>
      </c>
      <c r="H237" s="124"/>
      <c r="I237" s="125">
        <v>532857</v>
      </c>
      <c r="J237" s="125"/>
      <c r="L237" s="57">
        <v>636396</v>
      </c>
    </row>
    <row r="238" spans="1:12" ht="12">
      <c r="A238" s="72">
        <v>4</v>
      </c>
      <c r="B238" s="47" t="s">
        <v>417</v>
      </c>
      <c r="C238" s="47" t="s">
        <v>418</v>
      </c>
      <c r="D238" s="72">
        <v>4</v>
      </c>
      <c r="E238" s="72"/>
      <c r="F238" s="124"/>
      <c r="G238" s="125">
        <v>1334224</v>
      </c>
      <c r="H238" s="124"/>
      <c r="I238" s="125">
        <v>1502990</v>
      </c>
      <c r="J238" s="125"/>
      <c r="L238" s="57">
        <v>1974908</v>
      </c>
    </row>
    <row r="239" spans="1:12" ht="12">
      <c r="A239" s="72">
        <v>5</v>
      </c>
      <c r="C239" s="47" t="s">
        <v>419</v>
      </c>
      <c r="D239" s="72">
        <v>5</v>
      </c>
      <c r="E239" s="72"/>
      <c r="F239" s="124"/>
      <c r="G239" s="125">
        <v>59229</v>
      </c>
      <c r="H239" s="124"/>
      <c r="I239" s="125">
        <v>99095</v>
      </c>
      <c r="J239" s="125"/>
      <c r="L239" s="57">
        <v>98280</v>
      </c>
    </row>
    <row r="240" spans="1:12" ht="12">
      <c r="A240" s="72">
        <v>6</v>
      </c>
      <c r="B240" s="47" t="s">
        <v>420</v>
      </c>
      <c r="D240" s="72">
        <v>6</v>
      </c>
      <c r="E240" s="72"/>
      <c r="F240" s="121">
        <v>0</v>
      </c>
      <c r="G240" s="122">
        <v>6316866</v>
      </c>
      <c r="H240" s="121">
        <v>0</v>
      </c>
      <c r="I240" s="122">
        <v>6816103</v>
      </c>
      <c r="J240" s="122"/>
      <c r="K240" s="121">
        <v>0</v>
      </c>
      <c r="L240" s="220">
        <v>7621084</v>
      </c>
    </row>
    <row r="241" spans="1:12" ht="12">
      <c r="A241" s="72">
        <v>7</v>
      </c>
      <c r="B241" s="47" t="s">
        <v>187</v>
      </c>
      <c r="D241" s="72">
        <v>7</v>
      </c>
      <c r="E241" s="72"/>
      <c r="F241" s="120"/>
      <c r="G241" s="119"/>
      <c r="H241" s="120"/>
      <c r="I241" s="119"/>
      <c r="J241" s="119"/>
      <c r="L241" s="57"/>
    </row>
    <row r="242" spans="1:12" ht="12">
      <c r="A242" s="72">
        <v>8</v>
      </c>
      <c r="B242" s="47" t="s">
        <v>414</v>
      </c>
      <c r="C242" s="47" t="s">
        <v>415</v>
      </c>
      <c r="D242" s="72">
        <v>8</v>
      </c>
      <c r="E242" s="72"/>
      <c r="F242" s="124"/>
      <c r="G242" s="125">
        <v>11443346</v>
      </c>
      <c r="H242" s="124"/>
      <c r="I242" s="125">
        <v>12398630</v>
      </c>
      <c r="J242" s="125"/>
      <c r="L242" s="57">
        <v>13867288</v>
      </c>
    </row>
    <row r="243" spans="1:12" ht="12">
      <c r="A243" s="72">
        <v>9</v>
      </c>
      <c r="C243" s="47" t="s">
        <v>416</v>
      </c>
      <c r="D243" s="72">
        <v>9</v>
      </c>
      <c r="E243" s="72"/>
      <c r="F243" s="124"/>
      <c r="G243" s="125">
        <v>3070858</v>
      </c>
      <c r="H243" s="124"/>
      <c r="I243" s="125">
        <v>2729752</v>
      </c>
      <c r="J243" s="125"/>
      <c r="L243" s="57">
        <v>2254564</v>
      </c>
    </row>
    <row r="244" spans="1:12" ht="12">
      <c r="A244" s="72">
        <v>10</v>
      </c>
      <c r="B244" s="47" t="s">
        <v>417</v>
      </c>
      <c r="C244" s="47" t="s">
        <v>418</v>
      </c>
      <c r="D244" s="72">
        <v>10</v>
      </c>
      <c r="E244" s="72"/>
      <c r="F244" s="124"/>
      <c r="G244" s="125">
        <v>3364541</v>
      </c>
      <c r="H244" s="124"/>
      <c r="I244" s="125">
        <v>4120086</v>
      </c>
      <c r="J244" s="125"/>
      <c r="L244" s="57">
        <v>4704435</v>
      </c>
    </row>
    <row r="245" spans="1:12" ht="12">
      <c r="A245" s="72">
        <v>11</v>
      </c>
      <c r="C245" s="47" t="s">
        <v>419</v>
      </c>
      <c r="D245" s="72">
        <v>11</v>
      </c>
      <c r="E245" s="72"/>
      <c r="F245" s="124"/>
      <c r="G245" s="125">
        <v>845628</v>
      </c>
      <c r="H245" s="124"/>
      <c r="I245" s="125">
        <v>1403034</v>
      </c>
      <c r="J245" s="125"/>
      <c r="L245" s="57">
        <v>1612121</v>
      </c>
    </row>
    <row r="246" spans="1:12" ht="12">
      <c r="A246" s="72">
        <v>12</v>
      </c>
      <c r="B246" s="47" t="s">
        <v>421</v>
      </c>
      <c r="D246" s="72">
        <v>12</v>
      </c>
      <c r="E246" s="72"/>
      <c r="F246" s="121">
        <v>0</v>
      </c>
      <c r="G246" s="122">
        <v>18724373</v>
      </c>
      <c r="H246" s="121">
        <v>0</v>
      </c>
      <c r="I246" s="122">
        <v>20651502</v>
      </c>
      <c r="J246" s="122"/>
      <c r="K246" s="121">
        <v>0</v>
      </c>
      <c r="L246" s="220">
        <v>22438408</v>
      </c>
    </row>
    <row r="247" spans="1:12" ht="12">
      <c r="A247" s="72">
        <v>13</v>
      </c>
      <c r="B247" s="47" t="s">
        <v>188</v>
      </c>
      <c r="D247" s="72">
        <v>13</v>
      </c>
      <c r="E247" s="72"/>
      <c r="F247" s="120"/>
      <c r="G247" s="119"/>
      <c r="H247" s="120"/>
      <c r="I247" s="119"/>
      <c r="J247" s="119"/>
      <c r="L247" s="57"/>
    </row>
    <row r="248" spans="1:12" ht="12">
      <c r="A248" s="72">
        <v>14</v>
      </c>
      <c r="B248" s="47" t="s">
        <v>414</v>
      </c>
      <c r="C248" s="47" t="s">
        <v>415</v>
      </c>
      <c r="D248" s="72">
        <v>14</v>
      </c>
      <c r="E248" s="72"/>
      <c r="F248" s="124"/>
      <c r="G248" s="125"/>
      <c r="H248" s="124"/>
      <c r="I248" s="125"/>
      <c r="J248" s="125"/>
      <c r="L248" s="57"/>
    </row>
    <row r="249" spans="1:12" ht="12">
      <c r="A249" s="72">
        <v>15</v>
      </c>
      <c r="B249" s="47"/>
      <c r="C249" s="47" t="s">
        <v>416</v>
      </c>
      <c r="D249" s="72">
        <v>15</v>
      </c>
      <c r="E249" s="72"/>
      <c r="F249" s="124"/>
      <c r="G249" s="125"/>
      <c r="H249" s="124"/>
      <c r="I249" s="125"/>
      <c r="J249" s="125"/>
      <c r="L249" s="57"/>
    </row>
    <row r="250" spans="1:12" ht="12">
      <c r="A250" s="72">
        <v>16</v>
      </c>
      <c r="B250" s="47" t="s">
        <v>417</v>
      </c>
      <c r="C250" s="47" t="s">
        <v>418</v>
      </c>
      <c r="D250" s="72">
        <v>16</v>
      </c>
      <c r="E250" s="72"/>
      <c r="F250" s="124"/>
      <c r="G250" s="125"/>
      <c r="H250" s="124"/>
      <c r="I250" s="125"/>
      <c r="J250" s="125"/>
      <c r="L250" s="57"/>
    </row>
    <row r="251" spans="1:12" ht="12">
      <c r="A251" s="72">
        <v>17</v>
      </c>
      <c r="B251" s="47"/>
      <c r="C251" s="47" t="s">
        <v>419</v>
      </c>
      <c r="D251" s="72">
        <v>17</v>
      </c>
      <c r="E251" s="72"/>
      <c r="F251" s="121"/>
      <c r="G251" s="122"/>
      <c r="H251" s="121"/>
      <c r="I251" s="122"/>
      <c r="J251" s="122"/>
      <c r="L251" s="57"/>
    </row>
    <row r="252" spans="1:12" ht="12">
      <c r="A252" s="72">
        <v>18</v>
      </c>
      <c r="B252" s="47" t="s">
        <v>422</v>
      </c>
      <c r="C252" s="47"/>
      <c r="D252" s="72">
        <v>18</v>
      </c>
      <c r="E252" s="72"/>
      <c r="F252" s="121">
        <v>0</v>
      </c>
      <c r="G252" s="122">
        <v>0</v>
      </c>
      <c r="H252" s="121">
        <v>0</v>
      </c>
      <c r="I252" s="122">
        <v>0</v>
      </c>
      <c r="J252" s="122"/>
      <c r="K252" s="121">
        <v>0</v>
      </c>
      <c r="L252" s="220">
        <v>0</v>
      </c>
    </row>
    <row r="253" spans="1:12" ht="12">
      <c r="A253" s="72">
        <v>19</v>
      </c>
      <c r="B253" s="47" t="s">
        <v>189</v>
      </c>
      <c r="C253" s="47"/>
      <c r="D253" s="72">
        <v>19</v>
      </c>
      <c r="E253" s="72"/>
      <c r="F253" s="121"/>
      <c r="G253" s="122"/>
      <c r="H253" s="121"/>
      <c r="I253" s="122"/>
      <c r="J253" s="122"/>
      <c r="L253" s="57"/>
    </row>
    <row r="254" spans="1:12" ht="12">
      <c r="A254" s="72">
        <v>20</v>
      </c>
      <c r="B254" s="47" t="s">
        <v>414</v>
      </c>
      <c r="C254" s="47" t="s">
        <v>415</v>
      </c>
      <c r="D254" s="72">
        <v>20</v>
      </c>
      <c r="E254" s="72"/>
      <c r="F254" s="124"/>
      <c r="G254" s="125">
        <v>11445737</v>
      </c>
      <c r="H254" s="124"/>
      <c r="I254" s="125">
        <v>13380925</v>
      </c>
      <c r="J254" s="125"/>
      <c r="L254" s="57">
        <v>15136939</v>
      </c>
    </row>
    <row r="255" spans="1:12" ht="12">
      <c r="A255" s="72">
        <v>21</v>
      </c>
      <c r="B255" s="47"/>
      <c r="C255" s="47" t="s">
        <v>416</v>
      </c>
      <c r="D255" s="72">
        <v>21</v>
      </c>
      <c r="E255" s="72"/>
      <c r="F255" s="124"/>
      <c r="G255" s="125">
        <v>3149142</v>
      </c>
      <c r="H255" s="124"/>
      <c r="I255" s="125">
        <v>1859550</v>
      </c>
      <c r="J255" s="125"/>
      <c r="L255" s="57">
        <v>2332110</v>
      </c>
    </row>
    <row r="256" spans="1:12" ht="12">
      <c r="A256" s="72">
        <v>22</v>
      </c>
      <c r="B256" s="47" t="s">
        <v>417</v>
      </c>
      <c r="C256" s="47" t="s">
        <v>418</v>
      </c>
      <c r="D256" s="72">
        <v>22</v>
      </c>
      <c r="E256" s="72"/>
      <c r="F256" s="124"/>
      <c r="G256" s="125">
        <v>3074158</v>
      </c>
      <c r="H256" s="124"/>
      <c r="I256" s="125">
        <v>5087651</v>
      </c>
      <c r="J256" s="125"/>
      <c r="L256" s="57">
        <v>4638533</v>
      </c>
    </row>
    <row r="257" spans="1:12" ht="12">
      <c r="A257" s="72">
        <v>23</v>
      </c>
      <c r="C257" s="47" t="s">
        <v>419</v>
      </c>
      <c r="D257" s="72">
        <v>23</v>
      </c>
      <c r="E257" s="72"/>
      <c r="F257" s="124"/>
      <c r="G257" s="125">
        <v>927450</v>
      </c>
      <c r="H257" s="124"/>
      <c r="I257" s="125">
        <v>162855</v>
      </c>
      <c r="J257" s="125"/>
      <c r="L257" s="57">
        <v>150778</v>
      </c>
    </row>
    <row r="258" spans="1:12" ht="12">
      <c r="A258" s="72">
        <v>24</v>
      </c>
      <c r="B258" s="47" t="s">
        <v>423</v>
      </c>
      <c r="D258" s="72">
        <v>24</v>
      </c>
      <c r="E258" s="72"/>
      <c r="F258" s="120">
        <v>0</v>
      </c>
      <c r="G258" s="119">
        <v>18596487</v>
      </c>
      <c r="H258" s="120">
        <v>0</v>
      </c>
      <c r="I258" s="119">
        <v>20490981</v>
      </c>
      <c r="J258" s="119"/>
      <c r="K258" s="120">
        <v>0</v>
      </c>
      <c r="L258" s="221">
        <v>22258360</v>
      </c>
    </row>
    <row r="259" spans="1:12" ht="12">
      <c r="A259" s="72">
        <v>25</v>
      </c>
      <c r="B259" s="47" t="s">
        <v>190</v>
      </c>
      <c r="D259" s="72">
        <v>25</v>
      </c>
      <c r="E259" s="72"/>
      <c r="F259" s="121"/>
      <c r="G259" s="122"/>
      <c r="H259" s="121"/>
      <c r="I259" s="122"/>
      <c r="J259" s="122"/>
      <c r="L259" s="57"/>
    </row>
    <row r="260" spans="1:12" ht="12">
      <c r="A260" s="72">
        <v>26</v>
      </c>
      <c r="B260" s="47" t="s">
        <v>414</v>
      </c>
      <c r="C260" s="47" t="s">
        <v>415</v>
      </c>
      <c r="D260" s="72">
        <v>26</v>
      </c>
      <c r="E260" s="72"/>
      <c r="F260" s="121">
        <v>2161</v>
      </c>
      <c r="G260" s="122">
        <v>27091494</v>
      </c>
      <c r="H260" s="121">
        <v>2264</v>
      </c>
      <c r="I260" s="122">
        <v>30460716</v>
      </c>
      <c r="J260" s="122"/>
      <c r="K260" s="121">
        <v>2261</v>
      </c>
      <c r="L260" s="220">
        <v>33915727</v>
      </c>
    </row>
    <row r="261" spans="1:12" ht="12">
      <c r="A261" s="72">
        <v>27</v>
      </c>
      <c r="B261" s="47"/>
      <c r="C261" s="47" t="s">
        <v>416</v>
      </c>
      <c r="D261" s="72">
        <v>27</v>
      </c>
      <c r="E261" s="72"/>
      <c r="F261" s="121">
        <v>422</v>
      </c>
      <c r="G261" s="122">
        <v>6941002</v>
      </c>
      <c r="H261" s="121">
        <v>396</v>
      </c>
      <c r="I261" s="122">
        <v>5122159</v>
      </c>
      <c r="J261" s="122"/>
      <c r="K261" s="121">
        <v>399</v>
      </c>
      <c r="L261" s="220">
        <v>5223070</v>
      </c>
    </row>
    <row r="262" spans="1:12" ht="12">
      <c r="A262" s="72">
        <v>28</v>
      </c>
      <c r="B262" s="47" t="s">
        <v>417</v>
      </c>
      <c r="C262" s="47" t="s">
        <v>418</v>
      </c>
      <c r="D262" s="72">
        <v>28</v>
      </c>
      <c r="E262" s="72"/>
      <c r="F262" s="121">
        <v>403</v>
      </c>
      <c r="G262" s="122">
        <v>7772923</v>
      </c>
      <c r="H262" s="121">
        <v>491</v>
      </c>
      <c r="I262" s="122">
        <v>10710727</v>
      </c>
      <c r="J262" s="122"/>
      <c r="K262" s="121">
        <v>485</v>
      </c>
      <c r="L262" s="220">
        <v>11317876</v>
      </c>
    </row>
    <row r="263" spans="1:12" ht="12">
      <c r="A263" s="72">
        <v>29</v>
      </c>
      <c r="C263" s="47" t="s">
        <v>419</v>
      </c>
      <c r="D263" s="72">
        <v>29</v>
      </c>
      <c r="E263" s="72"/>
      <c r="F263" s="121">
        <v>13</v>
      </c>
      <c r="G263" s="122">
        <v>1832307</v>
      </c>
      <c r="H263" s="121">
        <v>20</v>
      </c>
      <c r="I263" s="122">
        <v>1664984</v>
      </c>
      <c r="J263" s="122"/>
      <c r="K263" s="121">
        <v>12</v>
      </c>
      <c r="L263" s="220">
        <v>1861179</v>
      </c>
    </row>
    <row r="264" spans="1:12" ht="12">
      <c r="A264" s="72">
        <v>30</v>
      </c>
      <c r="D264" s="72">
        <v>30</v>
      </c>
      <c r="E264" s="72"/>
      <c r="F264" s="120"/>
      <c r="G264" s="119"/>
      <c r="H264" s="120"/>
      <c r="I264" s="119"/>
      <c r="J264" s="119"/>
      <c r="K264" s="120"/>
      <c r="L264" s="57"/>
    </row>
    <row r="265" spans="1:12" ht="12">
      <c r="A265" s="72">
        <v>31</v>
      </c>
      <c r="B265" s="47" t="s">
        <v>191</v>
      </c>
      <c r="D265" s="72">
        <v>31</v>
      </c>
      <c r="E265" s="72"/>
      <c r="F265" s="121">
        <v>2583</v>
      </c>
      <c r="G265" s="122">
        <v>34032496</v>
      </c>
      <c r="H265" s="121">
        <v>2660</v>
      </c>
      <c r="I265" s="122">
        <v>35582875</v>
      </c>
      <c r="J265" s="122"/>
      <c r="K265" s="121">
        <v>2660</v>
      </c>
      <c r="L265" s="220">
        <v>39138797</v>
      </c>
    </row>
    <row r="266" spans="1:12" ht="12">
      <c r="A266" s="72">
        <v>32</v>
      </c>
      <c r="B266" s="47" t="s">
        <v>192</v>
      </c>
      <c r="D266" s="72">
        <v>32</v>
      </c>
      <c r="E266" s="72"/>
      <c r="F266" s="121">
        <v>416</v>
      </c>
      <c r="G266" s="122">
        <v>9605230</v>
      </c>
      <c r="H266" s="121">
        <v>511</v>
      </c>
      <c r="I266" s="122">
        <v>12375711</v>
      </c>
      <c r="J266" s="122"/>
      <c r="K266" s="121">
        <v>497</v>
      </c>
      <c r="L266" s="220">
        <v>13179055</v>
      </c>
    </row>
    <row r="267" spans="1:12" ht="12">
      <c r="A267" s="72">
        <v>33</v>
      </c>
      <c r="B267" s="47" t="s">
        <v>193</v>
      </c>
      <c r="D267" s="72">
        <v>33</v>
      </c>
      <c r="E267" s="72"/>
      <c r="F267" s="120">
        <v>2564</v>
      </c>
      <c r="G267" s="119">
        <v>34864417</v>
      </c>
      <c r="H267" s="120">
        <v>2755</v>
      </c>
      <c r="I267" s="119">
        <v>41171443</v>
      </c>
      <c r="J267" s="119"/>
      <c r="K267" s="120">
        <v>2746</v>
      </c>
      <c r="L267" s="221">
        <v>45233603</v>
      </c>
    </row>
    <row r="268" spans="1:12" ht="12">
      <c r="A268" s="72">
        <v>34</v>
      </c>
      <c r="B268" s="47" t="s">
        <v>194</v>
      </c>
      <c r="D268" s="72">
        <v>34</v>
      </c>
      <c r="E268" s="72"/>
      <c r="F268" s="120">
        <v>435</v>
      </c>
      <c r="G268" s="119">
        <v>8773309</v>
      </c>
      <c r="H268" s="120">
        <v>416</v>
      </c>
      <c r="I268" s="119">
        <v>6787143</v>
      </c>
      <c r="J268" s="119"/>
      <c r="K268" s="120">
        <v>411</v>
      </c>
      <c r="L268" s="221">
        <v>7084249</v>
      </c>
    </row>
    <row r="269" spans="1:12" ht="12">
      <c r="A269" s="47"/>
      <c r="B269" s="45" t="s">
        <v>1</v>
      </c>
      <c r="C269" s="45" t="s">
        <v>1</v>
      </c>
      <c r="D269" s="45" t="s">
        <v>1</v>
      </c>
      <c r="E269" s="45"/>
      <c r="F269" s="45" t="s">
        <v>1</v>
      </c>
      <c r="G269" s="45" t="s">
        <v>1</v>
      </c>
      <c r="H269" s="45" t="s">
        <v>1</v>
      </c>
      <c r="I269" s="45"/>
      <c r="J269" s="45"/>
      <c r="K269" s="45"/>
      <c r="L269" s="45"/>
    </row>
    <row r="270" spans="1:12" ht="13.5" customHeight="1">
      <c r="A270" s="72">
        <v>35</v>
      </c>
      <c r="B270" s="48" t="s">
        <v>424</v>
      </c>
      <c r="D270" s="72">
        <v>35</v>
      </c>
      <c r="E270" s="72"/>
      <c r="F270" s="121">
        <v>2999</v>
      </c>
      <c r="G270" s="122">
        <v>43637726</v>
      </c>
      <c r="H270" s="121">
        <v>3171</v>
      </c>
      <c r="I270" s="122">
        <v>47958586</v>
      </c>
      <c r="J270" s="122"/>
      <c r="K270" s="121">
        <v>3157</v>
      </c>
      <c r="L270" s="220">
        <v>52317852</v>
      </c>
    </row>
    <row r="271" spans="2:10" ht="13.5" customHeight="1">
      <c r="B271" s="47" t="s">
        <v>425</v>
      </c>
      <c r="F271" s="95"/>
      <c r="G271" s="71"/>
      <c r="H271" s="95"/>
      <c r="I271" s="71"/>
      <c r="J271" s="71"/>
    </row>
    <row r="272" spans="2:10" ht="12" hidden="1">
      <c r="B272" s="47"/>
      <c r="F272" s="95"/>
      <c r="G272" s="71"/>
      <c r="H272" s="95"/>
      <c r="I272" s="71"/>
      <c r="J272" s="71"/>
    </row>
    <row r="273" ht="12" hidden="1"/>
    <row r="274" spans="1:12" ht="12">
      <c r="A274" s="48">
        <v>36</v>
      </c>
      <c r="B274" s="151" t="s">
        <v>627</v>
      </c>
      <c r="C274" s="105"/>
      <c r="D274" s="105">
        <v>36</v>
      </c>
      <c r="E274" s="105"/>
      <c r="F274" s="109"/>
      <c r="G274" s="108">
        <v>10152931</v>
      </c>
      <c r="H274" s="109"/>
      <c r="I274" s="108">
        <v>7770664</v>
      </c>
      <c r="J274" s="108"/>
      <c r="K274" s="109"/>
      <c r="L274" s="108">
        <v>8240269</v>
      </c>
    </row>
    <row r="275" spans="6:10" ht="0.75" customHeight="1">
      <c r="F275" s="95"/>
      <c r="G275" s="58"/>
      <c r="H275" s="95"/>
      <c r="I275" s="58"/>
      <c r="J275" s="58"/>
    </row>
    <row r="276" spans="1:12" s="93" customFormat="1" ht="12">
      <c r="A276" s="91" t="s">
        <v>550</v>
      </c>
      <c r="D276" s="112"/>
      <c r="E276" s="112"/>
      <c r="F276" s="113"/>
      <c r="G276" s="114"/>
      <c r="H276" s="113"/>
      <c r="J276" s="153"/>
      <c r="L276" s="153" t="s">
        <v>197</v>
      </c>
    </row>
    <row r="277" spans="1:12" s="93" customFormat="1" ht="12.75" customHeight="1">
      <c r="A277" s="455" t="s">
        <v>536</v>
      </c>
      <c r="B277" s="455"/>
      <c r="C277" s="455"/>
      <c r="D277" s="455"/>
      <c r="E277" s="455"/>
      <c r="F277" s="455"/>
      <c r="G277" s="455"/>
      <c r="H277" s="455"/>
      <c r="I277" s="455"/>
      <c r="J277" s="455"/>
      <c r="K277" s="455"/>
      <c r="L277" s="455"/>
    </row>
    <row r="278" spans="1:12" ht="12">
      <c r="A278" s="91" t="s">
        <v>551</v>
      </c>
      <c r="F278" s="147"/>
      <c r="G278" s="148"/>
      <c r="H278" s="84"/>
      <c r="I278" s="94"/>
      <c r="J278" s="94"/>
      <c r="L278" s="94" t="s">
        <v>71</v>
      </c>
    </row>
    <row r="279" spans="1:12" ht="12">
      <c r="A279" s="45" t="s">
        <v>1</v>
      </c>
      <c r="B279" s="45" t="s">
        <v>1</v>
      </c>
      <c r="C279" s="45" t="s">
        <v>1</v>
      </c>
      <c r="D279" s="45" t="s">
        <v>1</v>
      </c>
      <c r="E279" s="45"/>
      <c r="F279" s="95" t="s">
        <v>1</v>
      </c>
      <c r="G279" s="71" t="s">
        <v>1</v>
      </c>
      <c r="H279" s="95" t="s">
        <v>1</v>
      </c>
      <c r="I279" s="71" t="s">
        <v>1</v>
      </c>
      <c r="J279" s="71"/>
      <c r="K279" s="71" t="s">
        <v>1</v>
      </c>
      <c r="L279" s="71" t="s">
        <v>1</v>
      </c>
    </row>
    <row r="280" spans="1:12" ht="12">
      <c r="A280" s="59" t="s">
        <v>2</v>
      </c>
      <c r="D280" s="59" t="s">
        <v>2</v>
      </c>
      <c r="E280" s="59"/>
      <c r="F280" s="96"/>
      <c r="G280" s="87" t="s">
        <v>62</v>
      </c>
      <c r="H280" s="96"/>
      <c r="I280" s="87" t="s">
        <v>65</v>
      </c>
      <c r="J280" s="87"/>
      <c r="L280" s="77" t="s">
        <v>70</v>
      </c>
    </row>
    <row r="281" spans="1:12" ht="12">
      <c r="A281" s="59" t="s">
        <v>4</v>
      </c>
      <c r="B281" s="80" t="s">
        <v>18</v>
      </c>
      <c r="D281" s="59" t="s">
        <v>4</v>
      </c>
      <c r="E281" s="59"/>
      <c r="F281" s="84"/>
      <c r="G281" s="87" t="s">
        <v>7</v>
      </c>
      <c r="H281" s="84"/>
      <c r="I281" s="87" t="s">
        <v>7</v>
      </c>
      <c r="J281" s="87"/>
      <c r="K281" s="77"/>
      <c r="L281" s="77" t="s">
        <v>8</v>
      </c>
    </row>
    <row r="282" spans="1:12" ht="12">
      <c r="A282" s="45" t="s">
        <v>1</v>
      </c>
      <c r="B282" s="45" t="s">
        <v>1</v>
      </c>
      <c r="C282" s="45" t="s">
        <v>1</v>
      </c>
      <c r="D282" s="45" t="s">
        <v>1</v>
      </c>
      <c r="E282" s="45"/>
      <c r="F282" s="95" t="s">
        <v>1</v>
      </c>
      <c r="G282" s="71" t="s">
        <v>1</v>
      </c>
      <c r="H282" s="95" t="s">
        <v>1</v>
      </c>
      <c r="I282" s="71" t="s">
        <v>1</v>
      </c>
      <c r="J282" s="71"/>
      <c r="K282" s="71" t="s">
        <v>1</v>
      </c>
      <c r="L282" s="71" t="s">
        <v>1</v>
      </c>
    </row>
    <row r="283" spans="1:12" ht="12">
      <c r="A283" s="63">
        <v>1</v>
      </c>
      <c r="B283" s="66" t="s">
        <v>67</v>
      </c>
      <c r="D283" s="63">
        <v>1</v>
      </c>
      <c r="E283" s="63"/>
      <c r="F283" s="48"/>
      <c r="G283" s="125">
        <v>14954668</v>
      </c>
      <c r="H283" s="125"/>
      <c r="I283" s="125">
        <v>39020695</v>
      </c>
      <c r="J283" s="125"/>
      <c r="L283" s="82">
        <v>9015832</v>
      </c>
    </row>
    <row r="284" spans="1:12" ht="12">
      <c r="A284" s="48">
        <v>2</v>
      </c>
      <c r="B284" s="48" t="s">
        <v>428</v>
      </c>
      <c r="D284" s="48">
        <v>2</v>
      </c>
      <c r="F284" s="216"/>
      <c r="G284" s="52">
        <v>499363</v>
      </c>
      <c r="H284" s="42"/>
      <c r="I284" s="52">
        <v>508595</v>
      </c>
      <c r="J284" s="52"/>
      <c r="K284" s="42"/>
      <c r="L284" s="239">
        <v>575000</v>
      </c>
    </row>
    <row r="285" spans="1:12" ht="12">
      <c r="A285" s="63">
        <v>3</v>
      </c>
      <c r="B285" s="48" t="s">
        <v>429</v>
      </c>
      <c r="D285" s="63">
        <v>3</v>
      </c>
      <c r="E285" s="63"/>
      <c r="F285" s="216"/>
      <c r="G285" s="125">
        <v>3879230.4000000004</v>
      </c>
      <c r="H285" s="125"/>
      <c r="I285" s="125">
        <v>5581227</v>
      </c>
      <c r="J285" s="125"/>
      <c r="L285" s="82">
        <v>5853277</v>
      </c>
    </row>
    <row r="286" spans="1:12" ht="12">
      <c r="A286" s="63">
        <v>4</v>
      </c>
      <c r="B286" s="64" t="s">
        <v>430</v>
      </c>
      <c r="C286" s="65"/>
      <c r="D286" s="63">
        <v>4</v>
      </c>
      <c r="E286" s="63"/>
      <c r="F286" s="119"/>
      <c r="G286" s="119">
        <v>169706</v>
      </c>
      <c r="H286" s="119"/>
      <c r="I286" s="119">
        <v>175280</v>
      </c>
      <c r="J286" s="119"/>
      <c r="L286" s="155">
        <v>140385</v>
      </c>
    </row>
    <row r="287" spans="1:10" ht="12">
      <c r="A287" s="63"/>
      <c r="B287" s="64"/>
      <c r="C287" s="65"/>
      <c r="D287" s="63"/>
      <c r="E287" s="63"/>
      <c r="F287" s="119"/>
      <c r="G287" s="119"/>
      <c r="H287" s="119"/>
      <c r="I287" s="119"/>
      <c r="J287" s="119"/>
    </row>
    <row r="288" spans="1:10" ht="12">
      <c r="A288" s="63">
        <v>16</v>
      </c>
      <c r="B288" s="48" t="s">
        <v>431</v>
      </c>
      <c r="D288" s="63">
        <v>16</v>
      </c>
      <c r="E288" s="63"/>
      <c r="F288" s="119"/>
      <c r="G288" s="119">
        <v>-718393</v>
      </c>
      <c r="H288" s="119"/>
      <c r="I288" s="119">
        <v>-833358</v>
      </c>
      <c r="J288" s="119"/>
    </row>
    <row r="289" spans="1:10" ht="12">
      <c r="A289" s="63">
        <v>17</v>
      </c>
      <c r="B289" s="47" t="s">
        <v>0</v>
      </c>
      <c r="D289" s="63">
        <v>17</v>
      </c>
      <c r="E289" s="63"/>
      <c r="F289" s="125"/>
      <c r="G289" s="125"/>
      <c r="H289" s="125"/>
      <c r="I289" s="125"/>
      <c r="J289" s="125"/>
    </row>
    <row r="290" spans="1:10" ht="12">
      <c r="A290" s="63">
        <v>18</v>
      </c>
      <c r="B290" s="47"/>
      <c r="D290" s="63">
        <v>18</v>
      </c>
      <c r="E290" s="63"/>
      <c r="F290" s="122"/>
      <c r="G290" s="122"/>
      <c r="H290" s="122"/>
      <c r="I290" s="122"/>
      <c r="J290" s="122"/>
    </row>
    <row r="291" spans="1:10" ht="12">
      <c r="A291" s="63">
        <v>19</v>
      </c>
      <c r="D291" s="63">
        <v>19</v>
      </c>
      <c r="E291" s="63"/>
      <c r="F291" s="122"/>
      <c r="G291" s="122"/>
      <c r="H291" s="122"/>
      <c r="I291" s="122"/>
      <c r="J291" s="122"/>
    </row>
    <row r="292" spans="1:12" ht="12">
      <c r="A292" s="63"/>
      <c r="B292" s="64"/>
      <c r="D292" s="63"/>
      <c r="E292" s="95" t="s">
        <v>1</v>
      </c>
      <c r="F292" s="95" t="s">
        <v>1</v>
      </c>
      <c r="G292" s="71" t="s">
        <v>1</v>
      </c>
      <c r="H292" s="95" t="s">
        <v>1</v>
      </c>
      <c r="I292" s="71" t="s">
        <v>1</v>
      </c>
      <c r="J292" s="71"/>
      <c r="K292" s="71" t="s">
        <v>1</v>
      </c>
      <c r="L292" s="71" t="s">
        <v>1</v>
      </c>
    </row>
    <row r="293" spans="1:12" ht="13.5" customHeight="1">
      <c r="A293" s="63">
        <v>20</v>
      </c>
      <c r="B293" s="64" t="s">
        <v>432</v>
      </c>
      <c r="D293" s="63">
        <v>20</v>
      </c>
      <c r="E293" s="63"/>
      <c r="F293" s="119"/>
      <c r="G293" s="122">
        <v>18784574.4</v>
      </c>
      <c r="H293" s="119"/>
      <c r="I293" s="122">
        <v>44452439</v>
      </c>
      <c r="J293" s="122"/>
      <c r="L293" s="122">
        <v>15584494</v>
      </c>
    </row>
    <row r="294" spans="1:12" ht="12">
      <c r="A294" s="67"/>
      <c r="B294" s="47"/>
      <c r="D294" s="68"/>
      <c r="E294" s="95" t="s">
        <v>1</v>
      </c>
      <c r="F294" s="95" t="s">
        <v>1</v>
      </c>
      <c r="G294" s="71" t="s">
        <v>1</v>
      </c>
      <c r="H294" s="95" t="s">
        <v>1</v>
      </c>
      <c r="I294" s="71" t="s">
        <v>1</v>
      </c>
      <c r="J294" s="71"/>
      <c r="K294" s="71" t="s">
        <v>1</v>
      </c>
      <c r="L294" s="71" t="s">
        <v>1</v>
      </c>
    </row>
    <row r="295" spans="2:10" ht="12">
      <c r="B295" s="48" t="s">
        <v>568</v>
      </c>
      <c r="F295" s="95"/>
      <c r="G295" s="58"/>
      <c r="H295" s="95"/>
      <c r="I295" s="58"/>
      <c r="J295" s="58"/>
    </row>
    <row r="296" spans="6:10" ht="12">
      <c r="F296" s="95"/>
      <c r="G296" s="58"/>
      <c r="H296" s="95"/>
      <c r="I296" s="58"/>
      <c r="J296" s="58"/>
    </row>
    <row r="297" spans="6:10" ht="12">
      <c r="F297" s="95"/>
      <c r="G297" s="58"/>
      <c r="H297" s="95"/>
      <c r="I297" s="58"/>
      <c r="J297" s="58"/>
    </row>
    <row r="298" spans="1:12" s="93" customFormat="1" ht="12">
      <c r="A298" s="91" t="s">
        <v>550</v>
      </c>
      <c r="D298" s="112"/>
      <c r="E298" s="112"/>
      <c r="F298" s="113"/>
      <c r="G298" s="114"/>
      <c r="H298" s="113"/>
      <c r="J298" s="92"/>
      <c r="L298" s="92" t="s">
        <v>209</v>
      </c>
    </row>
    <row r="299" spans="1:12" s="93" customFormat="1" ht="12.75" customHeight="1">
      <c r="A299" s="455" t="s">
        <v>433</v>
      </c>
      <c r="B299" s="455"/>
      <c r="C299" s="455"/>
      <c r="D299" s="455"/>
      <c r="E299" s="455"/>
      <c r="F299" s="455"/>
      <c r="G299" s="455"/>
      <c r="H299" s="455"/>
      <c r="I299" s="455"/>
      <c r="J299" s="455"/>
      <c r="K299" s="455"/>
      <c r="L299" s="455"/>
    </row>
    <row r="300" spans="1:12" ht="12">
      <c r="A300" s="91" t="s">
        <v>551</v>
      </c>
      <c r="F300" s="147"/>
      <c r="G300" s="58"/>
      <c r="H300" s="84"/>
      <c r="I300" s="94"/>
      <c r="J300" s="94"/>
      <c r="L300" s="94" t="s">
        <v>71</v>
      </c>
    </row>
    <row r="301" spans="1:12" ht="12">
      <c r="A301" s="45" t="s">
        <v>1</v>
      </c>
      <c r="B301" s="45" t="s">
        <v>1</v>
      </c>
      <c r="C301" s="45" t="s">
        <v>1</v>
      </c>
      <c r="D301" s="45" t="s">
        <v>1</v>
      </c>
      <c r="E301" s="45"/>
      <c r="F301" s="95" t="s">
        <v>1</v>
      </c>
      <c r="G301" s="71" t="s">
        <v>1</v>
      </c>
      <c r="H301" s="95" t="s">
        <v>1</v>
      </c>
      <c r="I301" s="71" t="s">
        <v>1</v>
      </c>
      <c r="J301" s="71"/>
      <c r="K301" s="71" t="s">
        <v>1</v>
      </c>
      <c r="L301" s="71" t="s">
        <v>1</v>
      </c>
    </row>
    <row r="302" spans="1:12" ht="12">
      <c r="A302" s="59" t="s">
        <v>2</v>
      </c>
      <c r="D302" s="59" t="s">
        <v>2</v>
      </c>
      <c r="E302" s="59"/>
      <c r="F302" s="96"/>
      <c r="G302" s="87" t="s">
        <v>62</v>
      </c>
      <c r="H302" s="96"/>
      <c r="I302" s="87" t="s">
        <v>65</v>
      </c>
      <c r="J302" s="87"/>
      <c r="L302" s="77" t="s">
        <v>70</v>
      </c>
    </row>
    <row r="303" spans="1:12" ht="12">
      <c r="A303" s="59" t="s">
        <v>4</v>
      </c>
      <c r="B303" s="80" t="s">
        <v>18</v>
      </c>
      <c r="D303" s="59" t="s">
        <v>4</v>
      </c>
      <c r="E303" s="59"/>
      <c r="F303" s="84"/>
      <c r="G303" s="87" t="s">
        <v>7</v>
      </c>
      <c r="H303" s="84"/>
      <c r="I303" s="87" t="s">
        <v>7</v>
      </c>
      <c r="J303" s="87"/>
      <c r="L303" s="77" t="s">
        <v>8</v>
      </c>
    </row>
    <row r="304" spans="1:12" ht="12">
      <c r="A304" s="45" t="s">
        <v>1</v>
      </c>
      <c r="B304" s="45" t="s">
        <v>1</v>
      </c>
      <c r="C304" s="45" t="s">
        <v>1</v>
      </c>
      <c r="D304" s="45" t="s">
        <v>1</v>
      </c>
      <c r="E304" s="45"/>
      <c r="F304" s="95" t="s">
        <v>1</v>
      </c>
      <c r="G304" s="71" t="s">
        <v>1</v>
      </c>
      <c r="H304" s="95" t="s">
        <v>1</v>
      </c>
      <c r="I304" s="71" t="s">
        <v>1</v>
      </c>
      <c r="J304" s="71"/>
      <c r="K304" s="71" t="s">
        <v>1</v>
      </c>
      <c r="L304" s="71" t="s">
        <v>1</v>
      </c>
    </row>
    <row r="305" spans="1:10" ht="12">
      <c r="A305" s="63">
        <v>1</v>
      </c>
      <c r="B305" s="47" t="s">
        <v>434</v>
      </c>
      <c r="D305" s="63">
        <v>1</v>
      </c>
      <c r="E305" s="63"/>
      <c r="F305" s="119"/>
      <c r="G305" s="119"/>
      <c r="H305" s="119"/>
      <c r="I305" s="119"/>
      <c r="J305" s="119"/>
    </row>
    <row r="306" spans="1:10" ht="12">
      <c r="A306" s="63"/>
      <c r="B306" s="47"/>
      <c r="D306" s="63"/>
      <c r="E306" s="63"/>
      <c r="F306" s="119"/>
      <c r="G306" s="119"/>
      <c r="H306" s="119"/>
      <c r="I306" s="119"/>
      <c r="J306" s="119"/>
    </row>
    <row r="307" spans="1:12" ht="12">
      <c r="A307" s="63">
        <v>2</v>
      </c>
      <c r="B307" s="66" t="s">
        <v>532</v>
      </c>
      <c r="D307" s="63">
        <v>2</v>
      </c>
      <c r="E307" s="63"/>
      <c r="F307" s="125"/>
      <c r="G307" s="125">
        <v>44724548</v>
      </c>
      <c r="H307" s="125"/>
      <c r="I307" s="125">
        <v>50416608</v>
      </c>
      <c r="J307" s="125"/>
      <c r="L307" s="155">
        <v>42646116</v>
      </c>
    </row>
    <row r="308" spans="1:12" ht="12">
      <c r="A308" s="70" t="s">
        <v>110</v>
      </c>
      <c r="B308" s="66" t="s">
        <v>569</v>
      </c>
      <c r="D308" s="63"/>
      <c r="E308" s="63"/>
      <c r="F308" s="48"/>
      <c r="G308" s="125">
        <v>1649890</v>
      </c>
      <c r="H308" s="125"/>
      <c r="I308" s="125">
        <v>1596324</v>
      </c>
      <c r="J308" s="125"/>
      <c r="L308" s="155">
        <v>1620000</v>
      </c>
    </row>
    <row r="309" spans="1:12" ht="12">
      <c r="A309" s="63">
        <v>3</v>
      </c>
      <c r="B309" s="66" t="s">
        <v>440</v>
      </c>
      <c r="D309" s="63">
        <v>3</v>
      </c>
      <c r="E309" s="63"/>
      <c r="F309" s="125"/>
      <c r="G309" s="125">
        <v>603890.65</v>
      </c>
      <c r="H309" s="125"/>
      <c r="I309" s="125">
        <v>1850</v>
      </c>
      <c r="J309" s="125"/>
      <c r="L309" s="155">
        <v>0</v>
      </c>
    </row>
    <row r="310" spans="1:10" ht="12">
      <c r="A310" s="63">
        <v>4</v>
      </c>
      <c r="B310" s="66" t="s">
        <v>442</v>
      </c>
      <c r="D310" s="63">
        <v>4</v>
      </c>
      <c r="E310" s="63"/>
      <c r="F310" s="125"/>
      <c r="G310" s="125"/>
      <c r="H310" s="125"/>
      <c r="I310" s="125"/>
      <c r="J310" s="125"/>
    </row>
    <row r="311" spans="1:10" ht="12" customHeight="1">
      <c r="A311" s="63">
        <v>5</v>
      </c>
      <c r="B311" s="66" t="s">
        <v>438</v>
      </c>
      <c r="D311" s="63">
        <v>5</v>
      </c>
      <c r="E311" s="63"/>
      <c r="F311" s="125"/>
      <c r="G311" s="125"/>
      <c r="H311" s="125"/>
      <c r="I311" s="125"/>
      <c r="J311" s="125"/>
    </row>
    <row r="312" spans="1:10" ht="12">
      <c r="A312" s="63">
        <v>6</v>
      </c>
      <c r="B312" s="66" t="s">
        <v>436</v>
      </c>
      <c r="D312" s="63">
        <v>6</v>
      </c>
      <c r="E312" s="63"/>
      <c r="F312" s="48"/>
      <c r="G312" s="125"/>
      <c r="H312" s="125"/>
      <c r="I312" s="125"/>
      <c r="J312" s="125"/>
    </row>
    <row r="313" spans="1:10" ht="12">
      <c r="A313" s="63">
        <v>7</v>
      </c>
      <c r="B313" s="66"/>
      <c r="D313" s="63">
        <v>7</v>
      </c>
      <c r="E313" s="63"/>
      <c r="F313" s="125"/>
      <c r="G313" s="125"/>
      <c r="H313" s="125"/>
      <c r="I313" s="125"/>
      <c r="J313" s="125"/>
    </row>
    <row r="314" spans="1:12" ht="12">
      <c r="A314" s="63">
        <v>9</v>
      </c>
      <c r="B314" s="48" t="s">
        <v>443</v>
      </c>
      <c r="D314" s="63">
        <v>9</v>
      </c>
      <c r="E314" s="63"/>
      <c r="F314" s="125"/>
      <c r="G314" s="125">
        <v>46978328.65</v>
      </c>
      <c r="H314" s="125"/>
      <c r="I314" s="125">
        <v>52014782</v>
      </c>
      <c r="J314" s="125"/>
      <c r="L314" s="125">
        <v>44266116</v>
      </c>
    </row>
    <row r="315" spans="1:10" ht="12">
      <c r="A315" s="63"/>
      <c r="B315" s="66"/>
      <c r="D315" s="63"/>
      <c r="E315" s="63"/>
      <c r="F315" s="125"/>
      <c r="G315" s="125"/>
      <c r="H315" s="125"/>
      <c r="I315" s="125"/>
      <c r="J315" s="125"/>
    </row>
    <row r="316" spans="1:12" ht="12" customHeight="1">
      <c r="A316" s="63">
        <v>11</v>
      </c>
      <c r="B316" s="66" t="s">
        <v>444</v>
      </c>
      <c r="D316" s="63">
        <v>10</v>
      </c>
      <c r="E316" s="63"/>
      <c r="F316" s="125"/>
      <c r="G316" s="125">
        <v>791229</v>
      </c>
      <c r="H316" s="125"/>
      <c r="I316" s="125">
        <v>383208</v>
      </c>
      <c r="J316" s="125"/>
      <c r="L316" s="82">
        <v>415084</v>
      </c>
    </row>
    <row r="317" spans="1:10" ht="12">
      <c r="A317" s="63">
        <v>12</v>
      </c>
      <c r="B317" s="66" t="s">
        <v>445</v>
      </c>
      <c r="D317" s="63">
        <v>11</v>
      </c>
      <c r="E317" s="63"/>
      <c r="F317" s="125"/>
      <c r="G317" s="125"/>
      <c r="H317" s="125"/>
      <c r="I317" s="125">
        <v>0</v>
      </c>
      <c r="J317" s="125"/>
    </row>
    <row r="318" spans="1:12" ht="12">
      <c r="A318" s="63">
        <v>13</v>
      </c>
      <c r="B318" s="66" t="s">
        <v>446</v>
      </c>
      <c r="D318" s="63">
        <v>12</v>
      </c>
      <c r="E318" s="63"/>
      <c r="F318" s="125"/>
      <c r="G318" s="125">
        <v>3400197.62</v>
      </c>
      <c r="H318" s="125"/>
      <c r="I318" s="125">
        <v>3272611</v>
      </c>
      <c r="J318" s="125"/>
      <c r="L318" s="125">
        <v>2504383</v>
      </c>
    </row>
    <row r="319" spans="1:10" ht="12">
      <c r="A319" s="63"/>
      <c r="B319" s="66"/>
      <c r="D319" s="63">
        <v>13</v>
      </c>
      <c r="E319" s="63"/>
      <c r="F319" s="125"/>
      <c r="G319" s="125"/>
      <c r="H319" s="125"/>
      <c r="I319" s="125"/>
      <c r="J319" s="125"/>
    </row>
    <row r="320" spans="2:12" ht="12">
      <c r="B320" s="66"/>
      <c r="E320" s="95" t="s">
        <v>1</v>
      </c>
      <c r="F320" s="95" t="s">
        <v>1</v>
      </c>
      <c r="G320" s="71"/>
      <c r="H320" s="95"/>
      <c r="I320" s="71"/>
      <c r="J320" s="71"/>
      <c r="K320" s="71" t="s">
        <v>1</v>
      </c>
      <c r="L320" s="71" t="s">
        <v>1</v>
      </c>
    </row>
    <row r="321" spans="1:12" ht="12">
      <c r="A321" s="63">
        <v>14</v>
      </c>
      <c r="B321" s="48" t="s">
        <v>447</v>
      </c>
      <c r="D321" s="63">
        <v>14</v>
      </c>
      <c r="E321" s="63"/>
      <c r="F321" s="119"/>
      <c r="G321" s="122">
        <v>4191426.62</v>
      </c>
      <c r="H321" s="119"/>
      <c r="I321" s="122">
        <v>3655819</v>
      </c>
      <c r="J321" s="122"/>
      <c r="L321" s="122">
        <v>2919467</v>
      </c>
    </row>
    <row r="322" spans="1:12" ht="12">
      <c r="A322" s="63"/>
      <c r="B322" s="66"/>
      <c r="D322" s="63"/>
      <c r="E322" s="95" t="s">
        <v>1</v>
      </c>
      <c r="F322" s="95" t="s">
        <v>1</v>
      </c>
      <c r="G322" s="71"/>
      <c r="H322" s="95"/>
      <c r="I322" s="71"/>
      <c r="J322" s="71"/>
      <c r="K322" s="71" t="s">
        <v>1</v>
      </c>
      <c r="L322" s="71" t="s">
        <v>1</v>
      </c>
    </row>
    <row r="323" spans="1:12" ht="12">
      <c r="A323" s="63">
        <v>15</v>
      </c>
      <c r="B323" s="47" t="s">
        <v>448</v>
      </c>
      <c r="D323" s="63">
        <v>15</v>
      </c>
      <c r="E323" s="63"/>
      <c r="F323" s="119"/>
      <c r="G323" s="122">
        <v>51169755.269999996</v>
      </c>
      <c r="H323" s="119"/>
      <c r="I323" s="122">
        <v>55670601</v>
      </c>
      <c r="J323" s="122"/>
      <c r="L323" s="122">
        <v>47185583</v>
      </c>
    </row>
    <row r="324" spans="1:10" ht="12">
      <c r="A324" s="63"/>
      <c r="B324" s="47"/>
      <c r="D324" s="63"/>
      <c r="E324" s="63"/>
      <c r="F324" s="119"/>
      <c r="G324" s="122"/>
      <c r="H324" s="119"/>
      <c r="I324" s="122"/>
      <c r="J324" s="122"/>
    </row>
    <row r="325" spans="1:12" ht="12">
      <c r="A325" s="63">
        <v>16</v>
      </c>
      <c r="B325" s="47" t="s">
        <v>449</v>
      </c>
      <c r="D325" s="63">
        <v>16</v>
      </c>
      <c r="E325" s="63"/>
      <c r="F325" s="119"/>
      <c r="G325" s="119"/>
      <c r="H325" s="119"/>
      <c r="I325" s="119"/>
      <c r="J325" s="119"/>
      <c r="L325" s="240"/>
    </row>
    <row r="326" spans="1:12" ht="12">
      <c r="A326" s="63">
        <v>17</v>
      </c>
      <c r="B326" s="48" t="s">
        <v>450</v>
      </c>
      <c r="D326" s="63">
        <v>17</v>
      </c>
      <c r="E326" s="63"/>
      <c r="F326" s="119"/>
      <c r="G326" s="119">
        <v>95124</v>
      </c>
      <c r="H326" s="119"/>
      <c r="I326" s="119">
        <v>718393</v>
      </c>
      <c r="J326" s="119"/>
      <c r="L326" s="240">
        <v>833358</v>
      </c>
    </row>
    <row r="327" spans="1:10" ht="12">
      <c r="A327" s="63">
        <v>18</v>
      </c>
      <c r="D327" s="63">
        <v>18</v>
      </c>
      <c r="E327" s="63"/>
      <c r="F327" s="122"/>
      <c r="G327" s="122"/>
      <c r="H327" s="122"/>
      <c r="I327" s="122"/>
      <c r="J327" s="122"/>
    </row>
    <row r="328" spans="1:10" ht="12">
      <c r="A328" s="63">
        <v>19</v>
      </c>
      <c r="D328" s="63">
        <v>19</v>
      </c>
      <c r="E328" s="63"/>
      <c r="F328" s="122"/>
      <c r="G328" s="122"/>
      <c r="H328" s="122"/>
      <c r="I328" s="122"/>
      <c r="J328" s="122"/>
    </row>
    <row r="329" spans="1:12" ht="12">
      <c r="A329" s="63"/>
      <c r="B329" s="64"/>
      <c r="D329" s="63"/>
      <c r="E329" s="95" t="s">
        <v>1</v>
      </c>
      <c r="F329" s="95" t="s">
        <v>1</v>
      </c>
      <c r="G329" s="71"/>
      <c r="H329" s="95"/>
      <c r="I329" s="71"/>
      <c r="J329" s="71"/>
      <c r="K329" s="71" t="s">
        <v>1</v>
      </c>
      <c r="L329" s="71" t="s">
        <v>1</v>
      </c>
    </row>
    <row r="330" spans="1:12" ht="13.5" customHeight="1">
      <c r="A330" s="63">
        <v>20</v>
      </c>
      <c r="B330" s="64" t="s">
        <v>451</v>
      </c>
      <c r="D330" s="63">
        <v>20</v>
      </c>
      <c r="E330" s="63"/>
      <c r="F330" s="119"/>
      <c r="G330" s="122">
        <v>51264879.269999996</v>
      </c>
      <c r="H330" s="119"/>
      <c r="I330" s="122">
        <v>56388994</v>
      </c>
      <c r="J330" s="122"/>
      <c r="L330" s="122">
        <v>48018941</v>
      </c>
    </row>
    <row r="331" spans="1:12" ht="12">
      <c r="A331" s="67"/>
      <c r="B331" s="47"/>
      <c r="D331" s="68"/>
      <c r="E331" s="95" t="s">
        <v>1</v>
      </c>
      <c r="F331" s="95" t="s">
        <v>1</v>
      </c>
      <c r="G331" s="71" t="s">
        <v>1</v>
      </c>
      <c r="H331" s="95" t="s">
        <v>1</v>
      </c>
      <c r="I331" s="71" t="s">
        <v>1</v>
      </c>
      <c r="J331" s="71"/>
      <c r="K331" s="71" t="s">
        <v>1</v>
      </c>
      <c r="L331" s="71" t="s">
        <v>1</v>
      </c>
    </row>
    <row r="332" spans="2:10" ht="12">
      <c r="B332" s="48" t="s">
        <v>568</v>
      </c>
      <c r="F332" s="95"/>
      <c r="G332" s="58"/>
      <c r="H332" s="95"/>
      <c r="I332" s="58"/>
      <c r="J332" s="58"/>
    </row>
    <row r="333" ht="12">
      <c r="A333" s="47"/>
    </row>
    <row r="334" spans="1:12" s="93" customFormat="1" ht="12">
      <c r="A334" s="91" t="s">
        <v>550</v>
      </c>
      <c r="D334" s="112"/>
      <c r="E334" s="112"/>
      <c r="F334" s="113"/>
      <c r="G334" s="114"/>
      <c r="H334" s="113"/>
      <c r="J334" s="92"/>
      <c r="L334" s="92" t="s">
        <v>224</v>
      </c>
    </row>
    <row r="335" spans="1:12" s="93" customFormat="1" ht="12.75" customHeight="1">
      <c r="A335" s="455" t="s">
        <v>452</v>
      </c>
      <c r="B335" s="455"/>
      <c r="C335" s="455"/>
      <c r="D335" s="455"/>
      <c r="E335" s="455"/>
      <c r="F335" s="455"/>
      <c r="G335" s="455"/>
      <c r="H335" s="455"/>
      <c r="I335" s="455"/>
      <c r="J335" s="455"/>
      <c r="K335" s="455"/>
      <c r="L335" s="455"/>
    </row>
    <row r="336" spans="1:12" ht="12">
      <c r="A336" s="91" t="s">
        <v>551</v>
      </c>
      <c r="F336" s="147"/>
      <c r="G336" s="58"/>
      <c r="H336" s="84"/>
      <c r="I336" s="94"/>
      <c r="J336" s="94"/>
      <c r="L336" s="94" t="s">
        <v>71</v>
      </c>
    </row>
    <row r="337" spans="1:12" ht="12">
      <c r="A337" s="45" t="s">
        <v>1</v>
      </c>
      <c r="B337" s="45" t="s">
        <v>1</v>
      </c>
      <c r="C337" s="45" t="s">
        <v>1</v>
      </c>
      <c r="D337" s="45" t="s">
        <v>1</v>
      </c>
      <c r="E337" s="45"/>
      <c r="F337" s="95" t="s">
        <v>1</v>
      </c>
      <c r="G337" s="71" t="s">
        <v>1</v>
      </c>
      <c r="H337" s="95" t="s">
        <v>1</v>
      </c>
      <c r="I337" s="71" t="s">
        <v>1</v>
      </c>
      <c r="J337" s="71"/>
      <c r="K337" s="71" t="s">
        <v>1</v>
      </c>
      <c r="L337" s="71" t="s">
        <v>1</v>
      </c>
    </row>
    <row r="338" spans="1:12" ht="12">
      <c r="A338" s="59" t="s">
        <v>2</v>
      </c>
      <c r="D338" s="59" t="s">
        <v>2</v>
      </c>
      <c r="E338" s="59"/>
      <c r="F338" s="96"/>
      <c r="G338" s="87" t="s">
        <v>62</v>
      </c>
      <c r="H338" s="96"/>
      <c r="I338" s="87" t="s">
        <v>65</v>
      </c>
      <c r="J338" s="87"/>
      <c r="L338" s="77" t="s">
        <v>70</v>
      </c>
    </row>
    <row r="339" spans="1:12" ht="12">
      <c r="A339" s="59" t="s">
        <v>4</v>
      </c>
      <c r="B339" s="80" t="s">
        <v>18</v>
      </c>
      <c r="D339" s="59" t="s">
        <v>4</v>
      </c>
      <c r="E339" s="59"/>
      <c r="F339" s="84"/>
      <c r="G339" s="87" t="s">
        <v>7</v>
      </c>
      <c r="H339" s="84"/>
      <c r="I339" s="87" t="s">
        <v>7</v>
      </c>
      <c r="J339" s="87"/>
      <c r="L339" s="77" t="s">
        <v>8</v>
      </c>
    </row>
    <row r="340" spans="1:12" ht="12">
      <c r="A340" s="45" t="s">
        <v>1</v>
      </c>
      <c r="B340" s="45" t="s">
        <v>1</v>
      </c>
      <c r="C340" s="45" t="s">
        <v>1</v>
      </c>
      <c r="D340" s="45" t="s">
        <v>1</v>
      </c>
      <c r="E340" s="45"/>
      <c r="F340" s="95" t="s">
        <v>1</v>
      </c>
      <c r="G340" s="71" t="s">
        <v>1</v>
      </c>
      <c r="H340" s="95" t="s">
        <v>1</v>
      </c>
      <c r="I340" s="71" t="s">
        <v>1</v>
      </c>
      <c r="J340" s="71"/>
      <c r="K340" s="71" t="s">
        <v>1</v>
      </c>
      <c r="L340" s="71" t="s">
        <v>1</v>
      </c>
    </row>
    <row r="341" spans="1:10" ht="12">
      <c r="A341" s="63">
        <v>1</v>
      </c>
      <c r="B341" s="47" t="s">
        <v>453</v>
      </c>
      <c r="D341" s="63">
        <v>1</v>
      </c>
      <c r="E341" s="63"/>
      <c r="F341" s="119"/>
      <c r="G341" s="119"/>
      <c r="H341" s="119"/>
      <c r="I341" s="119"/>
      <c r="J341" s="119"/>
    </row>
    <row r="342" spans="1:10" ht="12">
      <c r="A342" s="63"/>
      <c r="B342" s="47"/>
      <c r="D342" s="63"/>
      <c r="E342" s="63"/>
      <c r="F342" s="119"/>
      <c r="G342" s="119"/>
      <c r="H342" s="119"/>
      <c r="I342" s="119"/>
      <c r="J342" s="119"/>
    </row>
    <row r="343" spans="1:10" ht="12">
      <c r="A343" s="63">
        <v>2</v>
      </c>
      <c r="B343" s="66" t="s">
        <v>454</v>
      </c>
      <c r="D343" s="63">
        <v>2</v>
      </c>
      <c r="E343" s="63"/>
      <c r="F343" s="125"/>
      <c r="G343" s="125">
        <v>0</v>
      </c>
      <c r="H343" s="125"/>
      <c r="I343" s="125">
        <v>0</v>
      </c>
      <c r="J343" s="125"/>
    </row>
    <row r="344" spans="1:10" ht="12">
      <c r="A344" s="63">
        <v>3</v>
      </c>
      <c r="B344" s="66" t="s">
        <v>455</v>
      </c>
      <c r="D344" s="63">
        <v>3</v>
      </c>
      <c r="E344" s="63"/>
      <c r="F344" s="125"/>
      <c r="G344" s="125">
        <v>0</v>
      </c>
      <c r="H344" s="125"/>
      <c r="I344" s="125">
        <v>0</v>
      </c>
      <c r="J344" s="125"/>
    </row>
    <row r="345" spans="1:10" ht="12">
      <c r="A345" s="63">
        <v>4</v>
      </c>
      <c r="B345" s="66" t="s">
        <v>456</v>
      </c>
      <c r="D345" s="63">
        <v>4</v>
      </c>
      <c r="E345" s="63"/>
      <c r="F345" s="125"/>
      <c r="G345" s="125"/>
      <c r="H345" s="125"/>
      <c r="I345" s="125"/>
      <c r="J345" s="125"/>
    </row>
    <row r="346" spans="1:12" ht="12">
      <c r="A346" s="63"/>
      <c r="B346" s="66"/>
      <c r="D346" s="63"/>
      <c r="E346" s="95" t="s">
        <v>1</v>
      </c>
      <c r="F346" s="95" t="s">
        <v>1</v>
      </c>
      <c r="G346" s="71"/>
      <c r="H346" s="95"/>
      <c r="I346" s="71"/>
      <c r="J346" s="71"/>
      <c r="K346" s="71" t="s">
        <v>1</v>
      </c>
      <c r="L346" s="71" t="s">
        <v>1</v>
      </c>
    </row>
    <row r="347" spans="1:12" ht="12">
      <c r="A347" s="63">
        <v>9</v>
      </c>
      <c r="B347" s="48" t="s">
        <v>50</v>
      </c>
      <c r="D347" s="63">
        <v>9</v>
      </c>
      <c r="E347" s="63"/>
      <c r="F347" s="125"/>
      <c r="G347" s="125">
        <v>0</v>
      </c>
      <c r="H347" s="125"/>
      <c r="I347" s="125">
        <v>0</v>
      </c>
      <c r="J347" s="125"/>
      <c r="L347" s="125">
        <v>0</v>
      </c>
    </row>
    <row r="348" spans="1:10" ht="12">
      <c r="A348" s="63"/>
      <c r="B348" s="66"/>
      <c r="D348" s="63"/>
      <c r="E348" s="63"/>
      <c r="F348" s="125"/>
      <c r="G348" s="125"/>
      <c r="H348" s="125"/>
      <c r="I348" s="125"/>
      <c r="J348" s="125"/>
    </row>
    <row r="350" spans="1:12" s="93" customFormat="1" ht="12">
      <c r="A350" s="91" t="s">
        <v>550</v>
      </c>
      <c r="D350" s="112"/>
      <c r="E350" s="112"/>
      <c r="F350" s="113"/>
      <c r="G350" s="114"/>
      <c r="H350" s="113"/>
      <c r="J350" s="92"/>
      <c r="L350" s="92" t="s">
        <v>232</v>
      </c>
    </row>
    <row r="351" spans="1:12" ht="12.75" customHeight="1">
      <c r="A351" s="477" t="s">
        <v>233</v>
      </c>
      <c r="B351" s="477"/>
      <c r="C351" s="477"/>
      <c r="D351" s="477"/>
      <c r="E351" s="477"/>
      <c r="F351" s="477"/>
      <c r="G351" s="477"/>
      <c r="H351" s="477"/>
      <c r="I351" s="477"/>
      <c r="J351" s="477"/>
      <c r="K351" s="477"/>
      <c r="L351" s="477"/>
    </row>
    <row r="352" spans="1:12" ht="12">
      <c r="A352" s="91" t="s">
        <v>551</v>
      </c>
      <c r="G352" s="58"/>
      <c r="H352" s="84"/>
      <c r="I352" s="94"/>
      <c r="J352" s="94"/>
      <c r="L352" s="94" t="s">
        <v>71</v>
      </c>
    </row>
    <row r="353" spans="1:12" ht="12">
      <c r="A353" s="45" t="s">
        <v>1</v>
      </c>
      <c r="B353" s="45" t="s">
        <v>1</v>
      </c>
      <c r="C353" s="45" t="s">
        <v>1</v>
      </c>
      <c r="D353" s="45" t="s">
        <v>1</v>
      </c>
      <c r="E353" s="45"/>
      <c r="F353" s="95" t="s">
        <v>1</v>
      </c>
      <c r="G353" s="71" t="s">
        <v>1</v>
      </c>
      <c r="H353" s="95" t="s">
        <v>1</v>
      </c>
      <c r="I353" s="71" t="s">
        <v>1</v>
      </c>
      <c r="J353" s="71"/>
      <c r="K353" s="71" t="s">
        <v>1</v>
      </c>
      <c r="L353" s="71" t="s">
        <v>1</v>
      </c>
    </row>
    <row r="354" spans="1:12" ht="12">
      <c r="A354" s="59" t="s">
        <v>2</v>
      </c>
      <c r="D354" s="59" t="s">
        <v>2</v>
      </c>
      <c r="E354" s="59"/>
      <c r="F354" s="96"/>
      <c r="G354" s="87" t="s">
        <v>62</v>
      </c>
      <c r="H354" s="96"/>
      <c r="I354" s="87" t="s">
        <v>65</v>
      </c>
      <c r="J354" s="87"/>
      <c r="L354" s="77" t="s">
        <v>70</v>
      </c>
    </row>
    <row r="355" spans="1:12" ht="12">
      <c r="A355" s="59" t="s">
        <v>4</v>
      </c>
      <c r="B355" s="80" t="s">
        <v>18</v>
      </c>
      <c r="D355" s="59" t="s">
        <v>4</v>
      </c>
      <c r="E355" s="59"/>
      <c r="F355" s="96"/>
      <c r="G355" s="87" t="s">
        <v>7</v>
      </c>
      <c r="H355" s="96"/>
      <c r="I355" s="87" t="s">
        <v>7</v>
      </c>
      <c r="J355" s="87"/>
      <c r="L355" s="77" t="s">
        <v>8</v>
      </c>
    </row>
    <row r="356" spans="1:12" ht="12">
      <c r="A356" s="45" t="s">
        <v>1</v>
      </c>
      <c r="B356" s="45" t="s">
        <v>1</v>
      </c>
      <c r="C356" s="45" t="s">
        <v>1</v>
      </c>
      <c r="D356" s="45" t="s">
        <v>1</v>
      </c>
      <c r="E356" s="45"/>
      <c r="F356" s="95" t="s">
        <v>1</v>
      </c>
      <c r="G356" s="71" t="s">
        <v>1</v>
      </c>
      <c r="H356" s="95" t="s">
        <v>1</v>
      </c>
      <c r="I356" s="71" t="s">
        <v>1</v>
      </c>
      <c r="J356" s="71"/>
      <c r="K356" s="71" t="s">
        <v>1</v>
      </c>
      <c r="L356" s="71" t="s">
        <v>1</v>
      </c>
    </row>
    <row r="357" spans="1:10" ht="12">
      <c r="A357" s="70">
        <v>1</v>
      </c>
      <c r="B357" s="47" t="s">
        <v>457</v>
      </c>
      <c r="D357" s="70">
        <v>1</v>
      </c>
      <c r="E357" s="70"/>
      <c r="F357" s="139"/>
      <c r="H357" s="139"/>
      <c r="I357" s="157"/>
      <c r="J357" s="157"/>
    </row>
    <row r="358" spans="1:12" ht="12">
      <c r="A358" s="70">
        <v>2</v>
      </c>
      <c r="B358" s="48" t="s">
        <v>570</v>
      </c>
      <c r="D358" s="48">
        <v>1</v>
      </c>
      <c r="G358" s="57">
        <v>17997300</v>
      </c>
      <c r="I358" s="57">
        <v>17150000</v>
      </c>
      <c r="L358" s="57">
        <v>16004485</v>
      </c>
    </row>
    <row r="359" spans="1:10" ht="12">
      <c r="A359" s="70">
        <v>3</v>
      </c>
      <c r="B359" s="47"/>
      <c r="D359" s="70">
        <v>2</v>
      </c>
      <c r="E359" s="70"/>
      <c r="F359" s="158"/>
      <c r="G359" s="158"/>
      <c r="H359" s="158"/>
      <c r="I359" s="158"/>
      <c r="J359" s="158"/>
    </row>
    <row r="360" spans="1:10" ht="12">
      <c r="A360" s="70">
        <v>4</v>
      </c>
      <c r="B360" s="47"/>
      <c r="D360" s="70">
        <v>3</v>
      </c>
      <c r="E360" s="70"/>
      <c r="F360" s="158"/>
      <c r="G360" s="158"/>
      <c r="H360" s="158"/>
      <c r="I360" s="158"/>
      <c r="J360" s="158"/>
    </row>
    <row r="361" spans="1:10" ht="12">
      <c r="A361" s="70">
        <v>5</v>
      </c>
      <c r="B361" s="66"/>
      <c r="D361" s="70">
        <v>4</v>
      </c>
      <c r="E361" s="70"/>
      <c r="F361" s="158"/>
      <c r="G361" s="158"/>
      <c r="H361" s="158"/>
      <c r="I361" s="158"/>
      <c r="J361" s="158"/>
    </row>
    <row r="362" spans="1:10" ht="12">
      <c r="A362" s="70">
        <v>6</v>
      </c>
      <c r="B362" s="66"/>
      <c r="D362" s="70">
        <v>5</v>
      </c>
      <c r="E362" s="70"/>
      <c r="F362" s="158"/>
      <c r="G362" s="158"/>
      <c r="H362" s="158"/>
      <c r="I362" s="158"/>
      <c r="J362" s="158"/>
    </row>
    <row r="363" spans="1:10" ht="12">
      <c r="A363" s="70">
        <v>7</v>
      </c>
      <c r="B363" s="47"/>
      <c r="D363" s="70">
        <v>6</v>
      </c>
      <c r="E363" s="70"/>
      <c r="F363" s="158"/>
      <c r="G363" s="158"/>
      <c r="H363" s="158"/>
      <c r="I363" s="158"/>
      <c r="J363" s="158"/>
    </row>
    <row r="364" spans="1:10" ht="12">
      <c r="A364" s="70">
        <v>8</v>
      </c>
      <c r="B364" s="66"/>
      <c r="D364" s="70">
        <v>7</v>
      </c>
      <c r="E364" s="70"/>
      <c r="F364" s="158"/>
      <c r="G364" s="158">
        <v>0</v>
      </c>
      <c r="H364" s="158"/>
      <c r="I364" s="158"/>
      <c r="J364" s="158"/>
    </row>
    <row r="365" spans="1:10" ht="12">
      <c r="A365" s="70">
        <v>9</v>
      </c>
      <c r="B365" s="66"/>
      <c r="D365" s="70">
        <v>8</v>
      </c>
      <c r="E365" s="70"/>
      <c r="F365" s="158"/>
      <c r="G365" s="158"/>
      <c r="H365" s="158"/>
      <c r="I365" s="158"/>
      <c r="J365" s="158"/>
    </row>
    <row r="366" spans="1:10" ht="12">
      <c r="A366" s="70">
        <v>10</v>
      </c>
      <c r="D366" s="70">
        <v>9</v>
      </c>
      <c r="E366" s="70"/>
      <c r="F366" s="158"/>
      <c r="G366" s="158"/>
      <c r="H366" s="158"/>
      <c r="I366" s="158"/>
      <c r="J366" s="158"/>
    </row>
    <row r="367" spans="1:10" ht="12">
      <c r="A367" s="70">
        <v>11</v>
      </c>
      <c r="D367" s="70">
        <v>10</v>
      </c>
      <c r="E367" s="70"/>
      <c r="F367" s="158"/>
      <c r="G367" s="158"/>
      <c r="H367" s="158"/>
      <c r="I367" s="158"/>
      <c r="J367" s="158"/>
    </row>
    <row r="368" spans="1:10" ht="12">
      <c r="A368" s="70">
        <v>12</v>
      </c>
      <c r="D368" s="70">
        <v>11</v>
      </c>
      <c r="E368" s="70"/>
      <c r="F368" s="158"/>
      <c r="G368" s="158"/>
      <c r="H368" s="158"/>
      <c r="I368" s="158"/>
      <c r="J368" s="158"/>
    </row>
    <row r="369" spans="1:10" ht="12">
      <c r="A369" s="70">
        <v>13</v>
      </c>
      <c r="B369" s="66"/>
      <c r="D369" s="70">
        <v>12</v>
      </c>
      <c r="E369" s="70"/>
      <c r="F369" s="158"/>
      <c r="G369" s="158"/>
      <c r="H369" s="158"/>
      <c r="I369" s="158"/>
      <c r="J369" s="158"/>
    </row>
    <row r="370" spans="1:10" ht="12">
      <c r="A370" s="70">
        <v>14</v>
      </c>
      <c r="B370" s="66" t="s">
        <v>460</v>
      </c>
      <c r="D370" s="70">
        <v>13</v>
      </c>
      <c r="E370" s="70"/>
      <c r="F370" s="158"/>
      <c r="G370" s="158"/>
      <c r="H370" s="158"/>
      <c r="I370" s="158"/>
      <c r="J370" s="158"/>
    </row>
    <row r="371" spans="1:10" ht="12">
      <c r="A371" s="70">
        <v>15</v>
      </c>
      <c r="B371" s="66"/>
      <c r="D371" s="70">
        <v>14</v>
      </c>
      <c r="E371" s="70"/>
      <c r="F371" s="158"/>
      <c r="G371" s="158">
        <v>0</v>
      </c>
      <c r="H371" s="158"/>
      <c r="I371" s="158"/>
      <c r="J371" s="158"/>
    </row>
    <row r="372" spans="1:10" ht="12">
      <c r="A372" s="70">
        <v>16</v>
      </c>
      <c r="B372" s="66"/>
      <c r="D372" s="70">
        <v>15</v>
      </c>
      <c r="E372" s="70"/>
      <c r="F372" s="158"/>
      <c r="G372" s="158"/>
      <c r="H372" s="158"/>
      <c r="I372" s="158"/>
      <c r="J372" s="158"/>
    </row>
    <row r="373" spans="1:10" ht="12">
      <c r="A373" s="70">
        <v>17</v>
      </c>
      <c r="B373" s="66"/>
      <c r="D373" s="70">
        <v>16</v>
      </c>
      <c r="E373" s="70"/>
      <c r="F373" s="158"/>
      <c r="G373" s="158"/>
      <c r="H373" s="158"/>
      <c r="I373" s="158"/>
      <c r="J373" s="158"/>
    </row>
    <row r="374" spans="1:10" ht="12">
      <c r="A374" s="70">
        <v>18</v>
      </c>
      <c r="B374" s="66"/>
      <c r="D374" s="70">
        <v>17</v>
      </c>
      <c r="E374" s="70"/>
      <c r="F374" s="158"/>
      <c r="G374" s="158"/>
      <c r="H374" s="158"/>
      <c r="I374" s="158"/>
      <c r="J374" s="158"/>
    </row>
    <row r="375" spans="1:10" ht="12">
      <c r="A375" s="70">
        <v>19</v>
      </c>
      <c r="B375" s="66"/>
      <c r="D375" s="70">
        <v>18</v>
      </c>
      <c r="E375" s="70"/>
      <c r="F375" s="158"/>
      <c r="G375" s="158"/>
      <c r="H375" s="158"/>
      <c r="I375" s="158"/>
      <c r="J375" s="158"/>
    </row>
    <row r="376" spans="1:10" ht="12">
      <c r="A376" s="70">
        <v>20</v>
      </c>
      <c r="B376" s="66"/>
      <c r="D376" s="70">
        <v>19</v>
      </c>
      <c r="E376" s="70"/>
      <c r="F376" s="158"/>
      <c r="G376" s="158"/>
      <c r="H376" s="158"/>
      <c r="I376" s="158"/>
      <c r="J376" s="158"/>
    </row>
    <row r="377" spans="1:10" ht="12">
      <c r="A377" s="70">
        <v>21</v>
      </c>
      <c r="B377" s="66"/>
      <c r="D377" s="70">
        <v>20</v>
      </c>
      <c r="E377" s="70"/>
      <c r="F377" s="158"/>
      <c r="G377" s="158"/>
      <c r="H377" s="158"/>
      <c r="I377" s="158"/>
      <c r="J377" s="158"/>
    </row>
    <row r="378" spans="1:10" ht="12">
      <c r="A378" s="70">
        <v>22</v>
      </c>
      <c r="B378" s="66"/>
      <c r="D378" s="70">
        <v>21</v>
      </c>
      <c r="E378" s="70"/>
      <c r="F378" s="158"/>
      <c r="G378" s="158"/>
      <c r="H378" s="158"/>
      <c r="I378" s="158"/>
      <c r="J378" s="158"/>
    </row>
    <row r="379" spans="1:10" ht="12">
      <c r="A379" s="70">
        <v>23</v>
      </c>
      <c r="B379" s="66"/>
      <c r="D379" s="70">
        <v>22</v>
      </c>
      <c r="E379" s="70"/>
      <c r="F379" s="158"/>
      <c r="G379" s="158"/>
      <c r="H379" s="158"/>
      <c r="I379" s="158"/>
      <c r="J379" s="158"/>
    </row>
    <row r="380" spans="1:10" ht="12">
      <c r="A380" s="70">
        <v>24</v>
      </c>
      <c r="B380" s="66"/>
      <c r="D380" s="70">
        <v>23</v>
      </c>
      <c r="E380" s="70"/>
      <c r="F380" s="158"/>
      <c r="G380" s="158"/>
      <c r="H380" s="158"/>
      <c r="I380" s="158"/>
      <c r="J380" s="158"/>
    </row>
    <row r="381" spans="1:12" ht="12">
      <c r="A381" s="89"/>
      <c r="D381" s="89"/>
      <c r="E381" s="95" t="s">
        <v>1</v>
      </c>
      <c r="F381" s="95" t="s">
        <v>1</v>
      </c>
      <c r="G381" s="71"/>
      <c r="H381" s="95"/>
      <c r="I381" s="71"/>
      <c r="J381" s="71"/>
      <c r="K381" s="71"/>
      <c r="L381" s="71"/>
    </row>
    <row r="382" spans="1:12" ht="13.5" customHeight="1">
      <c r="A382" s="70">
        <v>25</v>
      </c>
      <c r="B382" s="47" t="s">
        <v>461</v>
      </c>
      <c r="D382" s="70">
        <v>24</v>
      </c>
      <c r="E382" s="70"/>
      <c r="F382" s="160"/>
      <c r="G382" s="159">
        <v>17997300</v>
      </c>
      <c r="H382" s="160"/>
      <c r="I382" s="125">
        <v>17150000</v>
      </c>
      <c r="J382" s="125"/>
      <c r="L382" s="125">
        <v>16004485</v>
      </c>
    </row>
    <row r="383" spans="1:12" ht="12">
      <c r="A383" s="70"/>
      <c r="B383" s="47"/>
      <c r="D383" s="70"/>
      <c r="E383" s="95" t="s">
        <v>1</v>
      </c>
      <c r="F383" s="95" t="s">
        <v>1</v>
      </c>
      <c r="G383" s="71"/>
      <c r="H383" s="95"/>
      <c r="I383" s="71"/>
      <c r="J383" s="71"/>
      <c r="K383" s="71"/>
      <c r="L383" s="71"/>
    </row>
    <row r="384" spans="1:12" ht="12">
      <c r="A384" s="91" t="s">
        <v>550</v>
      </c>
      <c r="B384" s="93"/>
      <c r="C384" s="93"/>
      <c r="D384" s="112"/>
      <c r="E384" s="112"/>
      <c r="F384" s="113"/>
      <c r="G384" s="114"/>
      <c r="H384" s="113"/>
      <c r="J384" s="92"/>
      <c r="L384" s="92" t="s">
        <v>241</v>
      </c>
    </row>
    <row r="385" spans="1:12" ht="12">
      <c r="A385" s="477" t="s">
        <v>462</v>
      </c>
      <c r="B385" s="477"/>
      <c r="C385" s="477"/>
      <c r="D385" s="477"/>
      <c r="E385" s="477"/>
      <c r="F385" s="477"/>
      <c r="G385" s="477"/>
      <c r="H385" s="477"/>
      <c r="I385" s="477"/>
      <c r="J385" s="477"/>
      <c r="K385" s="477"/>
      <c r="L385" s="477"/>
    </row>
    <row r="386" spans="1:12" ht="12">
      <c r="A386" s="91" t="s">
        <v>551</v>
      </c>
      <c r="G386" s="58"/>
      <c r="H386" s="84"/>
      <c r="I386" s="94"/>
      <c r="J386" s="94"/>
      <c r="L386" s="94" t="s">
        <v>71</v>
      </c>
    </row>
    <row r="387" spans="1:12" ht="12">
      <c r="A387" s="45" t="s">
        <v>1</v>
      </c>
      <c r="B387" s="45" t="s">
        <v>1</v>
      </c>
      <c r="C387" s="45" t="s">
        <v>1</v>
      </c>
      <c r="D387" s="45" t="s">
        <v>1</v>
      </c>
      <c r="E387" s="45"/>
      <c r="F387" s="95" t="s">
        <v>1</v>
      </c>
      <c r="G387" s="71" t="s">
        <v>1</v>
      </c>
      <c r="H387" s="95" t="s">
        <v>1</v>
      </c>
      <c r="I387" s="71" t="s">
        <v>1</v>
      </c>
      <c r="J387" s="71"/>
      <c r="K387" s="71" t="s">
        <v>1</v>
      </c>
      <c r="L387" s="71" t="s">
        <v>1</v>
      </c>
    </row>
    <row r="388" spans="1:12" ht="12">
      <c r="A388" s="59" t="s">
        <v>2</v>
      </c>
      <c r="D388" s="59" t="s">
        <v>2</v>
      </c>
      <c r="E388" s="59"/>
      <c r="F388" s="96"/>
      <c r="G388" s="87" t="s">
        <v>62</v>
      </c>
      <c r="H388" s="96"/>
      <c r="I388" s="87" t="s">
        <v>65</v>
      </c>
      <c r="J388" s="87"/>
      <c r="L388" s="77" t="s">
        <v>70</v>
      </c>
    </row>
    <row r="389" spans="1:12" ht="12">
      <c r="A389" s="59" t="s">
        <v>4</v>
      </c>
      <c r="B389" s="80" t="s">
        <v>18</v>
      </c>
      <c r="D389" s="59" t="s">
        <v>4</v>
      </c>
      <c r="E389" s="59"/>
      <c r="F389" s="96"/>
      <c r="G389" s="87" t="s">
        <v>7</v>
      </c>
      <c r="H389" s="96"/>
      <c r="I389" s="87" t="s">
        <v>7</v>
      </c>
      <c r="J389" s="87"/>
      <c r="L389" s="77" t="s">
        <v>8</v>
      </c>
    </row>
    <row r="390" spans="1:12" ht="12">
      <c r="A390" s="45" t="s">
        <v>1</v>
      </c>
      <c r="B390" s="45" t="s">
        <v>1</v>
      </c>
      <c r="C390" s="45" t="s">
        <v>1</v>
      </c>
      <c r="D390" s="45" t="s">
        <v>1</v>
      </c>
      <c r="E390" s="45"/>
      <c r="F390" s="95" t="s">
        <v>1</v>
      </c>
      <c r="G390" s="71" t="s">
        <v>1</v>
      </c>
      <c r="H390" s="95" t="s">
        <v>1</v>
      </c>
      <c r="I390" s="71" t="s">
        <v>1</v>
      </c>
      <c r="J390" s="71"/>
      <c r="K390" s="71" t="s">
        <v>1</v>
      </c>
      <c r="L390" s="71" t="s">
        <v>1</v>
      </c>
    </row>
    <row r="391" spans="1:14" ht="12">
      <c r="A391" s="48">
        <v>1</v>
      </c>
      <c r="B391" s="48" t="s">
        <v>463</v>
      </c>
      <c r="D391" s="48">
        <v>1</v>
      </c>
      <c r="F391" s="155"/>
      <c r="G391" s="155">
        <v>50591135</v>
      </c>
      <c r="H391" s="155"/>
      <c r="I391" s="155">
        <v>27258539</v>
      </c>
      <c r="J391" s="155"/>
      <c r="L391" s="82">
        <v>52102398</v>
      </c>
      <c r="N391" s="86"/>
    </row>
    <row r="392" spans="1:12" ht="12">
      <c r="A392" s="48">
        <v>2</v>
      </c>
      <c r="G392" s="235"/>
      <c r="L392" s="57"/>
    </row>
    <row r="393" spans="4:5" ht="12">
      <c r="D393" s="68"/>
      <c r="E393" s="68"/>
    </row>
    <row r="394" spans="4:10" ht="12">
      <c r="D394" s="68"/>
      <c r="E394" s="68"/>
      <c r="F394" s="84"/>
      <c r="G394" s="58"/>
      <c r="H394" s="84"/>
      <c r="I394" s="58"/>
      <c r="J394" s="58"/>
    </row>
    <row r="395" spans="1:12" s="93" customFormat="1" ht="12">
      <c r="A395" s="91" t="s">
        <v>550</v>
      </c>
      <c r="D395" s="112"/>
      <c r="E395" s="112"/>
      <c r="F395" s="113"/>
      <c r="G395" s="114"/>
      <c r="H395" s="113"/>
      <c r="J395" s="92"/>
      <c r="L395" s="92" t="s">
        <v>245</v>
      </c>
    </row>
    <row r="396" spans="1:12" s="93" customFormat="1" ht="12">
      <c r="A396" s="472" t="s">
        <v>246</v>
      </c>
      <c r="B396" s="472"/>
      <c r="C396" s="472"/>
      <c r="D396" s="472"/>
      <c r="E396" s="472"/>
      <c r="F396" s="472"/>
      <c r="G396" s="472"/>
      <c r="H396" s="472"/>
      <c r="I396" s="472"/>
      <c r="J396" s="472"/>
      <c r="K396" s="472"/>
      <c r="L396" s="472"/>
    </row>
    <row r="397" spans="1:12" ht="12">
      <c r="A397" s="91" t="s">
        <v>551</v>
      </c>
      <c r="F397" s="161"/>
      <c r="G397" s="58"/>
      <c r="H397" s="84"/>
      <c r="I397" s="94"/>
      <c r="J397" s="94"/>
      <c r="L397" s="94" t="s">
        <v>71</v>
      </c>
    </row>
    <row r="398" spans="1:12" ht="12">
      <c r="A398" s="45" t="s">
        <v>1</v>
      </c>
      <c r="B398" s="45" t="s">
        <v>1</v>
      </c>
      <c r="C398" s="45" t="s">
        <v>1</v>
      </c>
      <c r="D398" s="45" t="s">
        <v>1</v>
      </c>
      <c r="E398" s="45"/>
      <c r="F398" s="95" t="s">
        <v>1</v>
      </c>
      <c r="G398" s="71" t="s">
        <v>1</v>
      </c>
      <c r="H398" s="95" t="s">
        <v>1</v>
      </c>
      <c r="I398" s="71" t="s">
        <v>1</v>
      </c>
      <c r="J398" s="71"/>
      <c r="K398" s="71" t="s">
        <v>1</v>
      </c>
      <c r="L398" s="71" t="s">
        <v>1</v>
      </c>
    </row>
    <row r="399" spans="1:12" ht="12">
      <c r="A399" s="59" t="s">
        <v>2</v>
      </c>
      <c r="D399" s="59" t="s">
        <v>2</v>
      </c>
      <c r="E399" s="59"/>
      <c r="F399" s="96"/>
      <c r="G399" s="87" t="s">
        <v>62</v>
      </c>
      <c r="H399" s="96"/>
      <c r="I399" s="87" t="s">
        <v>65</v>
      </c>
      <c r="J399" s="87"/>
      <c r="L399" s="77" t="s">
        <v>70</v>
      </c>
    </row>
    <row r="400" spans="1:12" ht="12">
      <c r="A400" s="59" t="s">
        <v>4</v>
      </c>
      <c r="B400" s="80" t="s">
        <v>18</v>
      </c>
      <c r="D400" s="59" t="s">
        <v>4</v>
      </c>
      <c r="E400" s="59"/>
      <c r="F400" s="96" t="s">
        <v>6</v>
      </c>
      <c r="G400" s="87" t="s">
        <v>7</v>
      </c>
      <c r="H400" s="96" t="s">
        <v>6</v>
      </c>
      <c r="I400" s="87" t="s">
        <v>7</v>
      </c>
      <c r="J400" s="87"/>
      <c r="K400" s="77" t="s">
        <v>19</v>
      </c>
      <c r="L400" s="77" t="s">
        <v>8</v>
      </c>
    </row>
    <row r="401" spans="1:12" ht="12">
      <c r="A401" s="45" t="s">
        <v>1</v>
      </c>
      <c r="B401" s="45" t="s">
        <v>1</v>
      </c>
      <c r="C401" s="45" t="s">
        <v>1</v>
      </c>
      <c r="D401" s="45" t="s">
        <v>1</v>
      </c>
      <c r="E401" s="45"/>
      <c r="F401" s="95" t="s">
        <v>1</v>
      </c>
      <c r="G401" s="71" t="s">
        <v>1</v>
      </c>
      <c r="H401" s="95" t="s">
        <v>1</v>
      </c>
      <c r="I401" s="71" t="s">
        <v>1</v>
      </c>
      <c r="J401" s="71"/>
      <c r="K401" s="71" t="s">
        <v>1</v>
      </c>
      <c r="L401" s="71" t="s">
        <v>1</v>
      </c>
    </row>
    <row r="402" spans="1:12" ht="12">
      <c r="A402" s="72">
        <v>1</v>
      </c>
      <c r="B402" s="47" t="s">
        <v>276</v>
      </c>
      <c r="D402" s="72">
        <v>1</v>
      </c>
      <c r="E402" s="72"/>
      <c r="F402" s="162">
        <v>392.2957311729537</v>
      </c>
      <c r="G402" s="75">
        <v>40287987</v>
      </c>
      <c r="H402" s="162">
        <v>396.09801554071163</v>
      </c>
      <c r="I402" s="75">
        <v>40678474</v>
      </c>
      <c r="J402" s="75"/>
      <c r="K402" s="145">
        <v>407.84046427389046</v>
      </c>
      <c r="L402" s="75">
        <v>41884400</v>
      </c>
    </row>
    <row r="403" spans="1:12" ht="12">
      <c r="A403" s="72">
        <v>2</v>
      </c>
      <c r="B403" s="47" t="s">
        <v>268</v>
      </c>
      <c r="D403" s="72">
        <v>2</v>
      </c>
      <c r="E403" s="72"/>
      <c r="F403" s="162"/>
      <c r="G403" s="75">
        <v>9920269</v>
      </c>
      <c r="H403" s="162"/>
      <c r="I403" s="75">
        <v>10153255</v>
      </c>
      <c r="J403" s="75"/>
      <c r="L403" s="75">
        <v>10380653</v>
      </c>
    </row>
    <row r="404" spans="1:12" ht="12">
      <c r="A404" s="72">
        <v>3</v>
      </c>
      <c r="B404" s="47" t="s">
        <v>464</v>
      </c>
      <c r="D404" s="72">
        <v>3</v>
      </c>
      <c r="E404" s="72"/>
      <c r="F404" s="162">
        <v>34.58716330340475</v>
      </c>
      <c r="G404" s="75">
        <v>1556284</v>
      </c>
      <c r="H404" s="162">
        <v>35.02731353898124</v>
      </c>
      <c r="I404" s="75">
        <v>1576089</v>
      </c>
      <c r="J404" s="75"/>
      <c r="K404" s="145">
        <v>35.17657125077784</v>
      </c>
      <c r="L404" s="75">
        <v>1582805</v>
      </c>
    </row>
    <row r="405" spans="1:12" ht="12">
      <c r="A405" s="72">
        <v>4</v>
      </c>
      <c r="B405" s="47" t="s">
        <v>270</v>
      </c>
      <c r="D405" s="72">
        <v>4</v>
      </c>
      <c r="E405" s="72"/>
      <c r="F405" s="162">
        <v>426.88289447635844</v>
      </c>
      <c r="G405" s="164">
        <v>51764540</v>
      </c>
      <c r="H405" s="162">
        <v>431.12532907969285</v>
      </c>
      <c r="I405" s="69">
        <v>52407818</v>
      </c>
      <c r="J405" s="69"/>
      <c r="K405" s="145">
        <v>443.0170355246683</v>
      </c>
      <c r="L405" s="75">
        <v>53847858</v>
      </c>
    </row>
    <row r="406" spans="1:12" ht="12">
      <c r="A406" s="72">
        <v>5</v>
      </c>
      <c r="D406" s="72">
        <v>5</v>
      </c>
      <c r="E406" s="72"/>
      <c r="F406" s="162"/>
      <c r="G406" s="163"/>
      <c r="H406" s="162"/>
      <c r="I406" s="69"/>
      <c r="J406" s="69"/>
      <c r="K406" s="145"/>
      <c r="L406" s="75"/>
    </row>
    <row r="407" spans="1:12" ht="12">
      <c r="A407" s="72">
        <v>6</v>
      </c>
      <c r="B407" s="47" t="s">
        <v>252</v>
      </c>
      <c r="D407" s="72">
        <v>6</v>
      </c>
      <c r="E407" s="72"/>
      <c r="F407" s="162">
        <v>0</v>
      </c>
      <c r="G407" s="163"/>
      <c r="H407" s="162">
        <v>0</v>
      </c>
      <c r="I407" s="75"/>
      <c r="J407" s="75"/>
      <c r="K407" s="145"/>
      <c r="L407" s="75"/>
    </row>
    <row r="408" spans="1:12" ht="12">
      <c r="A408" s="72">
        <v>7</v>
      </c>
      <c r="B408" s="47" t="s">
        <v>253</v>
      </c>
      <c r="D408" s="72">
        <v>7</v>
      </c>
      <c r="E408" s="72"/>
      <c r="F408" s="162">
        <v>149.04085911093998</v>
      </c>
      <c r="G408" s="75">
        <v>6967064</v>
      </c>
      <c r="H408" s="162">
        <v>127.78648440508279</v>
      </c>
      <c r="I408" s="75">
        <v>5973507</v>
      </c>
      <c r="J408" s="75"/>
      <c r="K408" s="145">
        <v>128.28885893980234</v>
      </c>
      <c r="L408" s="75">
        <v>5996991</v>
      </c>
    </row>
    <row r="409" spans="1:12" ht="12">
      <c r="A409" s="72">
        <v>8</v>
      </c>
      <c r="B409" s="47" t="s">
        <v>254</v>
      </c>
      <c r="D409" s="72">
        <v>8</v>
      </c>
      <c r="E409" s="72"/>
      <c r="F409" s="162"/>
      <c r="G409" s="75">
        <v>1836785</v>
      </c>
      <c r="H409" s="162"/>
      <c r="I409" s="75">
        <v>1716223</v>
      </c>
      <c r="J409" s="75"/>
      <c r="K409" s="145"/>
      <c r="L409" s="75">
        <v>1902424</v>
      </c>
    </row>
    <row r="410" spans="1:12" ht="12">
      <c r="A410" s="72">
        <v>9</v>
      </c>
      <c r="B410" s="47" t="s">
        <v>255</v>
      </c>
      <c r="D410" s="72">
        <v>9</v>
      </c>
      <c r="E410" s="72"/>
      <c r="F410" s="162">
        <v>149.04085911093998</v>
      </c>
      <c r="G410" s="163">
        <v>8803849</v>
      </c>
      <c r="H410" s="162">
        <v>127.78648440508279</v>
      </c>
      <c r="I410" s="69">
        <v>7689730</v>
      </c>
      <c r="J410" s="69"/>
      <c r="K410" s="145">
        <v>128.28885893980234</v>
      </c>
      <c r="L410" s="75">
        <v>7899415</v>
      </c>
    </row>
    <row r="411" spans="1:12" ht="12">
      <c r="A411" s="72">
        <v>10</v>
      </c>
      <c r="D411" s="72">
        <v>10</v>
      </c>
      <c r="E411" s="72"/>
      <c r="F411" s="165"/>
      <c r="G411" s="163"/>
      <c r="H411" s="162"/>
      <c r="I411" s="69"/>
      <c r="J411" s="69"/>
      <c r="K411" s="145"/>
      <c r="L411" s="75"/>
    </row>
    <row r="412" spans="1:12" ht="12">
      <c r="A412" s="72">
        <v>11</v>
      </c>
      <c r="B412" s="47" t="s">
        <v>256</v>
      </c>
      <c r="D412" s="72">
        <v>11</v>
      </c>
      <c r="E412" s="72"/>
      <c r="F412" s="166">
        <v>575.9237535872984</v>
      </c>
      <c r="G412" s="159">
        <v>60568389</v>
      </c>
      <c r="H412" s="162">
        <v>558.9118134847756</v>
      </c>
      <c r="I412" s="69">
        <v>60097548</v>
      </c>
      <c r="J412" s="69"/>
      <c r="K412" s="145">
        <v>571.3058944644706</v>
      </c>
      <c r="L412" s="75">
        <v>61747273</v>
      </c>
    </row>
    <row r="413" spans="1:12" ht="12">
      <c r="A413" s="72">
        <v>12</v>
      </c>
      <c r="D413" s="72">
        <v>12</v>
      </c>
      <c r="E413" s="72"/>
      <c r="F413" s="166"/>
      <c r="G413" s="159"/>
      <c r="H413" s="162"/>
      <c r="I413" s="69"/>
      <c r="J413" s="69"/>
      <c r="K413" s="145"/>
      <c r="L413" s="75"/>
    </row>
    <row r="414" spans="1:12" ht="12">
      <c r="A414" s="72">
        <v>13</v>
      </c>
      <c r="B414" s="47" t="s">
        <v>271</v>
      </c>
      <c r="D414" s="72">
        <v>13</v>
      </c>
      <c r="E414" s="72"/>
      <c r="F414" s="162">
        <v>9.911973470946588</v>
      </c>
      <c r="G414" s="75">
        <v>532045</v>
      </c>
      <c r="H414" s="162">
        <v>11.283380218715651</v>
      </c>
      <c r="I414" s="75">
        <v>605658</v>
      </c>
      <c r="J414" s="75"/>
      <c r="K414" s="145"/>
      <c r="L414" s="75">
        <v>86090</v>
      </c>
    </row>
    <row r="415" spans="1:12" ht="12">
      <c r="A415" s="72">
        <v>14</v>
      </c>
      <c r="D415" s="72">
        <v>14</v>
      </c>
      <c r="E415" s="72"/>
      <c r="F415" s="162"/>
      <c r="G415" s="75"/>
      <c r="H415" s="162"/>
      <c r="I415" s="75"/>
      <c r="J415" s="75"/>
      <c r="K415" s="145"/>
      <c r="L415" s="75"/>
    </row>
    <row r="416" spans="1:12" ht="12">
      <c r="A416" s="72">
        <v>15</v>
      </c>
      <c r="B416" s="47" t="s">
        <v>258</v>
      </c>
      <c r="D416" s="72">
        <v>15</v>
      </c>
      <c r="E416" s="72"/>
      <c r="F416" s="162"/>
      <c r="G416" s="75">
        <v>808383</v>
      </c>
      <c r="H416" s="162"/>
      <c r="I416" s="75">
        <v>807314</v>
      </c>
      <c r="J416" s="75"/>
      <c r="K416" s="145"/>
      <c r="L416" s="75">
        <v>637865</v>
      </c>
    </row>
    <row r="417" spans="1:12" ht="12">
      <c r="A417" s="72">
        <v>16</v>
      </c>
      <c r="B417" s="47"/>
      <c r="D417" s="72">
        <v>16</v>
      </c>
      <c r="E417" s="72"/>
      <c r="F417" s="162"/>
      <c r="G417" s="75"/>
      <c r="H417" s="162"/>
      <c r="I417" s="75"/>
      <c r="J417" s="75"/>
      <c r="K417" s="145"/>
      <c r="L417" s="75"/>
    </row>
    <row r="418" spans="1:12" s="62" customFormat="1" ht="18.75" customHeight="1">
      <c r="A418" s="74">
        <v>17</v>
      </c>
      <c r="B418" s="167" t="s">
        <v>259</v>
      </c>
      <c r="D418" s="74">
        <v>17</v>
      </c>
      <c r="E418" s="74"/>
      <c r="F418" s="168"/>
      <c r="G418" s="75">
        <v>13376868</v>
      </c>
      <c r="H418" s="162"/>
      <c r="I418" s="75">
        <v>16528009</v>
      </c>
      <c r="J418" s="75"/>
      <c r="K418" s="145"/>
      <c r="L418" s="75">
        <v>16290303</v>
      </c>
    </row>
    <row r="419" spans="1:12" ht="12">
      <c r="A419" s="72">
        <v>18</v>
      </c>
      <c r="B419" s="61"/>
      <c r="D419" s="72">
        <v>18</v>
      </c>
      <c r="E419" s="72"/>
      <c r="F419" s="162"/>
      <c r="G419" s="163"/>
      <c r="H419" s="162"/>
      <c r="I419" s="75"/>
      <c r="J419" s="75"/>
      <c r="K419" s="145"/>
      <c r="L419" s="57"/>
    </row>
    <row r="420" spans="1:12" ht="12">
      <c r="A420" s="72">
        <v>19</v>
      </c>
      <c r="B420" s="61" t="s">
        <v>465</v>
      </c>
      <c r="D420" s="72">
        <v>19</v>
      </c>
      <c r="E420" s="72"/>
      <c r="F420" s="162"/>
      <c r="G420" s="163">
        <v>0</v>
      </c>
      <c r="H420" s="162"/>
      <c r="I420" s="163">
        <v>0</v>
      </c>
      <c r="J420" s="163"/>
      <c r="K420" s="145"/>
      <c r="L420" s="57">
        <v>0</v>
      </c>
    </row>
    <row r="421" spans="1:12" ht="12">
      <c r="A421" s="72">
        <v>20</v>
      </c>
      <c r="B421" s="61"/>
      <c r="D421" s="72">
        <v>20</v>
      </c>
      <c r="E421" s="72"/>
      <c r="F421" s="162"/>
      <c r="G421" s="163"/>
      <c r="H421" s="162"/>
      <c r="I421" s="75"/>
      <c r="J421" s="75"/>
      <c r="K421" s="145"/>
      <c r="L421" s="57"/>
    </row>
    <row r="422" spans="1:12" ht="12">
      <c r="A422" s="72">
        <v>21</v>
      </c>
      <c r="B422" s="47"/>
      <c r="D422" s="72">
        <v>21</v>
      </c>
      <c r="E422" s="72"/>
      <c r="F422" s="162"/>
      <c r="G422" s="163"/>
      <c r="H422" s="162"/>
      <c r="I422" s="163"/>
      <c r="J422" s="163"/>
      <c r="K422" s="145"/>
      <c r="L422" s="57"/>
    </row>
    <row r="423" spans="1:12" ht="12">
      <c r="A423" s="72">
        <v>22</v>
      </c>
      <c r="B423" s="47"/>
      <c r="D423" s="72">
        <v>22</v>
      </c>
      <c r="E423" s="72"/>
      <c r="F423" s="162"/>
      <c r="G423" s="163"/>
      <c r="H423" s="162"/>
      <c r="I423" s="163"/>
      <c r="J423" s="163"/>
      <c r="K423" s="145"/>
      <c r="L423" s="57"/>
    </row>
    <row r="424" spans="1:12" ht="12">
      <c r="A424" s="72">
        <v>23</v>
      </c>
      <c r="B424" s="47"/>
      <c r="D424" s="72">
        <v>23</v>
      </c>
      <c r="E424" s="72"/>
      <c r="F424" s="162"/>
      <c r="G424" s="163"/>
      <c r="H424" s="162"/>
      <c r="I424" s="163"/>
      <c r="J424" s="163"/>
      <c r="K424" s="145"/>
      <c r="L424" s="57"/>
    </row>
    <row r="425" spans="1:12" ht="12">
      <c r="A425" s="72">
        <v>24</v>
      </c>
      <c r="B425" s="47"/>
      <c r="D425" s="72">
        <v>24</v>
      </c>
      <c r="E425" s="72"/>
      <c r="F425" s="162"/>
      <c r="G425" s="163"/>
      <c r="H425" s="162"/>
      <c r="I425" s="163"/>
      <c r="J425" s="163"/>
      <c r="K425" s="145"/>
      <c r="L425" s="57"/>
    </row>
    <row r="426" spans="1:12" ht="12">
      <c r="A426" s="72"/>
      <c r="B426" s="47"/>
      <c r="D426" s="72"/>
      <c r="E426" s="72"/>
      <c r="F426" s="162"/>
      <c r="G426" s="163"/>
      <c r="H426" s="162"/>
      <c r="I426" s="163"/>
      <c r="J426" s="163"/>
      <c r="K426" s="145"/>
      <c r="L426" s="57"/>
    </row>
    <row r="427" spans="1:12" ht="12">
      <c r="A427" s="72"/>
      <c r="D427" s="72"/>
      <c r="E427" s="72"/>
      <c r="F427" s="162"/>
      <c r="G427" s="163"/>
      <c r="H427" s="162"/>
      <c r="I427" s="163"/>
      <c r="J427" s="163"/>
      <c r="K427" s="145"/>
      <c r="L427" s="57"/>
    </row>
    <row r="428" spans="1:12" ht="12">
      <c r="A428" s="72"/>
      <c r="D428" s="72"/>
      <c r="E428" s="72"/>
      <c r="F428" s="150"/>
      <c r="G428" s="71"/>
      <c r="H428" s="162"/>
      <c r="I428" s="71"/>
      <c r="J428" s="71"/>
      <c r="K428" s="145"/>
      <c r="L428" s="57"/>
    </row>
    <row r="429" spans="1:12" ht="13.5" customHeight="1">
      <c r="A429" s="72">
        <v>25</v>
      </c>
      <c r="B429" s="47" t="s">
        <v>466</v>
      </c>
      <c r="D429" s="72">
        <v>25</v>
      </c>
      <c r="E429" s="72"/>
      <c r="F429" s="166">
        <v>585.835727058245</v>
      </c>
      <c r="G429" s="159">
        <v>75285685</v>
      </c>
      <c r="H429" s="162">
        <v>570.1951937034913</v>
      </c>
      <c r="I429" s="159">
        <v>78038529</v>
      </c>
      <c r="J429" s="159"/>
      <c r="K429" s="145">
        <v>571.3058944644706</v>
      </c>
      <c r="L429" s="75">
        <v>78761531</v>
      </c>
    </row>
    <row r="430" spans="6:10" ht="12">
      <c r="F430" s="95"/>
      <c r="G430" s="71"/>
      <c r="H430" s="95"/>
      <c r="I430" s="71"/>
      <c r="J430" s="71"/>
    </row>
    <row r="431" spans="1:12" s="93" customFormat="1" ht="12">
      <c r="A431" s="91" t="s">
        <v>550</v>
      </c>
      <c r="D431" s="112"/>
      <c r="E431" s="112"/>
      <c r="F431" s="113"/>
      <c r="G431" s="114"/>
      <c r="H431" s="113"/>
      <c r="J431" s="92"/>
      <c r="L431" s="92" t="s">
        <v>265</v>
      </c>
    </row>
    <row r="432" spans="1:12" s="93" customFormat="1" ht="12">
      <c r="A432" s="472" t="s">
        <v>266</v>
      </c>
      <c r="B432" s="472"/>
      <c r="C432" s="472"/>
      <c r="D432" s="472"/>
      <c r="E432" s="472"/>
      <c r="F432" s="472"/>
      <c r="G432" s="472"/>
      <c r="H432" s="472"/>
      <c r="I432" s="472"/>
      <c r="J432" s="472"/>
      <c r="K432" s="472"/>
      <c r="L432" s="472"/>
    </row>
    <row r="433" spans="1:12" ht="12">
      <c r="A433" s="91" t="s">
        <v>551</v>
      </c>
      <c r="F433" s="147"/>
      <c r="G433" s="148"/>
      <c r="H433" s="84"/>
      <c r="I433" s="94"/>
      <c r="J433" s="94"/>
      <c r="L433" s="94" t="s">
        <v>71</v>
      </c>
    </row>
    <row r="434" spans="1:12" ht="12">
      <c r="A434" s="45" t="s">
        <v>1</v>
      </c>
      <c r="B434" s="45" t="s">
        <v>1</v>
      </c>
      <c r="C434" s="45" t="s">
        <v>1</v>
      </c>
      <c r="D434" s="45" t="s">
        <v>1</v>
      </c>
      <c r="E434" s="45"/>
      <c r="F434" s="95" t="s">
        <v>1</v>
      </c>
      <c r="G434" s="71" t="s">
        <v>1</v>
      </c>
      <c r="H434" s="95" t="s">
        <v>1</v>
      </c>
      <c r="I434" s="71" t="s">
        <v>1</v>
      </c>
      <c r="J434" s="71"/>
      <c r="K434" s="71" t="s">
        <v>1</v>
      </c>
      <c r="L434" s="71" t="s">
        <v>1</v>
      </c>
    </row>
    <row r="435" spans="1:12" ht="12">
      <c r="A435" s="59" t="s">
        <v>2</v>
      </c>
      <c r="D435" s="59" t="s">
        <v>2</v>
      </c>
      <c r="E435" s="59"/>
      <c r="F435" s="96"/>
      <c r="G435" s="87" t="s">
        <v>62</v>
      </c>
      <c r="H435" s="96"/>
      <c r="I435" s="87" t="s">
        <v>65</v>
      </c>
      <c r="J435" s="87"/>
      <c r="L435" s="77" t="s">
        <v>70</v>
      </c>
    </row>
    <row r="436" spans="1:12" ht="12">
      <c r="A436" s="59" t="s">
        <v>4</v>
      </c>
      <c r="B436" s="80" t="s">
        <v>18</v>
      </c>
      <c r="D436" s="59" t="s">
        <v>4</v>
      </c>
      <c r="E436" s="59"/>
      <c r="F436" s="96" t="s">
        <v>6</v>
      </c>
      <c r="G436" s="87" t="s">
        <v>7</v>
      </c>
      <c r="H436" s="96" t="s">
        <v>6</v>
      </c>
      <c r="I436" s="87" t="s">
        <v>7</v>
      </c>
      <c r="J436" s="87"/>
      <c r="K436" s="77" t="s">
        <v>19</v>
      </c>
      <c r="L436" s="77" t="s">
        <v>8</v>
      </c>
    </row>
    <row r="437" spans="1:12" ht="12">
      <c r="A437" s="45" t="s">
        <v>1</v>
      </c>
      <c r="B437" s="45" t="s">
        <v>1</v>
      </c>
      <c r="C437" s="45" t="s">
        <v>1</v>
      </c>
      <c r="D437" s="45" t="s">
        <v>1</v>
      </c>
      <c r="E437" s="45"/>
      <c r="F437" s="95" t="s">
        <v>1</v>
      </c>
      <c r="G437" s="71" t="s">
        <v>1</v>
      </c>
      <c r="H437" s="95" t="s">
        <v>1</v>
      </c>
      <c r="I437" s="71" t="s">
        <v>1</v>
      </c>
      <c r="J437" s="71"/>
      <c r="K437" s="71" t="s">
        <v>1</v>
      </c>
      <c r="L437" s="71" t="s">
        <v>1</v>
      </c>
    </row>
    <row r="438" spans="1:12" ht="12">
      <c r="A438" s="72">
        <v>1</v>
      </c>
      <c r="B438" s="47" t="s">
        <v>276</v>
      </c>
      <c r="D438" s="72">
        <v>1</v>
      </c>
      <c r="E438" s="72"/>
      <c r="F438" s="171"/>
      <c r="G438" s="163">
        <v>30448</v>
      </c>
      <c r="H438" s="171">
        <v>1.238121301775148</v>
      </c>
      <c r="I438" s="163">
        <v>83697</v>
      </c>
      <c r="J438" s="163"/>
      <c r="K438" s="145">
        <v>0.07396449704142012</v>
      </c>
      <c r="L438" s="57">
        <v>5000</v>
      </c>
    </row>
    <row r="439" spans="1:12" ht="12">
      <c r="A439" s="72">
        <v>2</v>
      </c>
      <c r="B439" s="47" t="s">
        <v>268</v>
      </c>
      <c r="D439" s="72">
        <v>2</v>
      </c>
      <c r="E439" s="72"/>
      <c r="F439" s="171"/>
      <c r="G439" s="163">
        <v>7476</v>
      </c>
      <c r="H439" s="171"/>
      <c r="I439" s="163">
        <v>19115</v>
      </c>
      <c r="J439" s="163"/>
      <c r="L439" s="57">
        <v>1200</v>
      </c>
    </row>
    <row r="440" spans="1:12" ht="12">
      <c r="A440" s="72">
        <v>3</v>
      </c>
      <c r="B440" s="47" t="s">
        <v>269</v>
      </c>
      <c r="D440" s="72">
        <v>3</v>
      </c>
      <c r="E440" s="72"/>
      <c r="F440" s="171">
        <v>0</v>
      </c>
      <c r="G440" s="163"/>
      <c r="H440" s="171">
        <v>0</v>
      </c>
      <c r="I440" s="163">
        <v>0</v>
      </c>
      <c r="J440" s="163"/>
      <c r="L440" s="57"/>
    </row>
    <row r="441" spans="1:12" ht="12">
      <c r="A441" s="72">
        <v>4</v>
      </c>
      <c r="B441" s="47" t="s">
        <v>270</v>
      </c>
      <c r="D441" s="72">
        <v>4</v>
      </c>
      <c r="E441" s="72"/>
      <c r="F441" s="171">
        <v>0</v>
      </c>
      <c r="G441" s="163">
        <v>37924</v>
      </c>
      <c r="H441" s="171">
        <v>1.238121301775148</v>
      </c>
      <c r="I441" s="163">
        <v>102812</v>
      </c>
      <c r="J441" s="163"/>
      <c r="K441" s="171">
        <v>0.07396449704142012</v>
      </c>
      <c r="L441" s="57">
        <v>6200</v>
      </c>
    </row>
    <row r="442" spans="1:12" ht="12">
      <c r="A442" s="72">
        <v>5</v>
      </c>
      <c r="D442" s="72">
        <v>5</v>
      </c>
      <c r="E442" s="72"/>
      <c r="F442" s="171"/>
      <c r="G442" s="163"/>
      <c r="H442" s="171"/>
      <c r="I442" s="163"/>
      <c r="J442" s="163"/>
      <c r="L442" s="57"/>
    </row>
    <row r="443" spans="1:12" ht="12">
      <c r="A443" s="72">
        <v>6</v>
      </c>
      <c r="B443" s="47" t="s">
        <v>252</v>
      </c>
      <c r="D443" s="72">
        <v>6</v>
      </c>
      <c r="E443" s="72"/>
      <c r="F443" s="171">
        <v>0</v>
      </c>
      <c r="G443" s="163"/>
      <c r="H443" s="171">
        <v>0</v>
      </c>
      <c r="I443" s="163"/>
      <c r="J443" s="163"/>
      <c r="L443" s="57"/>
    </row>
    <row r="444" spans="1:12" ht="12">
      <c r="A444" s="72">
        <v>7</v>
      </c>
      <c r="B444" s="47" t="s">
        <v>253</v>
      </c>
      <c r="D444" s="72">
        <v>7</v>
      </c>
      <c r="E444" s="72"/>
      <c r="F444" s="171">
        <v>0</v>
      </c>
      <c r="G444" s="163"/>
      <c r="H444" s="171">
        <v>0</v>
      </c>
      <c r="I444" s="163">
        <v>0</v>
      </c>
      <c r="J444" s="163"/>
      <c r="L444" s="57"/>
    </row>
    <row r="445" spans="1:12" ht="12">
      <c r="A445" s="72">
        <v>8</v>
      </c>
      <c r="B445" s="47" t="s">
        <v>254</v>
      </c>
      <c r="D445" s="72">
        <v>8</v>
      </c>
      <c r="E445" s="72"/>
      <c r="F445" s="171"/>
      <c r="G445" s="163">
        <v>0</v>
      </c>
      <c r="H445" s="171"/>
      <c r="I445" s="163">
        <v>0</v>
      </c>
      <c r="J445" s="163"/>
      <c r="L445" s="57"/>
    </row>
    <row r="446" spans="1:12" ht="12">
      <c r="A446" s="72">
        <v>9</v>
      </c>
      <c r="B446" s="47" t="s">
        <v>255</v>
      </c>
      <c r="D446" s="72">
        <v>9</v>
      </c>
      <c r="E446" s="72"/>
      <c r="F446" s="171">
        <v>0</v>
      </c>
      <c r="G446" s="163">
        <v>0</v>
      </c>
      <c r="H446" s="171">
        <v>0</v>
      </c>
      <c r="I446" s="163">
        <v>0</v>
      </c>
      <c r="J446" s="163"/>
      <c r="K446" s="171">
        <v>0</v>
      </c>
      <c r="L446" s="57">
        <v>0</v>
      </c>
    </row>
    <row r="447" spans="1:12" ht="12">
      <c r="A447" s="72">
        <v>10</v>
      </c>
      <c r="D447" s="72">
        <v>10</v>
      </c>
      <c r="E447" s="72"/>
      <c r="F447" s="144"/>
      <c r="G447" s="163"/>
      <c r="H447" s="144"/>
      <c r="I447" s="163"/>
      <c r="J447" s="163"/>
      <c r="L447" s="57"/>
    </row>
    <row r="448" spans="1:12" ht="12">
      <c r="A448" s="72">
        <v>11</v>
      </c>
      <c r="B448" s="47" t="s">
        <v>256</v>
      </c>
      <c r="D448" s="72">
        <v>11</v>
      </c>
      <c r="E448" s="72"/>
      <c r="F448" s="173">
        <v>0</v>
      </c>
      <c r="G448" s="159">
        <v>37924</v>
      </c>
      <c r="H448" s="173">
        <v>1.238121301775148</v>
      </c>
      <c r="I448" s="159">
        <v>102812</v>
      </c>
      <c r="J448" s="159"/>
      <c r="K448" s="173">
        <v>0.07396449704142012</v>
      </c>
      <c r="L448" s="57">
        <v>6200</v>
      </c>
    </row>
    <row r="449" spans="1:12" ht="12">
      <c r="A449" s="72">
        <v>12</v>
      </c>
      <c r="D449" s="72">
        <v>12</v>
      </c>
      <c r="E449" s="72"/>
      <c r="F449" s="173"/>
      <c r="G449" s="159"/>
      <c r="H449" s="173"/>
      <c r="I449" s="159"/>
      <c r="J449" s="159"/>
      <c r="L449" s="57"/>
    </row>
    <row r="450" spans="1:12" ht="12">
      <c r="A450" s="72">
        <v>13</v>
      </c>
      <c r="B450" s="47" t="s">
        <v>271</v>
      </c>
      <c r="D450" s="72">
        <v>13</v>
      </c>
      <c r="E450" s="72"/>
      <c r="F450" s="171"/>
      <c r="G450" s="163"/>
      <c r="H450" s="171"/>
      <c r="I450" s="163">
        <v>0</v>
      </c>
      <c r="J450" s="163"/>
      <c r="L450" s="57"/>
    </row>
    <row r="451" spans="1:12" ht="12">
      <c r="A451" s="72">
        <v>14</v>
      </c>
      <c r="D451" s="72">
        <v>14</v>
      </c>
      <c r="E451" s="72"/>
      <c r="F451" s="171"/>
      <c r="G451" s="163"/>
      <c r="H451" s="171"/>
      <c r="I451" s="163"/>
      <c r="J451" s="163"/>
      <c r="L451" s="57"/>
    </row>
    <row r="452" spans="1:12" ht="12">
      <c r="A452" s="72">
        <v>15</v>
      </c>
      <c r="B452" s="47" t="s">
        <v>258</v>
      </c>
      <c r="D452" s="72">
        <v>15</v>
      </c>
      <c r="E452" s="72"/>
      <c r="F452" s="171"/>
      <c r="G452" s="163">
        <v>1880</v>
      </c>
      <c r="H452" s="171"/>
      <c r="I452" s="163">
        <v>2015</v>
      </c>
      <c r="J452" s="163"/>
      <c r="L452" s="57"/>
    </row>
    <row r="453" spans="1:12" ht="12">
      <c r="A453" s="72">
        <v>16</v>
      </c>
      <c r="B453" s="47" t="s">
        <v>259</v>
      </c>
      <c r="D453" s="72">
        <v>16</v>
      </c>
      <c r="E453" s="72"/>
      <c r="F453" s="171"/>
      <c r="G453" s="163">
        <v>18526</v>
      </c>
      <c r="H453" s="171"/>
      <c r="I453" s="163">
        <v>51914</v>
      </c>
      <c r="J453" s="163"/>
      <c r="L453" s="57">
        <v>6692</v>
      </c>
    </row>
    <row r="454" spans="1:12" ht="12">
      <c r="A454" s="72"/>
      <c r="B454" s="47"/>
      <c r="D454" s="72"/>
      <c r="E454" s="72"/>
      <c r="F454" s="171"/>
      <c r="G454" s="163"/>
      <c r="H454" s="171"/>
      <c r="I454" s="163"/>
      <c r="J454" s="163"/>
      <c r="L454" s="57"/>
    </row>
    <row r="455" spans="1:12" ht="12">
      <c r="A455" s="72">
        <v>17</v>
      </c>
      <c r="B455" s="47" t="s">
        <v>278</v>
      </c>
      <c r="D455" s="72">
        <v>17</v>
      </c>
      <c r="E455" s="72"/>
      <c r="F455" s="171"/>
      <c r="G455" s="163"/>
      <c r="H455" s="171"/>
      <c r="I455" s="163">
        <v>0</v>
      </c>
      <c r="J455" s="163"/>
      <c r="L455" s="57"/>
    </row>
    <row r="456" spans="1:12" ht="12">
      <c r="A456" s="72">
        <v>18</v>
      </c>
      <c r="B456" s="47"/>
      <c r="D456" s="72">
        <v>18</v>
      </c>
      <c r="E456" s="72"/>
      <c r="F456" s="171"/>
      <c r="G456" s="158"/>
      <c r="H456" s="171"/>
      <c r="I456" s="158"/>
      <c r="J456" s="158"/>
      <c r="L456" s="57"/>
    </row>
    <row r="457" spans="1:12" ht="12">
      <c r="A457" s="72">
        <v>19</v>
      </c>
      <c r="B457" s="47"/>
      <c r="D457" s="72">
        <v>19</v>
      </c>
      <c r="E457" s="72"/>
      <c r="F457" s="171"/>
      <c r="G457" s="158"/>
      <c r="H457" s="171"/>
      <c r="I457" s="158"/>
      <c r="J457" s="158"/>
      <c r="L457" s="57"/>
    </row>
    <row r="458" spans="1:12" ht="12">
      <c r="A458" s="72">
        <v>20</v>
      </c>
      <c r="B458" s="47"/>
      <c r="D458" s="72">
        <v>20</v>
      </c>
      <c r="E458" s="72"/>
      <c r="F458" s="171"/>
      <c r="G458" s="158"/>
      <c r="H458" s="171"/>
      <c r="I458" s="158"/>
      <c r="J458" s="158"/>
      <c r="L458" s="57"/>
    </row>
    <row r="459" spans="1:12" ht="12">
      <c r="A459" s="72">
        <v>21</v>
      </c>
      <c r="B459" s="47"/>
      <c r="D459" s="72">
        <v>21</v>
      </c>
      <c r="E459" s="72"/>
      <c r="F459" s="171"/>
      <c r="G459" s="158"/>
      <c r="H459" s="171"/>
      <c r="I459" s="158"/>
      <c r="J459" s="158"/>
      <c r="L459" s="57"/>
    </row>
    <row r="460" spans="1:12" ht="12">
      <c r="A460" s="72">
        <v>22</v>
      </c>
      <c r="B460" s="47"/>
      <c r="D460" s="72">
        <v>22</v>
      </c>
      <c r="E460" s="72"/>
      <c r="F460" s="171"/>
      <c r="G460" s="158"/>
      <c r="H460" s="171"/>
      <c r="I460" s="158"/>
      <c r="J460" s="158"/>
      <c r="L460" s="57"/>
    </row>
    <row r="461" spans="1:12" ht="12">
      <c r="A461" s="72">
        <v>23</v>
      </c>
      <c r="B461" s="47"/>
      <c r="D461" s="72">
        <v>23</v>
      </c>
      <c r="E461" s="72"/>
      <c r="F461" s="171"/>
      <c r="G461" s="158"/>
      <c r="H461" s="171"/>
      <c r="I461" s="158"/>
      <c r="J461" s="158"/>
      <c r="L461" s="57"/>
    </row>
    <row r="462" spans="1:12" ht="12">
      <c r="A462" s="72">
        <v>24</v>
      </c>
      <c r="B462" s="47"/>
      <c r="D462" s="72">
        <v>24</v>
      </c>
      <c r="E462" s="72"/>
      <c r="F462" s="171"/>
      <c r="G462" s="158"/>
      <c r="H462" s="171"/>
      <c r="I462" s="158"/>
      <c r="J462" s="158"/>
      <c r="L462" s="57"/>
    </row>
    <row r="463" spans="1:12" ht="12">
      <c r="A463" s="72"/>
      <c r="D463" s="72"/>
      <c r="E463" s="71" t="s">
        <v>1</v>
      </c>
      <c r="F463" s="71" t="s">
        <v>1</v>
      </c>
      <c r="G463" s="71" t="s">
        <v>1</v>
      </c>
      <c r="H463" s="71" t="s">
        <v>1</v>
      </c>
      <c r="I463" s="71" t="s">
        <v>1</v>
      </c>
      <c r="J463" s="71"/>
      <c r="K463" s="71" t="s">
        <v>1</v>
      </c>
      <c r="L463" s="71" t="s">
        <v>1</v>
      </c>
    </row>
    <row r="464" spans="1:12" ht="13.5" customHeight="1">
      <c r="A464" s="72">
        <v>25</v>
      </c>
      <c r="B464" s="47" t="s">
        <v>468</v>
      </c>
      <c r="D464" s="72">
        <v>25</v>
      </c>
      <c r="E464" s="72"/>
      <c r="F464" s="173">
        <v>0</v>
      </c>
      <c r="G464" s="159">
        <v>58330</v>
      </c>
      <c r="H464" s="173">
        <v>1.238121301775148</v>
      </c>
      <c r="I464" s="159">
        <v>156741</v>
      </c>
      <c r="J464" s="159"/>
      <c r="K464" s="173">
        <v>0.07396449704142012</v>
      </c>
      <c r="L464" s="159">
        <v>12892</v>
      </c>
    </row>
    <row r="465" spans="4:12" ht="12">
      <c r="D465" s="68"/>
      <c r="E465" s="95" t="s">
        <v>1</v>
      </c>
      <c r="F465" s="95" t="s">
        <v>1</v>
      </c>
      <c r="G465" s="71" t="s">
        <v>1</v>
      </c>
      <c r="H465" s="95" t="s">
        <v>1</v>
      </c>
      <c r="I465" s="71" t="s">
        <v>1</v>
      </c>
      <c r="J465" s="71"/>
      <c r="K465" s="71" t="s">
        <v>1</v>
      </c>
      <c r="L465" s="71" t="s">
        <v>1</v>
      </c>
    </row>
    <row r="466" spans="7:10" ht="12">
      <c r="G466" s="58"/>
      <c r="I466" s="58"/>
      <c r="J466" s="58"/>
    </row>
    <row r="467" spans="1:12" s="93" customFormat="1" ht="12">
      <c r="A467" s="91" t="s">
        <v>550</v>
      </c>
      <c r="D467" s="112"/>
      <c r="E467" s="112"/>
      <c r="F467" s="113"/>
      <c r="G467" s="114"/>
      <c r="H467" s="113"/>
      <c r="J467" s="92"/>
      <c r="L467" s="92" t="s">
        <v>274</v>
      </c>
    </row>
    <row r="468" spans="1:12" s="93" customFormat="1" ht="12">
      <c r="A468" s="472" t="s">
        <v>275</v>
      </c>
      <c r="B468" s="472"/>
      <c r="C468" s="472"/>
      <c r="D468" s="472"/>
      <c r="E468" s="472"/>
      <c r="F468" s="472"/>
      <c r="G468" s="472"/>
      <c r="H468" s="472"/>
      <c r="I468" s="472"/>
      <c r="J468" s="472"/>
      <c r="K468" s="472"/>
      <c r="L468" s="472"/>
    </row>
    <row r="469" spans="1:12" ht="12">
      <c r="A469" s="91" t="s">
        <v>551</v>
      </c>
      <c r="F469" s="161"/>
      <c r="G469" s="148"/>
      <c r="H469" s="84"/>
      <c r="I469" s="94"/>
      <c r="J469" s="94"/>
      <c r="L469" s="94" t="s">
        <v>71</v>
      </c>
    </row>
    <row r="470" spans="1:12" ht="12">
      <c r="A470" s="45" t="s">
        <v>1</v>
      </c>
      <c r="B470" s="45" t="s">
        <v>1</v>
      </c>
      <c r="C470" s="45" t="s">
        <v>1</v>
      </c>
      <c r="D470" s="45" t="s">
        <v>1</v>
      </c>
      <c r="E470" s="45"/>
      <c r="F470" s="95" t="s">
        <v>1</v>
      </c>
      <c r="G470" s="71" t="s">
        <v>1</v>
      </c>
      <c r="H470" s="95" t="s">
        <v>1</v>
      </c>
      <c r="I470" s="71" t="s">
        <v>1</v>
      </c>
      <c r="J470" s="71"/>
      <c r="K470" s="71" t="s">
        <v>1</v>
      </c>
      <c r="L470" s="71" t="s">
        <v>1</v>
      </c>
    </row>
    <row r="471" spans="1:12" ht="12">
      <c r="A471" s="59" t="s">
        <v>2</v>
      </c>
      <c r="D471" s="59" t="s">
        <v>2</v>
      </c>
      <c r="E471" s="59"/>
      <c r="F471" s="96"/>
      <c r="G471" s="87" t="s">
        <v>62</v>
      </c>
      <c r="H471" s="96"/>
      <c r="I471" s="87" t="s">
        <v>65</v>
      </c>
      <c r="J471" s="87"/>
      <c r="L471" s="77" t="s">
        <v>70</v>
      </c>
    </row>
    <row r="472" spans="1:12" ht="12">
      <c r="A472" s="59" t="s">
        <v>4</v>
      </c>
      <c r="B472" s="80" t="s">
        <v>18</v>
      </c>
      <c r="D472" s="59" t="s">
        <v>4</v>
      </c>
      <c r="E472" s="59"/>
      <c r="F472" s="96" t="s">
        <v>6</v>
      </c>
      <c r="G472" s="87" t="s">
        <v>7</v>
      </c>
      <c r="H472" s="96" t="s">
        <v>6</v>
      </c>
      <c r="I472" s="87" t="s">
        <v>7</v>
      </c>
      <c r="J472" s="87"/>
      <c r="K472" s="77" t="s">
        <v>19</v>
      </c>
      <c r="L472" s="77" t="s">
        <v>8</v>
      </c>
    </row>
    <row r="473" spans="1:12" ht="12">
      <c r="A473" s="45" t="s">
        <v>1</v>
      </c>
      <c r="B473" s="45" t="s">
        <v>1</v>
      </c>
      <c r="C473" s="45" t="s">
        <v>1</v>
      </c>
      <c r="D473" s="45" t="s">
        <v>1</v>
      </c>
      <c r="E473" s="45"/>
      <c r="F473" s="95" t="s">
        <v>1</v>
      </c>
      <c r="G473" s="71" t="s">
        <v>1</v>
      </c>
      <c r="H473" s="95" t="s">
        <v>1</v>
      </c>
      <c r="I473" s="71" t="s">
        <v>1</v>
      </c>
      <c r="J473" s="71"/>
      <c r="K473" s="71" t="s">
        <v>1</v>
      </c>
      <c r="L473" s="71" t="s">
        <v>1</v>
      </c>
    </row>
    <row r="474" spans="1:10" ht="12">
      <c r="A474" s="72">
        <v>1</v>
      </c>
      <c r="B474" s="47" t="s">
        <v>276</v>
      </c>
      <c r="D474" s="72">
        <v>1</v>
      </c>
      <c r="E474" s="72"/>
      <c r="F474" s="205"/>
      <c r="G474" s="163">
        <v>36619</v>
      </c>
      <c r="H474" s="124">
        <v>0</v>
      </c>
      <c r="I474" s="163">
        <v>6109</v>
      </c>
      <c r="J474" s="163"/>
    </row>
    <row r="475" spans="1:10" ht="12">
      <c r="A475" s="72">
        <v>2</v>
      </c>
      <c r="B475" s="47" t="s">
        <v>268</v>
      </c>
      <c r="D475" s="72">
        <v>2</v>
      </c>
      <c r="E475" s="72"/>
      <c r="F475" s="205"/>
      <c r="G475" s="125">
        <v>10155</v>
      </c>
      <c r="H475" s="124"/>
      <c r="I475" s="125">
        <v>1715</v>
      </c>
      <c r="J475" s="125"/>
    </row>
    <row r="476" spans="1:10" ht="12">
      <c r="A476" s="72">
        <v>3</v>
      </c>
      <c r="D476" s="72">
        <v>3</v>
      </c>
      <c r="E476" s="72"/>
      <c r="F476" s="205"/>
      <c r="G476" s="125"/>
      <c r="H476" s="124"/>
      <c r="I476" s="125"/>
      <c r="J476" s="125"/>
    </row>
    <row r="477" spans="1:12" ht="12">
      <c r="A477" s="72">
        <v>4</v>
      </c>
      <c r="B477" s="47" t="s">
        <v>270</v>
      </c>
      <c r="D477" s="72">
        <v>4</v>
      </c>
      <c r="E477" s="72"/>
      <c r="F477" s="205">
        <v>0</v>
      </c>
      <c r="G477" s="125">
        <v>46774</v>
      </c>
      <c r="H477" s="124">
        <v>0</v>
      </c>
      <c r="I477" s="125">
        <v>7824</v>
      </c>
      <c r="J477" s="125"/>
      <c r="K477" s="124">
        <v>0</v>
      </c>
      <c r="L477" s="125">
        <v>0</v>
      </c>
    </row>
    <row r="478" spans="1:10" ht="12">
      <c r="A478" s="72">
        <v>5</v>
      </c>
      <c r="D478" s="72">
        <v>5</v>
      </c>
      <c r="E478" s="72"/>
      <c r="F478" s="205"/>
      <c r="G478" s="125"/>
      <c r="H478" s="124"/>
      <c r="I478" s="125"/>
      <c r="J478" s="125"/>
    </row>
    <row r="479" spans="1:10" ht="12">
      <c r="A479" s="72">
        <v>6</v>
      </c>
      <c r="D479" s="72">
        <v>6</v>
      </c>
      <c r="E479" s="72"/>
      <c r="F479" s="205"/>
      <c r="G479" s="125"/>
      <c r="H479" s="124"/>
      <c r="I479" s="125"/>
      <c r="J479" s="125"/>
    </row>
    <row r="480" spans="1:10" ht="12">
      <c r="A480" s="72">
        <v>7</v>
      </c>
      <c r="B480" s="47" t="s">
        <v>253</v>
      </c>
      <c r="D480" s="72">
        <v>7</v>
      </c>
      <c r="E480" s="72"/>
      <c r="F480" s="205">
        <v>0</v>
      </c>
      <c r="G480" s="125">
        <v>8567</v>
      </c>
      <c r="H480" s="124">
        <v>0</v>
      </c>
      <c r="I480" s="125"/>
      <c r="J480" s="125"/>
    </row>
    <row r="481" spans="1:10" ht="12">
      <c r="A481" s="72">
        <v>8</v>
      </c>
      <c r="B481" s="47" t="s">
        <v>254</v>
      </c>
      <c r="D481" s="72">
        <v>8</v>
      </c>
      <c r="E481" s="72"/>
      <c r="F481" s="205"/>
      <c r="G481" s="125">
        <v>1997</v>
      </c>
      <c r="H481" s="124"/>
      <c r="I481" s="125">
        <v>0</v>
      </c>
      <c r="J481" s="125"/>
    </row>
    <row r="482" spans="1:12" ht="12">
      <c r="A482" s="72">
        <v>9</v>
      </c>
      <c r="B482" s="47" t="s">
        <v>255</v>
      </c>
      <c r="D482" s="72">
        <v>9</v>
      </c>
      <c r="E482" s="72"/>
      <c r="F482" s="205">
        <v>0</v>
      </c>
      <c r="G482" s="125">
        <v>10564</v>
      </c>
      <c r="H482" s="124">
        <v>0</v>
      </c>
      <c r="I482" s="125">
        <v>0</v>
      </c>
      <c r="J482" s="125"/>
      <c r="K482" s="124">
        <v>0</v>
      </c>
      <c r="L482" s="125">
        <v>0</v>
      </c>
    </row>
    <row r="483" spans="1:10" ht="12">
      <c r="A483" s="72">
        <v>10</v>
      </c>
      <c r="D483" s="72">
        <v>10</v>
      </c>
      <c r="E483" s="72"/>
      <c r="F483" s="205"/>
      <c r="G483" s="125"/>
      <c r="H483" s="124"/>
      <c r="I483" s="125"/>
      <c r="J483" s="125"/>
    </row>
    <row r="484" spans="1:12" ht="12">
      <c r="A484" s="72">
        <v>11</v>
      </c>
      <c r="B484" s="47" t="s">
        <v>256</v>
      </c>
      <c r="D484" s="72">
        <v>11</v>
      </c>
      <c r="E484" s="72"/>
      <c r="F484" s="203">
        <v>0</v>
      </c>
      <c r="G484" s="122">
        <v>57338</v>
      </c>
      <c r="H484" s="121">
        <v>0</v>
      </c>
      <c r="I484" s="122">
        <v>7824</v>
      </c>
      <c r="J484" s="122"/>
      <c r="K484" s="121">
        <v>0</v>
      </c>
      <c r="L484" s="122">
        <v>0</v>
      </c>
    </row>
    <row r="485" spans="1:10" ht="12">
      <c r="A485" s="72">
        <v>12</v>
      </c>
      <c r="D485" s="72">
        <v>12</v>
      </c>
      <c r="E485" s="72"/>
      <c r="F485" s="203"/>
      <c r="G485" s="122"/>
      <c r="H485" s="121"/>
      <c r="I485" s="122"/>
      <c r="J485" s="122"/>
    </row>
    <row r="486" spans="1:10" ht="12">
      <c r="A486" s="72">
        <v>13</v>
      </c>
      <c r="B486" s="47" t="s">
        <v>277</v>
      </c>
      <c r="D486" s="72">
        <v>13</v>
      </c>
      <c r="E486" s="72"/>
      <c r="F486" s="176"/>
      <c r="G486" s="125"/>
      <c r="H486" s="124"/>
      <c r="I486" s="125">
        <v>0</v>
      </c>
      <c r="J486" s="125"/>
    </row>
    <row r="487" spans="1:10" ht="12">
      <c r="A487" s="72">
        <v>14</v>
      </c>
      <c r="D487" s="72">
        <v>14</v>
      </c>
      <c r="E487" s="72"/>
      <c r="F487" s="176"/>
      <c r="G487" s="125"/>
      <c r="H487" s="124"/>
      <c r="I487" s="125"/>
      <c r="J487" s="125"/>
    </row>
    <row r="488" spans="1:10" ht="12">
      <c r="A488" s="72">
        <v>15</v>
      </c>
      <c r="B488" s="47" t="s">
        <v>258</v>
      </c>
      <c r="D488" s="72">
        <v>15</v>
      </c>
      <c r="E488" s="72"/>
      <c r="F488" s="176"/>
      <c r="G488" s="125"/>
      <c r="H488" s="124"/>
      <c r="I488" s="125">
        <v>0</v>
      </c>
      <c r="J488" s="125"/>
    </row>
    <row r="489" spans="1:12" ht="12">
      <c r="A489" s="72">
        <v>16</v>
      </c>
      <c r="B489" s="47" t="s">
        <v>259</v>
      </c>
      <c r="D489" s="72">
        <v>16</v>
      </c>
      <c r="E489" s="72"/>
      <c r="F489" s="176"/>
      <c r="G489" s="125">
        <v>320</v>
      </c>
      <c r="H489" s="124"/>
      <c r="I489" s="125">
        <v>10204</v>
      </c>
      <c r="J489" s="125"/>
      <c r="L489" s="82">
        <v>2613</v>
      </c>
    </row>
    <row r="490" spans="1:10" ht="12">
      <c r="A490" s="72"/>
      <c r="B490" s="47"/>
      <c r="D490" s="72"/>
      <c r="E490" s="72"/>
      <c r="F490" s="176"/>
      <c r="G490" s="125"/>
      <c r="H490" s="124"/>
      <c r="I490" s="125"/>
      <c r="J490" s="125"/>
    </row>
    <row r="491" spans="1:10" ht="12">
      <c r="A491" s="72">
        <v>17</v>
      </c>
      <c r="B491" s="47" t="s">
        <v>278</v>
      </c>
      <c r="D491" s="72">
        <v>17</v>
      </c>
      <c r="E491" s="72"/>
      <c r="F491" s="176"/>
      <c r="G491" s="125"/>
      <c r="H491" s="124"/>
      <c r="I491" s="125">
        <v>0</v>
      </c>
      <c r="J491" s="125"/>
    </row>
    <row r="492" spans="1:10" ht="12">
      <c r="A492" s="72">
        <v>18</v>
      </c>
      <c r="B492" s="47"/>
      <c r="D492" s="72">
        <v>18</v>
      </c>
      <c r="E492" s="72"/>
      <c r="F492" s="176"/>
      <c r="G492" s="125"/>
      <c r="H492" s="124"/>
      <c r="I492" s="125"/>
      <c r="J492" s="125"/>
    </row>
    <row r="493" spans="1:10" ht="12">
      <c r="A493" s="72">
        <v>19</v>
      </c>
      <c r="B493" s="47"/>
      <c r="D493" s="72">
        <v>19</v>
      </c>
      <c r="E493" s="72"/>
      <c r="F493" s="176"/>
      <c r="G493" s="125"/>
      <c r="H493" s="124"/>
      <c r="I493" s="125"/>
      <c r="J493" s="125"/>
    </row>
    <row r="494" spans="1:10" ht="12">
      <c r="A494" s="72">
        <v>20</v>
      </c>
      <c r="B494" s="47"/>
      <c r="D494" s="72">
        <v>20</v>
      </c>
      <c r="E494" s="72"/>
      <c r="F494" s="176"/>
      <c r="G494" s="125"/>
      <c r="H494" s="124"/>
      <c r="I494" s="125"/>
      <c r="J494" s="125"/>
    </row>
    <row r="495" spans="1:10" ht="12">
      <c r="A495" s="72">
        <v>21</v>
      </c>
      <c r="B495" s="47"/>
      <c r="D495" s="72">
        <v>21</v>
      </c>
      <c r="E495" s="72"/>
      <c r="F495" s="176"/>
      <c r="G495" s="125"/>
      <c r="H495" s="124"/>
      <c r="I495" s="125"/>
      <c r="J495" s="125"/>
    </row>
    <row r="496" spans="1:10" ht="12">
      <c r="A496" s="72">
        <v>22</v>
      </c>
      <c r="B496" s="47"/>
      <c r="D496" s="72">
        <v>22</v>
      </c>
      <c r="E496" s="72"/>
      <c r="F496" s="176"/>
      <c r="G496" s="125"/>
      <c r="H496" s="124"/>
      <c r="I496" s="125"/>
      <c r="J496" s="125"/>
    </row>
    <row r="497" spans="1:10" ht="12">
      <c r="A497" s="72">
        <v>23</v>
      </c>
      <c r="B497" s="47"/>
      <c r="D497" s="72">
        <v>23</v>
      </c>
      <c r="E497" s="72"/>
      <c r="F497" s="176"/>
      <c r="G497" s="125"/>
      <c r="H497" s="124"/>
      <c r="I497" s="125"/>
      <c r="J497" s="125"/>
    </row>
    <row r="498" spans="1:10" ht="12">
      <c r="A498" s="72">
        <v>24</v>
      </c>
      <c r="B498" s="47"/>
      <c r="D498" s="72">
        <v>24</v>
      </c>
      <c r="E498" s="72"/>
      <c r="F498" s="176"/>
      <c r="G498" s="125"/>
      <c r="H498" s="124"/>
      <c r="I498" s="125"/>
      <c r="J498" s="125"/>
    </row>
    <row r="499" spans="4:12" ht="12">
      <c r="D499" s="68"/>
      <c r="E499" s="71" t="s">
        <v>1</v>
      </c>
      <c r="F499" s="71" t="s">
        <v>1</v>
      </c>
      <c r="G499" s="71" t="s">
        <v>1</v>
      </c>
      <c r="H499" s="71" t="s">
        <v>1</v>
      </c>
      <c r="I499" s="71" t="s">
        <v>1</v>
      </c>
      <c r="J499" s="71"/>
      <c r="K499" s="71" t="s">
        <v>1</v>
      </c>
      <c r="L499" s="71" t="s">
        <v>1</v>
      </c>
    </row>
    <row r="500" spans="1:12" ht="13.5" customHeight="1">
      <c r="A500" s="72">
        <v>25</v>
      </c>
      <c r="B500" s="47" t="s">
        <v>469</v>
      </c>
      <c r="D500" s="72">
        <v>25</v>
      </c>
      <c r="E500" s="72"/>
      <c r="F500" s="177">
        <v>0</v>
      </c>
      <c r="G500" s="122">
        <v>57658</v>
      </c>
      <c r="H500" s="121">
        <v>0</v>
      </c>
      <c r="I500" s="122">
        <v>18028</v>
      </c>
      <c r="J500" s="122"/>
      <c r="K500" s="159">
        <v>0</v>
      </c>
      <c r="L500" s="159">
        <v>2613</v>
      </c>
    </row>
    <row r="501" spans="4:12" ht="12">
      <c r="D501" s="68"/>
      <c r="E501" s="95" t="s">
        <v>1</v>
      </c>
      <c r="F501" s="95" t="s">
        <v>1</v>
      </c>
      <c r="G501" s="71" t="s">
        <v>1</v>
      </c>
      <c r="H501" s="95" t="s">
        <v>1</v>
      </c>
      <c r="I501" s="71" t="s">
        <v>1</v>
      </c>
      <c r="J501" s="71"/>
      <c r="K501" s="71" t="s">
        <v>1</v>
      </c>
      <c r="L501" s="71" t="s">
        <v>1</v>
      </c>
    </row>
    <row r="502" spans="7:10" ht="12">
      <c r="G502" s="58"/>
      <c r="I502" s="58"/>
      <c r="J502" s="58"/>
    </row>
    <row r="503" spans="1:12" s="93" customFormat="1" ht="12">
      <c r="A503" s="91" t="s">
        <v>550</v>
      </c>
      <c r="D503" s="112"/>
      <c r="E503" s="112"/>
      <c r="F503" s="113"/>
      <c r="G503" s="114"/>
      <c r="H503" s="113"/>
      <c r="J503" s="92"/>
      <c r="L503" s="92" t="s">
        <v>281</v>
      </c>
    </row>
    <row r="504" spans="1:12" s="93" customFormat="1" ht="12">
      <c r="A504" s="472" t="s">
        <v>282</v>
      </c>
      <c r="B504" s="472"/>
      <c r="C504" s="472"/>
      <c r="D504" s="472"/>
      <c r="E504" s="472"/>
      <c r="F504" s="472"/>
      <c r="G504" s="472"/>
      <c r="H504" s="472"/>
      <c r="I504" s="472"/>
      <c r="J504" s="472"/>
      <c r="K504" s="472"/>
      <c r="L504" s="472"/>
    </row>
    <row r="505" spans="1:12" ht="12">
      <c r="A505" s="91" t="s">
        <v>551</v>
      </c>
      <c r="F505" s="161"/>
      <c r="G505" s="148"/>
      <c r="H505" s="84"/>
      <c r="I505" s="94"/>
      <c r="J505" s="94"/>
      <c r="L505" s="94" t="s">
        <v>71</v>
      </c>
    </row>
    <row r="506" spans="1:12" ht="12">
      <c r="A506" s="45" t="s">
        <v>1</v>
      </c>
      <c r="B506" s="45" t="s">
        <v>1</v>
      </c>
      <c r="C506" s="45" t="s">
        <v>1</v>
      </c>
      <c r="D506" s="45" t="s">
        <v>1</v>
      </c>
      <c r="E506" s="45"/>
      <c r="F506" s="95" t="s">
        <v>1</v>
      </c>
      <c r="G506" s="71" t="s">
        <v>1</v>
      </c>
      <c r="H506" s="95" t="s">
        <v>1</v>
      </c>
      <c r="I506" s="71" t="s">
        <v>1</v>
      </c>
      <c r="J506" s="71"/>
      <c r="K506" s="71" t="s">
        <v>1</v>
      </c>
      <c r="L506" s="71" t="s">
        <v>1</v>
      </c>
    </row>
    <row r="507" spans="1:12" ht="12">
      <c r="A507" s="59" t="s">
        <v>2</v>
      </c>
      <c r="D507" s="59" t="s">
        <v>2</v>
      </c>
      <c r="E507" s="59"/>
      <c r="F507" s="96"/>
      <c r="G507" s="87" t="s">
        <v>62</v>
      </c>
      <c r="H507" s="96"/>
      <c r="I507" s="87" t="s">
        <v>65</v>
      </c>
      <c r="J507" s="87"/>
      <c r="L507" s="77" t="s">
        <v>70</v>
      </c>
    </row>
    <row r="508" spans="1:12" ht="12">
      <c r="A508" s="59" t="s">
        <v>4</v>
      </c>
      <c r="B508" s="80" t="s">
        <v>18</v>
      </c>
      <c r="D508" s="59" t="s">
        <v>4</v>
      </c>
      <c r="E508" s="59"/>
      <c r="F508" s="96" t="s">
        <v>6</v>
      </c>
      <c r="G508" s="87" t="s">
        <v>7</v>
      </c>
      <c r="H508" s="96" t="s">
        <v>6</v>
      </c>
      <c r="I508" s="87" t="s">
        <v>7</v>
      </c>
      <c r="J508" s="87"/>
      <c r="K508" s="77" t="s">
        <v>19</v>
      </c>
      <c r="L508" s="77" t="s">
        <v>8</v>
      </c>
    </row>
    <row r="509" spans="1:12" ht="12">
      <c r="A509" s="45" t="s">
        <v>1</v>
      </c>
      <c r="B509" s="45" t="s">
        <v>1</v>
      </c>
      <c r="C509" s="45" t="s">
        <v>1</v>
      </c>
      <c r="D509" s="45" t="s">
        <v>1</v>
      </c>
      <c r="E509" s="45"/>
      <c r="F509" s="95" t="s">
        <v>1</v>
      </c>
      <c r="G509" s="71" t="s">
        <v>1</v>
      </c>
      <c r="H509" s="178" t="s">
        <v>1</v>
      </c>
      <c r="I509" s="71" t="s">
        <v>1</v>
      </c>
      <c r="J509" s="71"/>
      <c r="K509" s="71" t="s">
        <v>1</v>
      </c>
      <c r="L509" s="71" t="s">
        <v>1</v>
      </c>
    </row>
    <row r="510" spans="1:12" ht="12">
      <c r="A510" s="72">
        <v>1</v>
      </c>
      <c r="B510" s="47" t="s">
        <v>276</v>
      </c>
      <c r="D510" s="72">
        <v>1</v>
      </c>
      <c r="E510" s="72"/>
      <c r="F510" s="179">
        <v>68.43124197967606</v>
      </c>
      <c r="G510" s="75">
        <v>7892312</v>
      </c>
      <c r="H510" s="179">
        <v>75.5176013595533</v>
      </c>
      <c r="I510" s="75">
        <v>8709596</v>
      </c>
      <c r="J510" s="75"/>
      <c r="K510" s="241">
        <v>77.4468664377623</v>
      </c>
      <c r="L510" s="57">
        <v>8932102</v>
      </c>
    </row>
    <row r="511" spans="1:12" ht="12">
      <c r="A511" s="72">
        <v>2</v>
      </c>
      <c r="B511" s="47" t="s">
        <v>268</v>
      </c>
      <c r="D511" s="72">
        <v>2</v>
      </c>
      <c r="E511" s="72"/>
      <c r="F511" s="179"/>
      <c r="G511" s="75">
        <v>1641023</v>
      </c>
      <c r="H511" s="179"/>
      <c r="I511" s="75">
        <v>1873456</v>
      </c>
      <c r="J511" s="75"/>
      <c r="L511" s="57">
        <v>2119020</v>
      </c>
    </row>
    <row r="512" spans="1:12" ht="12">
      <c r="A512" s="72">
        <v>3</v>
      </c>
      <c r="D512" s="72">
        <v>3</v>
      </c>
      <c r="E512" s="72"/>
      <c r="F512" s="179"/>
      <c r="G512" s="163"/>
      <c r="H512" s="179"/>
      <c r="I512" s="242">
        <v>0</v>
      </c>
      <c r="J512" s="242"/>
      <c r="L512" s="57"/>
    </row>
    <row r="513" spans="1:12" ht="12">
      <c r="A513" s="72">
        <v>4</v>
      </c>
      <c r="B513" s="47" t="s">
        <v>270</v>
      </c>
      <c r="D513" s="72">
        <v>4</v>
      </c>
      <c r="E513" s="72"/>
      <c r="F513" s="179">
        <v>68.43124197967606</v>
      </c>
      <c r="G513" s="163">
        <v>9533335</v>
      </c>
      <c r="H513" s="179">
        <v>75.5176013595533</v>
      </c>
      <c r="I513" s="69">
        <v>10583052</v>
      </c>
      <c r="J513" s="69"/>
      <c r="K513" s="179">
        <v>77.4468664377623</v>
      </c>
      <c r="L513" s="57">
        <v>11051122</v>
      </c>
    </row>
    <row r="514" spans="1:12" ht="12">
      <c r="A514" s="72">
        <v>5</v>
      </c>
      <c r="D514" s="72">
        <v>5</v>
      </c>
      <c r="E514" s="72"/>
      <c r="F514" s="179"/>
      <c r="G514" s="163"/>
      <c r="H514" s="179"/>
      <c r="I514" s="69"/>
      <c r="J514" s="69"/>
      <c r="L514" s="57"/>
    </row>
    <row r="515" spans="1:12" ht="12">
      <c r="A515" s="72">
        <v>6</v>
      </c>
      <c r="D515" s="72">
        <v>6</v>
      </c>
      <c r="E515" s="72"/>
      <c r="F515" s="179"/>
      <c r="G515" s="163"/>
      <c r="H515" s="179"/>
      <c r="I515" s="69"/>
      <c r="J515" s="69"/>
      <c r="L515" s="57"/>
    </row>
    <row r="516" spans="1:12" ht="12">
      <c r="A516" s="72">
        <v>7</v>
      </c>
      <c r="B516" s="47" t="s">
        <v>253</v>
      </c>
      <c r="D516" s="72">
        <v>7</v>
      </c>
      <c r="E516" s="72"/>
      <c r="F516" s="179">
        <v>56.98213363259053</v>
      </c>
      <c r="G516" s="75">
        <v>3198920</v>
      </c>
      <c r="H516" s="179">
        <v>61.60467767505656</v>
      </c>
      <c r="I516" s="75">
        <v>3458425</v>
      </c>
      <c r="J516" s="75"/>
      <c r="K516" s="145">
        <v>57.04430075348688</v>
      </c>
      <c r="L516" s="57">
        <v>3202410</v>
      </c>
    </row>
    <row r="517" spans="1:12" ht="12">
      <c r="A517" s="72">
        <v>8</v>
      </c>
      <c r="B517" s="47" t="s">
        <v>254</v>
      </c>
      <c r="D517" s="72">
        <v>8</v>
      </c>
      <c r="E517" s="72"/>
      <c r="F517" s="179"/>
      <c r="G517" s="75">
        <v>814058</v>
      </c>
      <c r="H517" s="179"/>
      <c r="I517" s="75">
        <v>937628</v>
      </c>
      <c r="J517" s="75"/>
      <c r="L517" s="57">
        <v>945294</v>
      </c>
    </row>
    <row r="518" spans="1:12" ht="12">
      <c r="A518" s="72">
        <v>9</v>
      </c>
      <c r="B518" s="47" t="s">
        <v>255</v>
      </c>
      <c r="D518" s="72">
        <v>9</v>
      </c>
      <c r="E518" s="72"/>
      <c r="F518" s="179">
        <v>56.98213363259053</v>
      </c>
      <c r="G518" s="163">
        <v>4012978</v>
      </c>
      <c r="H518" s="179">
        <v>61.60467767505656</v>
      </c>
      <c r="I518" s="69">
        <v>4396053</v>
      </c>
      <c r="J518" s="69"/>
      <c r="K518" s="145">
        <v>57.04430075348688</v>
      </c>
      <c r="L518" s="57">
        <v>4147704</v>
      </c>
    </row>
    <row r="519" spans="1:12" ht="12">
      <c r="A519" s="72">
        <v>10</v>
      </c>
      <c r="D519" s="72">
        <v>10</v>
      </c>
      <c r="E519" s="72"/>
      <c r="F519" s="179"/>
      <c r="G519" s="163"/>
      <c r="H519" s="179"/>
      <c r="I519" s="69"/>
      <c r="J519" s="69"/>
      <c r="L519" s="57"/>
    </row>
    <row r="520" spans="1:12" ht="12">
      <c r="A520" s="72">
        <v>11</v>
      </c>
      <c r="B520" s="47" t="s">
        <v>256</v>
      </c>
      <c r="D520" s="72">
        <v>11</v>
      </c>
      <c r="E520" s="72"/>
      <c r="F520" s="180">
        <v>125.41337561226659</v>
      </c>
      <c r="G520" s="159">
        <v>13546313</v>
      </c>
      <c r="H520" s="180">
        <v>137.12227903460985</v>
      </c>
      <c r="I520" s="69">
        <v>14979105</v>
      </c>
      <c r="J520" s="69"/>
      <c r="K520" s="180">
        <v>134.4911671912492</v>
      </c>
      <c r="L520" s="57">
        <v>15198826</v>
      </c>
    </row>
    <row r="521" spans="1:12" ht="12">
      <c r="A521" s="72">
        <v>12</v>
      </c>
      <c r="D521" s="72">
        <v>12</v>
      </c>
      <c r="E521" s="72"/>
      <c r="F521" s="180"/>
      <c r="G521" s="159"/>
      <c r="H521" s="180"/>
      <c r="I521" s="69"/>
      <c r="J521" s="69"/>
      <c r="L521" s="57"/>
    </row>
    <row r="522" spans="1:12" ht="12">
      <c r="A522" s="72">
        <v>13</v>
      </c>
      <c r="B522" s="47" t="s">
        <v>277</v>
      </c>
      <c r="D522" s="72">
        <v>13</v>
      </c>
      <c r="E522" s="72"/>
      <c r="F522" s="179">
        <v>2.926292751687811</v>
      </c>
      <c r="G522" s="75">
        <v>78887</v>
      </c>
      <c r="H522" s="179">
        <v>8.899992581052008</v>
      </c>
      <c r="I522" s="75">
        <v>239926</v>
      </c>
      <c r="J522" s="75"/>
      <c r="K522" s="145">
        <v>7.274018844127903</v>
      </c>
      <c r="L522" s="57">
        <v>196093</v>
      </c>
    </row>
    <row r="523" spans="1:12" ht="12">
      <c r="A523" s="72">
        <v>14</v>
      </c>
      <c r="D523" s="72">
        <v>14</v>
      </c>
      <c r="E523" s="72"/>
      <c r="F523" s="179"/>
      <c r="G523" s="75"/>
      <c r="H523" s="179"/>
      <c r="I523" s="75"/>
      <c r="J523" s="75"/>
      <c r="L523" s="57"/>
    </row>
    <row r="524" spans="1:12" ht="12">
      <c r="A524" s="72">
        <v>15</v>
      </c>
      <c r="B524" s="47" t="s">
        <v>258</v>
      </c>
      <c r="D524" s="72">
        <v>15</v>
      </c>
      <c r="E524" s="72"/>
      <c r="F524" s="179"/>
      <c r="G524" s="75">
        <v>169314</v>
      </c>
      <c r="H524" s="179"/>
      <c r="I524" s="75">
        <v>124592</v>
      </c>
      <c r="J524" s="75"/>
      <c r="L524" s="57">
        <v>76800</v>
      </c>
    </row>
    <row r="525" spans="1:12" ht="12">
      <c r="A525" s="72">
        <v>16</v>
      </c>
      <c r="B525" s="47" t="s">
        <v>259</v>
      </c>
      <c r="D525" s="72">
        <v>16</v>
      </c>
      <c r="E525" s="72"/>
      <c r="F525" s="179"/>
      <c r="G525" s="75">
        <v>2075510</v>
      </c>
      <c r="H525" s="179"/>
      <c r="I525" s="75">
        <v>2253075</v>
      </c>
      <c r="J525" s="75"/>
      <c r="L525" s="57">
        <v>2556061</v>
      </c>
    </row>
    <row r="526" spans="1:12" ht="12">
      <c r="A526" s="72"/>
      <c r="B526" s="47"/>
      <c r="D526" s="72"/>
      <c r="E526" s="72"/>
      <c r="F526" s="179"/>
      <c r="G526" s="75"/>
      <c r="H526" s="179"/>
      <c r="I526" s="75"/>
      <c r="J526" s="75"/>
      <c r="L526" s="57"/>
    </row>
    <row r="527" spans="1:12" ht="12">
      <c r="A527" s="72">
        <v>17</v>
      </c>
      <c r="B527" s="47" t="s">
        <v>278</v>
      </c>
      <c r="D527" s="72">
        <v>17</v>
      </c>
      <c r="E527" s="72"/>
      <c r="F527" s="179"/>
      <c r="G527" s="75"/>
      <c r="H527" s="179"/>
      <c r="I527" s="75">
        <v>0</v>
      </c>
      <c r="J527" s="75"/>
      <c r="L527" s="57">
        <v>0</v>
      </c>
    </row>
    <row r="528" spans="1:12" ht="12">
      <c r="A528" s="72">
        <v>18</v>
      </c>
      <c r="B528" s="47" t="s">
        <v>470</v>
      </c>
      <c r="D528" s="72">
        <v>18</v>
      </c>
      <c r="E528" s="72"/>
      <c r="F528" s="179"/>
      <c r="G528" s="75">
        <v>346276</v>
      </c>
      <c r="H528" s="179"/>
      <c r="I528" s="75">
        <v>343866</v>
      </c>
      <c r="J528" s="75"/>
      <c r="L528" s="57">
        <v>396847</v>
      </c>
    </row>
    <row r="529" spans="1:12" ht="12">
      <c r="A529" s="72">
        <v>19</v>
      </c>
      <c r="B529" s="47" t="s">
        <v>284</v>
      </c>
      <c r="D529" s="72">
        <v>19</v>
      </c>
      <c r="E529" s="72"/>
      <c r="F529" s="179"/>
      <c r="G529" s="163">
        <v>0</v>
      </c>
      <c r="H529" s="179"/>
      <c r="I529" s="243"/>
      <c r="J529" s="243"/>
      <c r="L529" s="57"/>
    </row>
    <row r="530" spans="1:12" ht="12">
      <c r="A530" s="72">
        <v>20</v>
      </c>
      <c r="B530" s="47" t="s">
        <v>285</v>
      </c>
      <c r="D530" s="72">
        <v>20</v>
      </c>
      <c r="E530" s="72"/>
      <c r="F530" s="179"/>
      <c r="G530" s="163">
        <v>0</v>
      </c>
      <c r="H530" s="179"/>
      <c r="I530" s="163">
        <v>0</v>
      </c>
      <c r="J530" s="163"/>
      <c r="L530" s="57"/>
    </row>
    <row r="531" spans="1:12" ht="12">
      <c r="A531" s="72">
        <v>21</v>
      </c>
      <c r="B531" s="47"/>
      <c r="D531" s="72">
        <v>21</v>
      </c>
      <c r="E531" s="72"/>
      <c r="F531" s="179"/>
      <c r="G531" s="163"/>
      <c r="H531" s="179"/>
      <c r="I531" s="163"/>
      <c r="J531" s="163"/>
      <c r="L531" s="57"/>
    </row>
    <row r="532" spans="1:12" ht="12">
      <c r="A532" s="72">
        <v>22</v>
      </c>
      <c r="B532" s="47"/>
      <c r="D532" s="72">
        <v>22</v>
      </c>
      <c r="E532" s="72"/>
      <c r="F532" s="179"/>
      <c r="G532" s="163"/>
      <c r="H532" s="179"/>
      <c r="I532" s="163"/>
      <c r="J532" s="163"/>
      <c r="L532" s="57"/>
    </row>
    <row r="533" spans="1:12" ht="12">
      <c r="A533" s="72">
        <v>23</v>
      </c>
      <c r="B533" s="47"/>
      <c r="D533" s="72">
        <v>23</v>
      </c>
      <c r="E533" s="72"/>
      <c r="F533" s="179"/>
      <c r="G533" s="163"/>
      <c r="H533" s="179"/>
      <c r="I533" s="163"/>
      <c r="J533" s="163"/>
      <c r="L533" s="57"/>
    </row>
    <row r="534" spans="1:12" ht="12">
      <c r="A534" s="72">
        <v>24</v>
      </c>
      <c r="B534" s="47"/>
      <c r="D534" s="72">
        <v>24</v>
      </c>
      <c r="E534" s="72"/>
      <c r="F534" s="179"/>
      <c r="G534" s="163"/>
      <c r="H534" s="179"/>
      <c r="I534" s="163"/>
      <c r="J534" s="163"/>
      <c r="L534" s="57"/>
    </row>
    <row r="535" spans="4:12" ht="12">
      <c r="D535" s="68"/>
      <c r="E535" s="178" t="s">
        <v>1</v>
      </c>
      <c r="F535" s="178" t="s">
        <v>1</v>
      </c>
      <c r="G535" s="71" t="s">
        <v>1</v>
      </c>
      <c r="H535" s="178" t="s">
        <v>1</v>
      </c>
      <c r="I535" s="71" t="s">
        <v>1</v>
      </c>
      <c r="J535" s="71"/>
      <c r="K535" s="71" t="s">
        <v>1</v>
      </c>
      <c r="L535" s="71" t="s">
        <v>1</v>
      </c>
    </row>
    <row r="536" spans="1:12" ht="13.5" customHeight="1">
      <c r="A536" s="72">
        <v>25</v>
      </c>
      <c r="B536" s="47" t="s">
        <v>471</v>
      </c>
      <c r="D536" s="72">
        <v>25</v>
      </c>
      <c r="E536" s="72"/>
      <c r="F536" s="173">
        <v>128.3396683639544</v>
      </c>
      <c r="G536" s="159">
        <v>16216300</v>
      </c>
      <c r="H536" s="173">
        <v>146.02227161566185</v>
      </c>
      <c r="I536" s="159">
        <v>17940564</v>
      </c>
      <c r="J536" s="159"/>
      <c r="K536" s="203">
        <v>141.7651860353771</v>
      </c>
      <c r="L536" s="57">
        <v>18424627</v>
      </c>
    </row>
    <row r="537" spans="4:10" ht="12">
      <c r="D537" s="68"/>
      <c r="E537" s="68"/>
      <c r="F537" s="95"/>
      <c r="G537" s="71"/>
      <c r="H537" s="95"/>
      <c r="I537" s="71"/>
      <c r="J537" s="71"/>
    </row>
    <row r="539" spans="1:12" s="93" customFormat="1" ht="12">
      <c r="A539" s="91" t="s">
        <v>550</v>
      </c>
      <c r="D539" s="112"/>
      <c r="E539" s="112"/>
      <c r="F539" s="113"/>
      <c r="G539" s="114"/>
      <c r="H539" s="113"/>
      <c r="J539" s="92"/>
      <c r="L539" s="92" t="s">
        <v>287</v>
      </c>
    </row>
    <row r="540" spans="1:12" s="93" customFormat="1" ht="12">
      <c r="A540" s="472" t="s">
        <v>288</v>
      </c>
      <c r="B540" s="472"/>
      <c r="C540" s="472"/>
      <c r="D540" s="472"/>
      <c r="E540" s="472"/>
      <c r="F540" s="472"/>
      <c r="G540" s="472"/>
      <c r="H540" s="472"/>
      <c r="I540" s="472"/>
      <c r="J540" s="472"/>
      <c r="K540" s="472"/>
      <c r="L540" s="472"/>
    </row>
    <row r="541" spans="1:12" ht="12">
      <c r="A541" s="91" t="s">
        <v>551</v>
      </c>
      <c r="F541" s="161"/>
      <c r="G541" s="148"/>
      <c r="H541" s="84"/>
      <c r="I541" s="94"/>
      <c r="J541" s="94"/>
      <c r="L541" s="94" t="s">
        <v>71</v>
      </c>
    </row>
    <row r="542" spans="1:12" ht="12">
      <c r="A542" s="45" t="s">
        <v>1</v>
      </c>
      <c r="B542" s="45" t="s">
        <v>1</v>
      </c>
      <c r="C542" s="45" t="s">
        <v>1</v>
      </c>
      <c r="D542" s="45" t="s">
        <v>1</v>
      </c>
      <c r="E542" s="45"/>
      <c r="F542" s="95" t="s">
        <v>1</v>
      </c>
      <c r="G542" s="71" t="s">
        <v>1</v>
      </c>
      <c r="H542" s="95" t="s">
        <v>1</v>
      </c>
      <c r="I542" s="71" t="s">
        <v>1</v>
      </c>
      <c r="J542" s="71"/>
      <c r="K542" s="71" t="s">
        <v>1</v>
      </c>
      <c r="L542" s="71" t="s">
        <v>1</v>
      </c>
    </row>
    <row r="543" spans="1:12" ht="12">
      <c r="A543" s="59" t="s">
        <v>2</v>
      </c>
      <c r="D543" s="59" t="s">
        <v>2</v>
      </c>
      <c r="E543" s="59"/>
      <c r="F543" s="96"/>
      <c r="G543" s="87" t="s">
        <v>62</v>
      </c>
      <c r="H543" s="96"/>
      <c r="I543" s="87" t="s">
        <v>65</v>
      </c>
      <c r="J543" s="87"/>
      <c r="L543" s="77" t="s">
        <v>70</v>
      </c>
    </row>
    <row r="544" spans="1:12" ht="12">
      <c r="A544" s="59" t="s">
        <v>4</v>
      </c>
      <c r="B544" s="80" t="s">
        <v>18</v>
      </c>
      <c r="D544" s="59" t="s">
        <v>4</v>
      </c>
      <c r="E544" s="59"/>
      <c r="F544" s="96" t="s">
        <v>6</v>
      </c>
      <c r="G544" s="87" t="s">
        <v>7</v>
      </c>
      <c r="H544" s="96" t="s">
        <v>6</v>
      </c>
      <c r="I544" s="87" t="s">
        <v>7</v>
      </c>
      <c r="J544" s="87"/>
      <c r="K544" s="77" t="s">
        <v>19</v>
      </c>
      <c r="L544" s="77" t="s">
        <v>8</v>
      </c>
    </row>
    <row r="545" spans="1:12" ht="12">
      <c r="A545" s="45" t="s">
        <v>1</v>
      </c>
      <c r="B545" s="45" t="s">
        <v>1</v>
      </c>
      <c r="C545" s="45" t="s">
        <v>1</v>
      </c>
      <c r="D545" s="45" t="s">
        <v>1</v>
      </c>
      <c r="E545" s="45"/>
      <c r="F545" s="95" t="s">
        <v>1</v>
      </c>
      <c r="G545" s="71" t="s">
        <v>1</v>
      </c>
      <c r="H545" s="95" t="s">
        <v>1</v>
      </c>
      <c r="I545" s="71" t="s">
        <v>1</v>
      </c>
      <c r="J545" s="71"/>
      <c r="K545" s="71" t="s">
        <v>1</v>
      </c>
      <c r="L545" s="71" t="s">
        <v>1</v>
      </c>
    </row>
    <row r="546" spans="1:12" ht="12">
      <c r="A546" s="72">
        <v>1</v>
      </c>
      <c r="B546" s="47" t="s">
        <v>276</v>
      </c>
      <c r="D546" s="72">
        <v>1</v>
      </c>
      <c r="E546" s="72"/>
      <c r="F546" s="124">
        <v>5.636904347341589</v>
      </c>
      <c r="G546" s="75">
        <v>404679</v>
      </c>
      <c r="H546" s="124">
        <v>7.891713445975122</v>
      </c>
      <c r="I546" s="75">
        <v>566554</v>
      </c>
      <c r="J546" s="75"/>
      <c r="K546" s="223">
        <v>6.301249460238749</v>
      </c>
      <c r="L546" s="57">
        <v>452373</v>
      </c>
    </row>
    <row r="547" spans="1:12" ht="12">
      <c r="A547" s="72">
        <v>2</v>
      </c>
      <c r="B547" s="47" t="s">
        <v>268</v>
      </c>
      <c r="D547" s="72">
        <v>2</v>
      </c>
      <c r="E547" s="72"/>
      <c r="F547" s="124"/>
      <c r="G547" s="75">
        <v>102780</v>
      </c>
      <c r="H547" s="124"/>
      <c r="I547" s="75">
        <v>153479</v>
      </c>
      <c r="J547" s="75"/>
      <c r="L547" s="57">
        <v>132095</v>
      </c>
    </row>
    <row r="548" spans="1:12" ht="12">
      <c r="A548" s="72">
        <v>3</v>
      </c>
      <c r="D548" s="72">
        <v>3</v>
      </c>
      <c r="E548" s="72"/>
      <c r="F548" s="124"/>
      <c r="G548" s="125"/>
      <c r="H548" s="124"/>
      <c r="I548" s="75"/>
      <c r="J548" s="75"/>
      <c r="L548" s="57"/>
    </row>
    <row r="549" spans="1:12" ht="12">
      <c r="A549" s="72">
        <v>4</v>
      </c>
      <c r="B549" s="47" t="s">
        <v>270</v>
      </c>
      <c r="D549" s="72">
        <v>4</v>
      </c>
      <c r="E549" s="72"/>
      <c r="F549" s="124">
        <v>5.636904347341589</v>
      </c>
      <c r="G549" s="125">
        <v>507459</v>
      </c>
      <c r="H549" s="124">
        <v>7.891713445975122</v>
      </c>
      <c r="I549" s="69">
        <v>720033</v>
      </c>
      <c r="J549" s="69"/>
      <c r="K549" s="124">
        <v>6.301249460238749</v>
      </c>
      <c r="L549" s="57">
        <v>584468</v>
      </c>
    </row>
    <row r="550" spans="1:12" ht="12">
      <c r="A550" s="72">
        <v>5</v>
      </c>
      <c r="D550" s="72">
        <v>5</v>
      </c>
      <c r="E550" s="72"/>
      <c r="F550" s="124"/>
      <c r="G550" s="125"/>
      <c r="H550" s="124"/>
      <c r="I550" s="69"/>
      <c r="J550" s="69"/>
      <c r="L550" s="57"/>
    </row>
    <row r="551" spans="1:12" ht="12">
      <c r="A551" s="72">
        <v>6</v>
      </c>
      <c r="D551" s="72">
        <v>6</v>
      </c>
      <c r="E551" s="72"/>
      <c r="F551" s="124"/>
      <c r="G551" s="125"/>
      <c r="H551" s="124"/>
      <c r="I551" s="69"/>
      <c r="J551" s="69"/>
      <c r="L551" s="57"/>
    </row>
    <row r="552" spans="1:12" ht="12">
      <c r="A552" s="72">
        <v>7</v>
      </c>
      <c r="B552" s="47" t="s">
        <v>253</v>
      </c>
      <c r="D552" s="72">
        <v>7</v>
      </c>
      <c r="E552" s="72"/>
      <c r="F552" s="124">
        <v>6.318849210041498</v>
      </c>
      <c r="G552" s="75">
        <v>339556</v>
      </c>
      <c r="H552" s="124">
        <v>5.68939464428606</v>
      </c>
      <c r="I552" s="75">
        <v>305731</v>
      </c>
      <c r="J552" s="75"/>
      <c r="K552" s="223">
        <v>5.705584606509482</v>
      </c>
      <c r="L552" s="57">
        <v>306601</v>
      </c>
    </row>
    <row r="553" spans="1:12" ht="12">
      <c r="A553" s="72">
        <v>8</v>
      </c>
      <c r="B553" s="47" t="s">
        <v>254</v>
      </c>
      <c r="D553" s="72">
        <v>8</v>
      </c>
      <c r="E553" s="72"/>
      <c r="F553" s="124"/>
      <c r="G553" s="75">
        <v>80967</v>
      </c>
      <c r="H553" s="124"/>
      <c r="I553" s="75">
        <v>80337</v>
      </c>
      <c r="J553" s="75"/>
      <c r="L553" s="57">
        <v>86430</v>
      </c>
    </row>
    <row r="554" spans="1:12" ht="12">
      <c r="A554" s="72">
        <v>9</v>
      </c>
      <c r="B554" s="47" t="s">
        <v>255</v>
      </c>
      <c r="D554" s="72">
        <v>9</v>
      </c>
      <c r="E554" s="72"/>
      <c r="F554" s="124">
        <v>6.318849210041498</v>
      </c>
      <c r="G554" s="125">
        <v>420523</v>
      </c>
      <c r="H554" s="124">
        <v>5.68939464428606</v>
      </c>
      <c r="I554" s="69">
        <v>386068</v>
      </c>
      <c r="J554" s="69"/>
      <c r="K554" s="124">
        <v>5.705584606509482</v>
      </c>
      <c r="L554" s="57">
        <v>393031</v>
      </c>
    </row>
    <row r="555" spans="1:12" ht="12">
      <c r="A555" s="72">
        <v>10</v>
      </c>
      <c r="D555" s="72">
        <v>10</v>
      </c>
      <c r="E555" s="72"/>
      <c r="F555" s="124"/>
      <c r="G555" s="125"/>
      <c r="H555" s="124"/>
      <c r="I555" s="69"/>
      <c r="J555" s="69"/>
      <c r="L555" s="57"/>
    </row>
    <row r="556" spans="1:12" ht="12">
      <c r="A556" s="72">
        <v>11</v>
      </c>
      <c r="B556" s="47" t="s">
        <v>256</v>
      </c>
      <c r="D556" s="72">
        <v>11</v>
      </c>
      <c r="E556" s="72"/>
      <c r="F556" s="121">
        <v>11.955753557383087</v>
      </c>
      <c r="G556" s="122">
        <v>927982</v>
      </c>
      <c r="H556" s="121">
        <v>13.581108090261182</v>
      </c>
      <c r="I556" s="69">
        <v>1106101</v>
      </c>
      <c r="J556" s="69"/>
      <c r="K556" s="121">
        <v>12.00683406674823</v>
      </c>
      <c r="L556" s="57">
        <v>977499</v>
      </c>
    </row>
    <row r="557" spans="1:12" ht="12">
      <c r="A557" s="72">
        <v>12</v>
      </c>
      <c r="D557" s="72">
        <v>12</v>
      </c>
      <c r="E557" s="72"/>
      <c r="F557" s="121"/>
      <c r="G557" s="122"/>
      <c r="H557" s="121"/>
      <c r="I557" s="62"/>
      <c r="J557" s="62"/>
      <c r="L557" s="57"/>
    </row>
    <row r="558" spans="1:12" ht="12">
      <c r="A558" s="72">
        <v>13</v>
      </c>
      <c r="B558" s="47" t="s">
        <v>277</v>
      </c>
      <c r="D558" s="72">
        <v>13</v>
      </c>
      <c r="E558" s="72"/>
      <c r="F558" s="124">
        <v>0.22</v>
      </c>
      <c r="G558" s="75">
        <v>10211</v>
      </c>
      <c r="H558" s="124">
        <v>0.2086654888611195</v>
      </c>
      <c r="I558" s="75">
        <v>9685</v>
      </c>
      <c r="J558" s="75"/>
      <c r="K558" s="145">
        <v>0.10817856681173783</v>
      </c>
      <c r="L558" s="57">
        <v>5021</v>
      </c>
    </row>
    <row r="559" spans="1:12" ht="12">
      <c r="A559" s="72">
        <v>14</v>
      </c>
      <c r="D559" s="72">
        <v>14</v>
      </c>
      <c r="E559" s="72"/>
      <c r="F559" s="124"/>
      <c r="G559" s="76"/>
      <c r="H559" s="124"/>
      <c r="I559" s="76"/>
      <c r="J559" s="76"/>
      <c r="L559" s="57"/>
    </row>
    <row r="560" spans="1:12" ht="12">
      <c r="A560" s="72">
        <v>15</v>
      </c>
      <c r="B560" s="47" t="s">
        <v>258</v>
      </c>
      <c r="D560" s="72">
        <v>15</v>
      </c>
      <c r="E560" s="72"/>
      <c r="F560" s="124"/>
      <c r="G560" s="243">
        <v>7272</v>
      </c>
      <c r="H560" s="124"/>
      <c r="I560" s="243">
        <v>11729</v>
      </c>
      <c r="J560" s="243"/>
      <c r="L560" s="57"/>
    </row>
    <row r="561" spans="1:12" ht="12">
      <c r="A561" s="72">
        <v>16</v>
      </c>
      <c r="B561" s="47" t="s">
        <v>259</v>
      </c>
      <c r="D561" s="72">
        <v>16</v>
      </c>
      <c r="E561" s="72"/>
      <c r="F561" s="124"/>
      <c r="G561" s="75">
        <v>204846</v>
      </c>
      <c r="H561" s="124"/>
      <c r="I561" s="75">
        <v>210608</v>
      </c>
      <c r="J561" s="75"/>
      <c r="L561" s="57">
        <v>226825</v>
      </c>
    </row>
    <row r="562" spans="1:12" ht="12">
      <c r="A562" s="72"/>
      <c r="B562" s="47"/>
      <c r="D562" s="72"/>
      <c r="E562" s="72"/>
      <c r="F562" s="124"/>
      <c r="G562" s="125"/>
      <c r="H562" s="124"/>
      <c r="I562" s="75"/>
      <c r="J562" s="75"/>
      <c r="L562" s="57"/>
    </row>
    <row r="563" spans="1:12" ht="12">
      <c r="A563" s="72">
        <v>17</v>
      </c>
      <c r="B563" s="47" t="s">
        <v>278</v>
      </c>
      <c r="D563" s="72">
        <v>17</v>
      </c>
      <c r="E563" s="72"/>
      <c r="F563" s="124"/>
      <c r="G563" s="125"/>
      <c r="H563" s="124"/>
      <c r="I563" s="125"/>
      <c r="J563" s="125"/>
      <c r="L563" s="57"/>
    </row>
    <row r="564" spans="1:12" ht="12">
      <c r="A564" s="72">
        <v>18</v>
      </c>
      <c r="D564" s="72">
        <v>18</v>
      </c>
      <c r="E564" s="72"/>
      <c r="F564" s="124"/>
      <c r="G564" s="125"/>
      <c r="H564" s="124"/>
      <c r="I564" s="125"/>
      <c r="J564" s="125"/>
      <c r="L564" s="57"/>
    </row>
    <row r="565" spans="1:12" ht="12">
      <c r="A565" s="72">
        <v>19</v>
      </c>
      <c r="B565" s="47" t="s">
        <v>284</v>
      </c>
      <c r="D565" s="72">
        <v>19</v>
      </c>
      <c r="E565" s="72"/>
      <c r="F565" s="124"/>
      <c r="G565" s="125">
        <v>0</v>
      </c>
      <c r="H565" s="124"/>
      <c r="I565" s="125">
        <v>0</v>
      </c>
      <c r="J565" s="125"/>
      <c r="L565" s="57"/>
    </row>
    <row r="566" spans="1:12" ht="12">
      <c r="A566" s="72">
        <v>20</v>
      </c>
      <c r="B566" s="47"/>
      <c r="D566" s="72">
        <v>20</v>
      </c>
      <c r="E566" s="72"/>
      <c r="F566" s="124"/>
      <c r="G566" s="125"/>
      <c r="H566" s="124"/>
      <c r="I566" s="125"/>
      <c r="J566" s="125"/>
      <c r="L566" s="57"/>
    </row>
    <row r="567" spans="1:12" ht="12">
      <c r="A567" s="72">
        <v>21</v>
      </c>
      <c r="B567" s="47"/>
      <c r="D567" s="72">
        <v>21</v>
      </c>
      <c r="E567" s="72"/>
      <c r="F567" s="124"/>
      <c r="G567" s="125"/>
      <c r="H567" s="124"/>
      <c r="I567" s="125"/>
      <c r="J567" s="125"/>
      <c r="L567" s="57"/>
    </row>
    <row r="568" spans="1:12" ht="12">
      <c r="A568" s="72">
        <v>22</v>
      </c>
      <c r="B568" s="47"/>
      <c r="D568" s="72">
        <v>22</v>
      </c>
      <c r="E568" s="72"/>
      <c r="F568" s="124"/>
      <c r="G568" s="125"/>
      <c r="H568" s="124"/>
      <c r="I568" s="125"/>
      <c r="J568" s="125"/>
      <c r="L568" s="57"/>
    </row>
    <row r="569" spans="1:12" ht="12">
      <c r="A569" s="72">
        <v>23</v>
      </c>
      <c r="B569" s="47"/>
      <c r="D569" s="72">
        <v>23</v>
      </c>
      <c r="E569" s="72"/>
      <c r="F569" s="124"/>
      <c r="G569" s="125"/>
      <c r="H569" s="124"/>
      <c r="I569" s="125"/>
      <c r="J569" s="125"/>
      <c r="L569" s="57"/>
    </row>
    <row r="570" spans="1:12" ht="12">
      <c r="A570" s="72">
        <v>24</v>
      </c>
      <c r="B570" s="47"/>
      <c r="D570" s="72">
        <v>24</v>
      </c>
      <c r="E570" s="72"/>
      <c r="F570" s="124"/>
      <c r="G570" s="125"/>
      <c r="H570" s="124"/>
      <c r="I570" s="125"/>
      <c r="J570" s="125"/>
      <c r="L570" s="57"/>
    </row>
    <row r="571" spans="4:12" ht="12">
      <c r="D571" s="68"/>
      <c r="E571" s="71" t="s">
        <v>1</v>
      </c>
      <c r="F571" s="71" t="s">
        <v>1</v>
      </c>
      <c r="G571" s="71" t="s">
        <v>1</v>
      </c>
      <c r="H571" s="44" t="s">
        <v>1</v>
      </c>
      <c r="I571" s="71" t="s">
        <v>1</v>
      </c>
      <c r="J571" s="71"/>
      <c r="K571" s="71" t="s">
        <v>1</v>
      </c>
      <c r="L571" s="71" t="s">
        <v>1</v>
      </c>
    </row>
    <row r="572" spans="1:12" ht="13.5" customHeight="1">
      <c r="A572" s="72">
        <v>25</v>
      </c>
      <c r="B572" s="47" t="s">
        <v>472</v>
      </c>
      <c r="D572" s="72">
        <v>25</v>
      </c>
      <c r="E572" s="72"/>
      <c r="F572" s="121">
        <v>12.175753557383088</v>
      </c>
      <c r="G572" s="159">
        <v>1150311</v>
      </c>
      <c r="H572" s="121">
        <v>13.789773579122302</v>
      </c>
      <c r="I572" s="159">
        <v>1338123</v>
      </c>
      <c r="J572" s="159"/>
      <c r="K572" s="166">
        <v>12.115012633559967</v>
      </c>
      <c r="L572" s="57">
        <v>1209345</v>
      </c>
    </row>
    <row r="573" spans="4:12" ht="12">
      <c r="D573" s="68"/>
      <c r="E573" s="95" t="s">
        <v>1</v>
      </c>
      <c r="F573" s="95" t="s">
        <v>1</v>
      </c>
      <c r="G573" s="71" t="s">
        <v>1</v>
      </c>
      <c r="H573" s="95" t="s">
        <v>1</v>
      </c>
      <c r="I573" s="71" t="s">
        <v>1</v>
      </c>
      <c r="J573" s="71"/>
      <c r="K573" s="71" t="s">
        <v>1</v>
      </c>
      <c r="L573" s="71" t="s">
        <v>1</v>
      </c>
    </row>
    <row r="575" spans="1:12" s="93" customFormat="1" ht="12">
      <c r="A575" s="91" t="s">
        <v>550</v>
      </c>
      <c r="D575" s="112"/>
      <c r="E575" s="112"/>
      <c r="F575" s="113"/>
      <c r="G575" s="114"/>
      <c r="H575" s="113"/>
      <c r="J575" s="92"/>
      <c r="L575" s="92" t="s">
        <v>290</v>
      </c>
    </row>
    <row r="576" spans="1:12" s="93" customFormat="1" ht="12">
      <c r="A576" s="472" t="s">
        <v>473</v>
      </c>
      <c r="B576" s="472"/>
      <c r="C576" s="472"/>
      <c r="D576" s="472"/>
      <c r="E576" s="472"/>
      <c r="F576" s="472"/>
      <c r="G576" s="472"/>
      <c r="H576" s="472"/>
      <c r="I576" s="472"/>
      <c r="J576" s="472"/>
      <c r="K576" s="472"/>
      <c r="L576" s="472"/>
    </row>
    <row r="577" spans="1:12" ht="12">
      <c r="A577" s="91" t="s">
        <v>551</v>
      </c>
      <c r="F577" s="147"/>
      <c r="G577" s="58"/>
      <c r="H577" s="84"/>
      <c r="I577" s="94"/>
      <c r="J577" s="94"/>
      <c r="L577" s="94" t="s">
        <v>71</v>
      </c>
    </row>
    <row r="578" spans="1:12" ht="12">
      <c r="A578" s="45" t="s">
        <v>1</v>
      </c>
      <c r="B578" s="45" t="s">
        <v>1</v>
      </c>
      <c r="C578" s="45" t="s">
        <v>1</v>
      </c>
      <c r="D578" s="45" t="s">
        <v>1</v>
      </c>
      <c r="E578" s="45"/>
      <c r="F578" s="95" t="s">
        <v>1</v>
      </c>
      <c r="G578" s="71" t="s">
        <v>1</v>
      </c>
      <c r="H578" s="95" t="s">
        <v>1</v>
      </c>
      <c r="I578" s="71" t="s">
        <v>1</v>
      </c>
      <c r="J578" s="71"/>
      <c r="K578" s="71" t="s">
        <v>1</v>
      </c>
      <c r="L578" s="71" t="s">
        <v>1</v>
      </c>
    </row>
    <row r="579" spans="1:12" ht="12">
      <c r="A579" s="59" t="s">
        <v>2</v>
      </c>
      <c r="D579" s="59" t="s">
        <v>2</v>
      </c>
      <c r="E579" s="59"/>
      <c r="F579" s="96"/>
      <c r="G579" s="87" t="s">
        <v>62</v>
      </c>
      <c r="H579" s="96"/>
      <c r="I579" s="87" t="s">
        <v>65</v>
      </c>
      <c r="J579" s="87"/>
      <c r="L579" s="77" t="s">
        <v>70</v>
      </c>
    </row>
    <row r="580" spans="1:12" ht="12">
      <c r="A580" s="59" t="s">
        <v>4</v>
      </c>
      <c r="B580" s="80" t="s">
        <v>18</v>
      </c>
      <c r="D580" s="59" t="s">
        <v>4</v>
      </c>
      <c r="E580" s="59"/>
      <c r="F580" s="96" t="s">
        <v>6</v>
      </c>
      <c r="G580" s="87" t="s">
        <v>7</v>
      </c>
      <c r="H580" s="96" t="s">
        <v>6</v>
      </c>
      <c r="I580" s="87" t="s">
        <v>7</v>
      </c>
      <c r="J580" s="87"/>
      <c r="K580" s="77" t="s">
        <v>19</v>
      </c>
      <c r="L580" s="77" t="s">
        <v>8</v>
      </c>
    </row>
    <row r="581" spans="1:12" ht="12">
      <c r="A581" s="45" t="s">
        <v>1</v>
      </c>
      <c r="B581" s="45" t="s">
        <v>1</v>
      </c>
      <c r="C581" s="45" t="s">
        <v>1</v>
      </c>
      <c r="D581" s="45" t="s">
        <v>1</v>
      </c>
      <c r="E581" s="45"/>
      <c r="F581" s="95" t="s">
        <v>1</v>
      </c>
      <c r="G581" s="71" t="s">
        <v>1</v>
      </c>
      <c r="H581" s="95" t="s">
        <v>1</v>
      </c>
      <c r="I581" s="71" t="s">
        <v>1</v>
      </c>
      <c r="J581" s="71"/>
      <c r="K581" s="71" t="s">
        <v>1</v>
      </c>
      <c r="L581" s="71" t="s">
        <v>1</v>
      </c>
    </row>
    <row r="582" spans="1:12" ht="12">
      <c r="A582" s="72">
        <v>1</v>
      </c>
      <c r="B582" s="47" t="s">
        <v>276</v>
      </c>
      <c r="D582" s="72">
        <v>1</v>
      </c>
      <c r="E582" s="72"/>
      <c r="F582" s="162">
        <v>77.03420449053796</v>
      </c>
      <c r="G582" s="163">
        <v>10042410</v>
      </c>
      <c r="H582" s="162">
        <v>69.88551966432193</v>
      </c>
      <c r="I582" s="163">
        <v>9110486</v>
      </c>
      <c r="J582" s="163"/>
      <c r="K582" s="244">
        <v>70.77304910135544</v>
      </c>
      <c r="L582" s="235">
        <v>9226187</v>
      </c>
    </row>
    <row r="583" spans="1:12" ht="12">
      <c r="A583" s="72">
        <v>2</v>
      </c>
      <c r="B583" s="47" t="s">
        <v>268</v>
      </c>
      <c r="D583" s="72">
        <v>2</v>
      </c>
      <c r="E583" s="72"/>
      <c r="F583" s="162"/>
      <c r="G583" s="163">
        <v>2007784</v>
      </c>
      <c r="H583" s="162"/>
      <c r="I583" s="163">
        <v>1976726</v>
      </c>
      <c r="J583" s="163"/>
      <c r="L583" s="235">
        <v>2271462</v>
      </c>
    </row>
    <row r="584" spans="1:12" ht="12">
      <c r="A584" s="72">
        <v>3</v>
      </c>
      <c r="D584" s="72">
        <v>3</v>
      </c>
      <c r="E584" s="72"/>
      <c r="F584" s="162"/>
      <c r="G584" s="163"/>
      <c r="H584" s="162"/>
      <c r="I584" s="163"/>
      <c r="J584" s="163"/>
      <c r="L584" s="235"/>
    </row>
    <row r="585" spans="1:12" ht="12">
      <c r="A585" s="72">
        <v>4</v>
      </c>
      <c r="B585" s="47" t="s">
        <v>270</v>
      </c>
      <c r="D585" s="72">
        <v>4</v>
      </c>
      <c r="E585" s="72"/>
      <c r="F585" s="162">
        <v>77.03420449053796</v>
      </c>
      <c r="G585" s="163">
        <v>12050194</v>
      </c>
      <c r="H585" s="162">
        <v>69.88551966432193</v>
      </c>
      <c r="I585" s="163">
        <v>11087212</v>
      </c>
      <c r="J585" s="163"/>
      <c r="K585" s="162">
        <v>70.77304910135544</v>
      </c>
      <c r="L585" s="245">
        <v>11497649</v>
      </c>
    </row>
    <row r="586" spans="1:12" ht="12">
      <c r="A586" s="72">
        <v>5</v>
      </c>
      <c r="D586" s="72">
        <v>5</v>
      </c>
      <c r="E586" s="72"/>
      <c r="F586" s="162"/>
      <c r="G586" s="163"/>
      <c r="H586" s="162"/>
      <c r="I586" s="163"/>
      <c r="J586" s="163"/>
      <c r="L586" s="235"/>
    </row>
    <row r="587" spans="1:12" ht="12">
      <c r="A587" s="72">
        <v>6</v>
      </c>
      <c r="D587" s="72">
        <v>6</v>
      </c>
      <c r="E587" s="72"/>
      <c r="F587" s="162"/>
      <c r="G587" s="163"/>
      <c r="H587" s="162"/>
      <c r="I587" s="163"/>
      <c r="J587" s="163"/>
      <c r="L587" s="235"/>
    </row>
    <row r="588" spans="1:12" ht="12">
      <c r="A588" s="72">
        <v>7</v>
      </c>
      <c r="B588" s="47" t="s">
        <v>253</v>
      </c>
      <c r="D588" s="72">
        <v>7</v>
      </c>
      <c r="E588" s="72"/>
      <c r="F588" s="162">
        <v>155.26454590891717</v>
      </c>
      <c r="G588" s="163">
        <v>10562026</v>
      </c>
      <c r="H588" s="162">
        <v>120.40763825596096</v>
      </c>
      <c r="I588" s="163">
        <v>8190850</v>
      </c>
      <c r="J588" s="163"/>
      <c r="K588" s="223">
        <v>121.54010231382118</v>
      </c>
      <c r="L588" s="235">
        <v>8267887</v>
      </c>
    </row>
    <row r="589" spans="1:12" ht="12">
      <c r="A589" s="72">
        <v>8</v>
      </c>
      <c r="B589" s="47" t="s">
        <v>254</v>
      </c>
      <c r="D589" s="72">
        <v>8</v>
      </c>
      <c r="E589" s="72"/>
      <c r="F589" s="162"/>
      <c r="G589" s="163">
        <v>2413278</v>
      </c>
      <c r="H589" s="162"/>
      <c r="I589" s="163">
        <v>2443457</v>
      </c>
      <c r="J589" s="163"/>
      <c r="L589" s="235">
        <v>2472423</v>
      </c>
    </row>
    <row r="590" spans="1:12" ht="12">
      <c r="A590" s="72">
        <v>9</v>
      </c>
      <c r="B590" s="47" t="s">
        <v>255</v>
      </c>
      <c r="D590" s="72">
        <v>9</v>
      </c>
      <c r="E590" s="72"/>
      <c r="F590" s="162">
        <v>155.26454590891717</v>
      </c>
      <c r="G590" s="163">
        <v>12975304</v>
      </c>
      <c r="H590" s="162">
        <v>120.40763825596096</v>
      </c>
      <c r="I590" s="163">
        <v>10634307</v>
      </c>
      <c r="J590" s="163"/>
      <c r="K590" s="162">
        <v>121.54010231382118</v>
      </c>
      <c r="L590" s="235">
        <v>10740310</v>
      </c>
    </row>
    <row r="591" spans="1:12" ht="12">
      <c r="A591" s="72">
        <v>10</v>
      </c>
      <c r="D591" s="72">
        <v>10</v>
      </c>
      <c r="E591" s="72"/>
      <c r="F591" s="162"/>
      <c r="G591" s="163"/>
      <c r="H591" s="162"/>
      <c r="I591" s="163"/>
      <c r="J591" s="163"/>
      <c r="L591" s="235"/>
    </row>
    <row r="592" spans="1:12" ht="12">
      <c r="A592" s="72">
        <v>11</v>
      </c>
      <c r="B592" s="47" t="s">
        <v>256</v>
      </c>
      <c r="D592" s="72">
        <v>11</v>
      </c>
      <c r="E592" s="72"/>
      <c r="F592" s="162">
        <v>232.29875039945512</v>
      </c>
      <c r="G592" s="163">
        <v>25025498</v>
      </c>
      <c r="H592" s="162">
        <v>190.2931579202829</v>
      </c>
      <c r="I592" s="163">
        <v>21721519</v>
      </c>
      <c r="J592" s="163"/>
      <c r="K592" s="162">
        <v>192.3131514151766</v>
      </c>
      <c r="L592" s="245">
        <v>22237959</v>
      </c>
    </row>
    <row r="593" spans="1:12" ht="12">
      <c r="A593" s="72">
        <v>12</v>
      </c>
      <c r="D593" s="72">
        <v>12</v>
      </c>
      <c r="E593" s="72"/>
      <c r="F593" s="162"/>
      <c r="G593" s="163"/>
      <c r="H593" s="162"/>
      <c r="I593" s="163"/>
      <c r="J593" s="163"/>
      <c r="L593" s="235"/>
    </row>
    <row r="594" spans="1:12" ht="12">
      <c r="A594" s="72">
        <v>13</v>
      </c>
      <c r="B594" s="47" t="s">
        <v>277</v>
      </c>
      <c r="D594" s="72">
        <v>13</v>
      </c>
      <c r="E594" s="72"/>
      <c r="F594" s="162">
        <v>3.0283124624049873</v>
      </c>
      <c r="G594" s="163">
        <v>221515</v>
      </c>
      <c r="H594" s="162">
        <v>2.922472248045059</v>
      </c>
      <c r="I594" s="163">
        <v>213773</v>
      </c>
      <c r="J594" s="163"/>
      <c r="K594" s="162">
        <v>2.6693962924481873</v>
      </c>
      <c r="L594" s="235">
        <v>195261</v>
      </c>
    </row>
    <row r="595" spans="1:12" ht="12">
      <c r="A595" s="72">
        <v>14</v>
      </c>
      <c r="D595" s="72">
        <v>14</v>
      </c>
      <c r="E595" s="72"/>
      <c r="F595" s="162"/>
      <c r="G595" s="163"/>
      <c r="H595" s="162"/>
      <c r="I595" s="163"/>
      <c r="J595" s="163"/>
      <c r="L595" s="235"/>
    </row>
    <row r="596" spans="1:12" ht="12">
      <c r="A596" s="72">
        <v>15</v>
      </c>
      <c r="B596" s="47" t="s">
        <v>258</v>
      </c>
      <c r="D596" s="72">
        <v>15</v>
      </c>
      <c r="E596" s="72"/>
      <c r="F596" s="162"/>
      <c r="G596" s="163">
        <v>287565</v>
      </c>
      <c r="H596" s="162"/>
      <c r="I596" s="163">
        <v>238562</v>
      </c>
      <c r="J596" s="163"/>
      <c r="L596" s="235"/>
    </row>
    <row r="597" spans="1:12" ht="12">
      <c r="A597" s="72">
        <v>16</v>
      </c>
      <c r="B597" s="47" t="s">
        <v>259</v>
      </c>
      <c r="D597" s="72">
        <v>16</v>
      </c>
      <c r="E597" s="72"/>
      <c r="F597" s="162"/>
      <c r="G597" s="163">
        <v>1713899</v>
      </c>
      <c r="H597" s="162"/>
      <c r="I597" s="163">
        <v>265226</v>
      </c>
      <c r="J597" s="163"/>
      <c r="L597" s="235">
        <v>574877</v>
      </c>
    </row>
    <row r="598" spans="1:12" ht="12">
      <c r="A598" s="72">
        <v>17</v>
      </c>
      <c r="B598" s="47" t="s">
        <v>278</v>
      </c>
      <c r="D598" s="72">
        <v>17</v>
      </c>
      <c r="E598" s="72"/>
      <c r="F598" s="162"/>
      <c r="G598" s="163">
        <v>0</v>
      </c>
      <c r="H598" s="162"/>
      <c r="I598" s="163">
        <v>0</v>
      </c>
      <c r="J598" s="163"/>
      <c r="L598" s="234">
        <v>0</v>
      </c>
    </row>
    <row r="599" spans="1:12" ht="12">
      <c r="A599" s="72">
        <v>18</v>
      </c>
      <c r="D599" s="72">
        <v>18</v>
      </c>
      <c r="E599" s="72"/>
      <c r="F599" s="162"/>
      <c r="G599" s="163"/>
      <c r="H599" s="162"/>
      <c r="I599" s="163"/>
      <c r="J599" s="163"/>
      <c r="L599" s="77"/>
    </row>
    <row r="600" spans="1:10" ht="12">
      <c r="A600" s="72">
        <v>19</v>
      </c>
      <c r="B600" s="47" t="s">
        <v>284</v>
      </c>
      <c r="D600" s="72">
        <v>19</v>
      </c>
      <c r="E600" s="72"/>
      <c r="F600" s="162"/>
      <c r="G600" s="163">
        <v>0</v>
      </c>
      <c r="H600" s="162"/>
      <c r="I600" s="163">
        <v>0</v>
      </c>
      <c r="J600" s="163"/>
    </row>
    <row r="601" spans="1:10" ht="12">
      <c r="A601" s="72">
        <v>20</v>
      </c>
      <c r="B601" s="47"/>
      <c r="D601" s="72">
        <v>20</v>
      </c>
      <c r="E601" s="72"/>
      <c r="F601" s="162"/>
      <c r="G601" s="163"/>
      <c r="H601" s="162"/>
      <c r="I601" s="163"/>
      <c r="J601" s="163"/>
    </row>
    <row r="602" spans="1:10" ht="12">
      <c r="A602" s="72">
        <v>21</v>
      </c>
      <c r="B602" s="47"/>
      <c r="D602" s="72">
        <v>21</v>
      </c>
      <c r="E602" s="72"/>
      <c r="F602" s="162"/>
      <c r="G602" s="163"/>
      <c r="H602" s="162"/>
      <c r="I602" s="163"/>
      <c r="J602" s="163"/>
    </row>
    <row r="603" spans="1:10" ht="12">
      <c r="A603" s="72">
        <v>22</v>
      </c>
      <c r="B603" s="47"/>
      <c r="D603" s="72">
        <v>22</v>
      </c>
      <c r="E603" s="72"/>
      <c r="F603" s="162"/>
      <c r="G603" s="163"/>
      <c r="H603" s="162"/>
      <c r="I603" s="163"/>
      <c r="J603" s="163"/>
    </row>
    <row r="604" spans="1:10" ht="12">
      <c r="A604" s="72">
        <v>23</v>
      </c>
      <c r="B604" s="47"/>
      <c r="D604" s="72">
        <v>23</v>
      </c>
      <c r="E604" s="72"/>
      <c r="F604" s="162"/>
      <c r="G604" s="163"/>
      <c r="H604" s="162"/>
      <c r="I604" s="163"/>
      <c r="J604" s="163"/>
    </row>
    <row r="605" spans="1:10" ht="12">
      <c r="A605" s="72">
        <v>24</v>
      </c>
      <c r="B605" s="47"/>
      <c r="D605" s="72">
        <v>24</v>
      </c>
      <c r="E605" s="72"/>
      <c r="F605" s="181"/>
      <c r="G605" s="158"/>
      <c r="H605" s="181"/>
      <c r="I605" s="158"/>
      <c r="J605" s="158"/>
    </row>
    <row r="606" spans="4:12" ht="12">
      <c r="D606" s="68"/>
      <c r="E606" s="44" t="s">
        <v>1</v>
      </c>
      <c r="F606" s="44" t="s">
        <v>1</v>
      </c>
      <c r="G606" s="71" t="s">
        <v>1</v>
      </c>
      <c r="H606" s="44" t="s">
        <v>1</v>
      </c>
      <c r="I606" s="71" t="s">
        <v>1</v>
      </c>
      <c r="J606" s="71"/>
      <c r="K606" s="71" t="s">
        <v>1</v>
      </c>
      <c r="L606" s="71" t="s">
        <v>1</v>
      </c>
    </row>
    <row r="607" spans="1:12" ht="13.5" customHeight="1">
      <c r="A607" s="72">
        <v>25</v>
      </c>
      <c r="B607" s="47" t="s">
        <v>474</v>
      </c>
      <c r="D607" s="72">
        <v>25</v>
      </c>
      <c r="E607" s="72"/>
      <c r="F607" s="166">
        <v>235.3270628618601</v>
      </c>
      <c r="G607" s="159">
        <v>27248477</v>
      </c>
      <c r="H607" s="166">
        <v>193.21563016832798</v>
      </c>
      <c r="I607" s="159">
        <v>22439080</v>
      </c>
      <c r="J607" s="159"/>
      <c r="K607" s="166">
        <v>194.9825477076248</v>
      </c>
      <c r="L607" s="235">
        <v>23008097</v>
      </c>
    </row>
    <row r="608" spans="4:10" ht="12">
      <c r="D608" s="68"/>
      <c r="E608" s="68"/>
      <c r="F608" s="95"/>
      <c r="G608" s="71"/>
      <c r="H608" s="95"/>
      <c r="I608" s="71"/>
      <c r="J608" s="71"/>
    </row>
    <row r="609" ht="12">
      <c r="A609" s="47" t="s">
        <v>571</v>
      </c>
    </row>
    <row r="611" spans="1:12" s="93" customFormat="1" ht="12">
      <c r="A611" s="91" t="s">
        <v>550</v>
      </c>
      <c r="D611" s="112"/>
      <c r="E611" s="112"/>
      <c r="F611" s="113"/>
      <c r="G611" s="114"/>
      <c r="H611" s="113"/>
      <c r="J611" s="92"/>
      <c r="L611" s="92" t="s">
        <v>294</v>
      </c>
    </row>
    <row r="612" spans="1:12" s="93" customFormat="1" ht="12">
      <c r="A612" s="472" t="s">
        <v>295</v>
      </c>
      <c r="B612" s="472"/>
      <c r="C612" s="472"/>
      <c r="D612" s="472"/>
      <c r="E612" s="472"/>
      <c r="F612" s="472"/>
      <c r="G612" s="472"/>
      <c r="H612" s="472"/>
      <c r="I612" s="472"/>
      <c r="J612" s="472"/>
      <c r="K612" s="472"/>
      <c r="L612" s="472"/>
    </row>
    <row r="613" spans="1:12" ht="12">
      <c r="A613" s="91" t="s">
        <v>551</v>
      </c>
      <c r="F613" s="147"/>
      <c r="G613" s="148"/>
      <c r="H613" s="84"/>
      <c r="I613" s="94"/>
      <c r="J613" s="94"/>
      <c r="L613" s="94" t="s">
        <v>71</v>
      </c>
    </row>
    <row r="614" spans="1:12" ht="12">
      <c r="A614" s="45" t="s">
        <v>1</v>
      </c>
      <c r="B614" s="45" t="s">
        <v>1</v>
      </c>
      <c r="C614" s="45" t="s">
        <v>1</v>
      </c>
      <c r="D614" s="45" t="s">
        <v>1</v>
      </c>
      <c r="E614" s="45"/>
      <c r="F614" s="95" t="s">
        <v>1</v>
      </c>
      <c r="G614" s="71" t="s">
        <v>1</v>
      </c>
      <c r="H614" s="95" t="s">
        <v>1</v>
      </c>
      <c r="I614" s="71" t="s">
        <v>1</v>
      </c>
      <c r="J614" s="71"/>
      <c r="K614" s="71" t="s">
        <v>1</v>
      </c>
      <c r="L614" s="71" t="s">
        <v>1</v>
      </c>
    </row>
    <row r="615" spans="1:12" ht="12">
      <c r="A615" s="59" t="s">
        <v>2</v>
      </c>
      <c r="D615" s="59" t="s">
        <v>2</v>
      </c>
      <c r="E615" s="59"/>
      <c r="F615" s="96"/>
      <c r="G615" s="87" t="s">
        <v>62</v>
      </c>
      <c r="H615" s="96"/>
      <c r="I615" s="87" t="s">
        <v>65</v>
      </c>
      <c r="J615" s="87"/>
      <c r="L615" s="77" t="s">
        <v>70</v>
      </c>
    </row>
    <row r="616" spans="1:12" ht="12">
      <c r="A616" s="59" t="s">
        <v>4</v>
      </c>
      <c r="B616" s="80" t="s">
        <v>18</v>
      </c>
      <c r="D616" s="59" t="s">
        <v>4</v>
      </c>
      <c r="E616" s="59"/>
      <c r="F616" s="96" t="s">
        <v>6</v>
      </c>
      <c r="G616" s="87" t="s">
        <v>7</v>
      </c>
      <c r="H616" s="96" t="s">
        <v>6</v>
      </c>
      <c r="I616" s="87" t="s">
        <v>7</v>
      </c>
      <c r="J616" s="87"/>
      <c r="K616" s="48" t="s">
        <v>19</v>
      </c>
      <c r="L616" s="77" t="s">
        <v>8</v>
      </c>
    </row>
    <row r="617" spans="1:12" ht="12">
      <c r="A617" s="45" t="s">
        <v>1</v>
      </c>
      <c r="B617" s="45" t="s">
        <v>1</v>
      </c>
      <c r="C617" s="45" t="s">
        <v>1</v>
      </c>
      <c r="D617" s="45" t="s">
        <v>1</v>
      </c>
      <c r="E617" s="45"/>
      <c r="F617" s="95"/>
      <c r="G617" s="71"/>
      <c r="H617" s="95"/>
      <c r="I617" s="71"/>
      <c r="J617" s="71"/>
      <c r="K617" s="71" t="s">
        <v>1</v>
      </c>
      <c r="L617" s="71" t="s">
        <v>1</v>
      </c>
    </row>
    <row r="618" spans="1:12" ht="12">
      <c r="A618" s="72">
        <v>1</v>
      </c>
      <c r="B618" s="47" t="s">
        <v>276</v>
      </c>
      <c r="D618" s="72">
        <v>1</v>
      </c>
      <c r="E618" s="72"/>
      <c r="F618" s="182">
        <v>19.741315191844265</v>
      </c>
      <c r="G618" s="163">
        <v>1990655</v>
      </c>
      <c r="H618" s="182">
        <v>15.347372492239952</v>
      </c>
      <c r="I618" s="163">
        <v>1547583</v>
      </c>
      <c r="J618" s="163"/>
      <c r="K618" s="223">
        <v>15.258069954480995</v>
      </c>
      <c r="L618" s="57">
        <v>1538578</v>
      </c>
    </row>
    <row r="619" spans="1:12" ht="12">
      <c r="A619" s="72">
        <v>2</v>
      </c>
      <c r="B619" s="47" t="s">
        <v>268</v>
      </c>
      <c r="D619" s="72">
        <v>2</v>
      </c>
      <c r="E619" s="72"/>
      <c r="F619" s="162"/>
      <c r="G619" s="163">
        <v>425881</v>
      </c>
      <c r="H619" s="182"/>
      <c r="I619" s="163">
        <v>352746</v>
      </c>
      <c r="J619" s="163"/>
      <c r="L619" s="57">
        <v>415523</v>
      </c>
    </row>
    <row r="620" spans="1:12" ht="12">
      <c r="A620" s="72">
        <v>3</v>
      </c>
      <c r="D620" s="72">
        <v>3</v>
      </c>
      <c r="E620" s="72"/>
      <c r="F620" s="162"/>
      <c r="G620" s="163"/>
      <c r="H620" s="182"/>
      <c r="I620" s="163"/>
      <c r="J620" s="163"/>
      <c r="L620" s="57"/>
    </row>
    <row r="621" spans="1:12" ht="12">
      <c r="A621" s="72">
        <v>4</v>
      </c>
      <c r="B621" s="47" t="s">
        <v>270</v>
      </c>
      <c r="D621" s="72">
        <v>4</v>
      </c>
      <c r="E621" s="72"/>
      <c r="F621" s="162">
        <v>19.741315191844265</v>
      </c>
      <c r="G621" s="163">
        <v>2416536</v>
      </c>
      <c r="H621" s="182">
        <v>15.347372492239952</v>
      </c>
      <c r="I621" s="163">
        <v>1900329</v>
      </c>
      <c r="J621" s="163"/>
      <c r="K621" s="223">
        <v>15.258069954480995</v>
      </c>
      <c r="L621" s="57">
        <v>1954101</v>
      </c>
    </row>
    <row r="622" spans="1:12" ht="12">
      <c r="A622" s="72">
        <v>5</v>
      </c>
      <c r="D622" s="72">
        <v>5</v>
      </c>
      <c r="E622" s="72"/>
      <c r="F622" s="162"/>
      <c r="G622" s="163"/>
      <c r="H622" s="182"/>
      <c r="I622" s="163"/>
      <c r="J622" s="163"/>
      <c r="K622" s="223"/>
      <c r="L622" s="57"/>
    </row>
    <row r="623" spans="1:12" ht="12">
      <c r="A623" s="72">
        <v>6</v>
      </c>
      <c r="D623" s="72">
        <v>6</v>
      </c>
      <c r="E623" s="72"/>
      <c r="F623" s="162"/>
      <c r="G623" s="163"/>
      <c r="H623" s="182"/>
      <c r="I623" s="163"/>
      <c r="J623" s="163"/>
      <c r="K623" s="223"/>
      <c r="L623" s="57"/>
    </row>
    <row r="624" spans="1:12" ht="12">
      <c r="A624" s="72">
        <v>7</v>
      </c>
      <c r="B624" s="47" t="s">
        <v>253</v>
      </c>
      <c r="D624" s="72">
        <v>7</v>
      </c>
      <c r="E624" s="72"/>
      <c r="F624" s="182">
        <v>193.6898165100289</v>
      </c>
      <c r="G624" s="163">
        <v>9521404</v>
      </c>
      <c r="H624" s="182">
        <v>108.73363440335245</v>
      </c>
      <c r="I624" s="163">
        <v>5345128</v>
      </c>
      <c r="J624" s="163"/>
      <c r="K624" s="223">
        <v>106.31203466373734</v>
      </c>
      <c r="L624" s="57">
        <v>5226087</v>
      </c>
    </row>
    <row r="625" spans="1:12" ht="12">
      <c r="A625" s="72">
        <v>8</v>
      </c>
      <c r="B625" s="47" t="s">
        <v>254</v>
      </c>
      <c r="D625" s="72">
        <v>8</v>
      </c>
      <c r="E625" s="72"/>
      <c r="F625" s="162"/>
      <c r="G625" s="163">
        <v>2449787</v>
      </c>
      <c r="H625" s="182"/>
      <c r="I625" s="163">
        <v>1809425</v>
      </c>
      <c r="J625" s="163"/>
      <c r="K625" s="223"/>
      <c r="L625" s="57">
        <v>1890876</v>
      </c>
    </row>
    <row r="626" spans="1:12" ht="12">
      <c r="A626" s="72">
        <v>9</v>
      </c>
      <c r="B626" s="47" t="s">
        <v>255</v>
      </c>
      <c r="D626" s="72">
        <v>9</v>
      </c>
      <c r="E626" s="72"/>
      <c r="F626" s="162">
        <v>193.6898165100289</v>
      </c>
      <c r="G626" s="163">
        <v>11971191</v>
      </c>
      <c r="H626" s="182">
        <v>108.73363440335245</v>
      </c>
      <c r="I626" s="163">
        <v>7154553</v>
      </c>
      <c r="J626" s="163"/>
      <c r="K626" s="223">
        <v>106.31203466373734</v>
      </c>
      <c r="L626" s="57">
        <v>7116963</v>
      </c>
    </row>
    <row r="627" spans="1:12" ht="12">
      <c r="A627" s="72">
        <v>10</v>
      </c>
      <c r="D627" s="72">
        <v>10</v>
      </c>
      <c r="E627" s="72"/>
      <c r="F627" s="162"/>
      <c r="G627" s="163"/>
      <c r="H627" s="182"/>
      <c r="I627" s="163"/>
      <c r="J627" s="163"/>
      <c r="K627" s="223"/>
      <c r="L627" s="57"/>
    </row>
    <row r="628" spans="1:12" ht="12">
      <c r="A628" s="72">
        <v>11</v>
      </c>
      <c r="B628" s="47" t="s">
        <v>256</v>
      </c>
      <c r="D628" s="72">
        <v>11</v>
      </c>
      <c r="E628" s="72"/>
      <c r="F628" s="166">
        <v>213.43113170187314</v>
      </c>
      <c r="G628" s="159">
        <v>14387727</v>
      </c>
      <c r="H628" s="183">
        <v>124.08100689559241</v>
      </c>
      <c r="I628" s="159">
        <v>9054882</v>
      </c>
      <c r="J628" s="159"/>
      <c r="K628" s="223">
        <v>121.57010461821832</v>
      </c>
      <c r="L628" s="57">
        <v>9071064</v>
      </c>
    </row>
    <row r="629" spans="1:12" ht="12">
      <c r="A629" s="72">
        <v>12</v>
      </c>
      <c r="D629" s="72">
        <v>12</v>
      </c>
      <c r="E629" s="72"/>
      <c r="F629" s="166"/>
      <c r="G629" s="159"/>
      <c r="H629" s="183"/>
      <c r="I629" s="159"/>
      <c r="J629" s="159"/>
      <c r="K629" s="223"/>
      <c r="L629" s="57"/>
    </row>
    <row r="630" spans="1:12" ht="12">
      <c r="A630" s="72">
        <v>13</v>
      </c>
      <c r="B630" s="47" t="s">
        <v>277</v>
      </c>
      <c r="D630" s="72">
        <v>13</v>
      </c>
      <c r="E630" s="72"/>
      <c r="F630" s="182">
        <v>2.5133071484681855</v>
      </c>
      <c r="G630" s="163">
        <v>79986</v>
      </c>
      <c r="H630" s="182">
        <v>1.506457187745483</v>
      </c>
      <c r="I630" s="163">
        <v>47943</v>
      </c>
      <c r="J630" s="163"/>
      <c r="K630" s="223">
        <v>1.556700706991359</v>
      </c>
      <c r="L630" s="57">
        <v>49542</v>
      </c>
    </row>
    <row r="631" spans="1:12" ht="12">
      <c r="A631" s="72">
        <v>14</v>
      </c>
      <c r="B631" s="47" t="s">
        <v>296</v>
      </c>
      <c r="D631" s="72">
        <v>14</v>
      </c>
      <c r="E631" s="72"/>
      <c r="F631" s="162"/>
      <c r="G631" s="163"/>
      <c r="H631" s="182"/>
      <c r="I631" s="163"/>
      <c r="J631" s="163"/>
      <c r="K631" s="223"/>
      <c r="L631" s="57"/>
    </row>
    <row r="632" spans="1:12" ht="12">
      <c r="A632" s="72">
        <v>15</v>
      </c>
      <c r="B632" s="47" t="s">
        <v>258</v>
      </c>
      <c r="D632" s="72">
        <v>15</v>
      </c>
      <c r="E632" s="72"/>
      <c r="F632" s="162"/>
      <c r="G632" s="163">
        <v>43081</v>
      </c>
      <c r="H632" s="182"/>
      <c r="I632" s="163">
        <v>8329</v>
      </c>
      <c r="J632" s="163"/>
      <c r="L632" s="57"/>
    </row>
    <row r="633" spans="1:12" ht="12">
      <c r="A633" s="72">
        <v>16</v>
      </c>
      <c r="B633" s="47" t="s">
        <v>297</v>
      </c>
      <c r="D633" s="72">
        <v>16</v>
      </c>
      <c r="E633" s="72"/>
      <c r="F633" s="162"/>
      <c r="G633" s="163">
        <v>6432584</v>
      </c>
      <c r="H633" s="182"/>
      <c r="I633" s="163">
        <v>4073022</v>
      </c>
      <c r="J633" s="163"/>
      <c r="L633" s="57">
        <v>4352490</v>
      </c>
    </row>
    <row r="634" spans="1:12" ht="12">
      <c r="A634" s="72">
        <v>17</v>
      </c>
      <c r="B634" s="47" t="s">
        <v>259</v>
      </c>
      <c r="D634" s="72">
        <v>17</v>
      </c>
      <c r="E634" s="72"/>
      <c r="F634" s="162"/>
      <c r="G634" s="163">
        <v>2165333</v>
      </c>
      <c r="H634" s="182"/>
      <c r="I634" s="163">
        <v>4628614</v>
      </c>
      <c r="J634" s="163"/>
      <c r="L634" s="57">
        <v>3974597</v>
      </c>
    </row>
    <row r="635" spans="1:12" ht="12">
      <c r="A635" s="72">
        <v>18</v>
      </c>
      <c r="B635" s="47" t="s">
        <v>278</v>
      </c>
      <c r="D635" s="72">
        <v>18</v>
      </c>
      <c r="E635" s="72"/>
      <c r="F635" s="162"/>
      <c r="G635" s="163">
        <v>0</v>
      </c>
      <c r="H635" s="182"/>
      <c r="I635" s="163">
        <v>0</v>
      </c>
      <c r="J635" s="163"/>
      <c r="L635" s="57"/>
    </row>
    <row r="636" spans="1:12" ht="12">
      <c r="A636" s="72">
        <v>19</v>
      </c>
      <c r="B636" s="47" t="s">
        <v>284</v>
      </c>
      <c r="D636" s="72">
        <v>19</v>
      </c>
      <c r="E636" s="72"/>
      <c r="F636" s="162"/>
      <c r="G636" s="163"/>
      <c r="H636" s="182"/>
      <c r="I636" s="163">
        <v>0</v>
      </c>
      <c r="J636" s="163"/>
      <c r="L636" s="57"/>
    </row>
    <row r="637" spans="1:12" ht="12">
      <c r="A637" s="72">
        <v>20</v>
      </c>
      <c r="B637" s="47"/>
      <c r="D637" s="72">
        <v>20</v>
      </c>
      <c r="E637" s="72"/>
      <c r="F637" s="162"/>
      <c r="G637" s="163"/>
      <c r="H637" s="182"/>
      <c r="I637" s="163"/>
      <c r="J637" s="163"/>
      <c r="L637" s="57"/>
    </row>
    <row r="638" spans="1:12" ht="12">
      <c r="A638" s="72">
        <v>21</v>
      </c>
      <c r="B638" s="47"/>
      <c r="D638" s="72">
        <v>21</v>
      </c>
      <c r="E638" s="72"/>
      <c r="F638" s="162"/>
      <c r="G638" s="163"/>
      <c r="H638" s="182"/>
      <c r="I638" s="163"/>
      <c r="J638" s="163"/>
      <c r="L638" s="57"/>
    </row>
    <row r="639" spans="1:12" ht="12">
      <c r="A639" s="72">
        <v>22</v>
      </c>
      <c r="B639" s="47"/>
      <c r="D639" s="72">
        <v>22</v>
      </c>
      <c r="E639" s="72"/>
      <c r="F639" s="162"/>
      <c r="G639" s="163"/>
      <c r="H639" s="182"/>
      <c r="I639" s="163"/>
      <c r="J639" s="163"/>
      <c r="L639" s="57"/>
    </row>
    <row r="640" spans="1:12" ht="12">
      <c r="A640" s="72">
        <v>23</v>
      </c>
      <c r="B640" s="47"/>
      <c r="D640" s="72">
        <v>23</v>
      </c>
      <c r="E640" s="72"/>
      <c r="F640" s="162"/>
      <c r="G640" s="163"/>
      <c r="H640" s="182"/>
      <c r="I640" s="163"/>
      <c r="J640" s="163"/>
      <c r="L640" s="57"/>
    </row>
    <row r="641" spans="1:10" ht="12">
      <c r="A641" s="72">
        <v>24</v>
      </c>
      <c r="B641" s="47"/>
      <c r="D641" s="72">
        <v>24</v>
      </c>
      <c r="E641" s="72"/>
      <c r="F641" s="181"/>
      <c r="G641" s="158"/>
      <c r="H641" s="184"/>
      <c r="I641" s="158"/>
      <c r="J641" s="158"/>
    </row>
    <row r="642" spans="4:12" ht="12">
      <c r="D642" s="68"/>
      <c r="E642" s="44" t="s">
        <v>1</v>
      </c>
      <c r="F642" s="44" t="s">
        <v>1</v>
      </c>
      <c r="G642" s="71" t="s">
        <v>1</v>
      </c>
      <c r="H642" s="185" t="s">
        <v>1</v>
      </c>
      <c r="I642" s="71" t="s">
        <v>1</v>
      </c>
      <c r="J642" s="71"/>
      <c r="K642" s="71" t="s">
        <v>1</v>
      </c>
      <c r="L642" s="71" t="s">
        <v>1</v>
      </c>
    </row>
    <row r="643" spans="1:12" ht="13.5" customHeight="1">
      <c r="A643" s="72">
        <v>25</v>
      </c>
      <c r="B643" s="186" t="s">
        <v>475</v>
      </c>
      <c r="D643" s="72">
        <v>25</v>
      </c>
      <c r="E643" s="72"/>
      <c r="F643" s="166">
        <v>215.94443885034133</v>
      </c>
      <c r="G643" s="159">
        <v>23108711</v>
      </c>
      <c r="H643" s="183">
        <v>125.58746408333789</v>
      </c>
      <c r="I643" s="159">
        <v>17812790</v>
      </c>
      <c r="J643" s="159"/>
      <c r="K643" s="246">
        <v>123.12680532520969</v>
      </c>
      <c r="L643" s="57">
        <v>17447693</v>
      </c>
    </row>
    <row r="644" spans="3:10" ht="12">
      <c r="C644" s="73"/>
      <c r="F644" s="95"/>
      <c r="G644" s="71"/>
      <c r="H644" s="185"/>
      <c r="I644" s="71"/>
      <c r="J644" s="71"/>
    </row>
    <row r="645" spans="1:10" ht="12">
      <c r="A645" s="48" t="s">
        <v>572</v>
      </c>
      <c r="F645" s="119"/>
      <c r="G645" s="122"/>
      <c r="H645" s="119"/>
      <c r="I645" s="119"/>
      <c r="J645" s="119"/>
    </row>
    <row r="646" ht="12">
      <c r="A646" s="47"/>
    </row>
    <row r="647" spans="1:12" s="93" customFormat="1" ht="12">
      <c r="A647" s="91" t="s">
        <v>550</v>
      </c>
      <c r="D647" s="112"/>
      <c r="E647" s="112"/>
      <c r="F647" s="113"/>
      <c r="G647" s="114"/>
      <c r="H647" s="113"/>
      <c r="J647" s="92"/>
      <c r="L647" s="92" t="s">
        <v>294</v>
      </c>
    </row>
    <row r="648" spans="1:12" s="93" customFormat="1" ht="13.5" customHeight="1">
      <c r="A648" s="472" t="s">
        <v>573</v>
      </c>
      <c r="B648" s="472"/>
      <c r="C648" s="472"/>
      <c r="D648" s="472"/>
      <c r="E648" s="472"/>
      <c r="F648" s="472"/>
      <c r="G648" s="472"/>
      <c r="H648" s="472"/>
      <c r="I648" s="472"/>
      <c r="J648" s="472"/>
      <c r="K648" s="472"/>
      <c r="L648" s="472"/>
    </row>
    <row r="649" spans="1:12" ht="12">
      <c r="A649" s="91" t="s">
        <v>551</v>
      </c>
      <c r="F649" s="147"/>
      <c r="G649" s="148"/>
      <c r="H649" s="84"/>
      <c r="I649" s="94"/>
      <c r="J649" s="94"/>
      <c r="L649" s="94" t="s">
        <v>71</v>
      </c>
    </row>
    <row r="650" spans="1:12" ht="12">
      <c r="A650" s="45" t="s">
        <v>1</v>
      </c>
      <c r="B650" s="45" t="s">
        <v>1</v>
      </c>
      <c r="C650" s="45" t="s">
        <v>1</v>
      </c>
      <c r="D650" s="45" t="s">
        <v>1</v>
      </c>
      <c r="E650" s="45"/>
      <c r="F650" s="95" t="s">
        <v>1</v>
      </c>
      <c r="G650" s="71" t="s">
        <v>1</v>
      </c>
      <c r="H650" s="95" t="s">
        <v>1</v>
      </c>
      <c r="I650" s="71" t="s">
        <v>1</v>
      </c>
      <c r="J650" s="71"/>
      <c r="K650" s="71" t="s">
        <v>1</v>
      </c>
      <c r="L650" s="71" t="s">
        <v>1</v>
      </c>
    </row>
    <row r="651" spans="1:12" ht="12">
      <c r="A651" s="59" t="s">
        <v>2</v>
      </c>
      <c r="D651" s="59" t="s">
        <v>2</v>
      </c>
      <c r="E651" s="59"/>
      <c r="F651" s="96"/>
      <c r="G651" s="87" t="s">
        <v>62</v>
      </c>
      <c r="H651" s="96"/>
      <c r="I651" s="87" t="s">
        <v>65</v>
      </c>
      <c r="J651" s="87"/>
      <c r="L651" s="77" t="s">
        <v>70</v>
      </c>
    </row>
    <row r="652" spans="1:12" ht="12">
      <c r="A652" s="59" t="s">
        <v>4</v>
      </c>
      <c r="B652" s="80" t="s">
        <v>18</v>
      </c>
      <c r="D652" s="59" t="s">
        <v>4</v>
      </c>
      <c r="E652" s="59"/>
      <c r="F652" s="96" t="s">
        <v>6</v>
      </c>
      <c r="G652" s="87" t="s">
        <v>7</v>
      </c>
      <c r="H652" s="96" t="s">
        <v>6</v>
      </c>
      <c r="I652" s="87" t="s">
        <v>7</v>
      </c>
      <c r="J652" s="87"/>
      <c r="K652" s="77" t="s">
        <v>19</v>
      </c>
      <c r="L652" s="77" t="s">
        <v>8</v>
      </c>
    </row>
    <row r="653" spans="1:12" ht="12">
      <c r="A653" s="45" t="s">
        <v>1</v>
      </c>
      <c r="B653" s="45" t="s">
        <v>1</v>
      </c>
      <c r="C653" s="45" t="s">
        <v>1</v>
      </c>
      <c r="D653" s="45" t="s">
        <v>1</v>
      </c>
      <c r="E653" s="45"/>
      <c r="F653" s="95"/>
      <c r="G653" s="71"/>
      <c r="H653" s="95"/>
      <c r="I653" s="71"/>
      <c r="J653" s="71"/>
      <c r="K653" s="71" t="s">
        <v>1</v>
      </c>
      <c r="L653" s="71" t="s">
        <v>1</v>
      </c>
    </row>
    <row r="654" spans="3:10" ht="12">
      <c r="C654" s="73"/>
      <c r="F654" s="102"/>
      <c r="G654" s="102"/>
      <c r="H654" s="102"/>
      <c r="I654" s="102"/>
      <c r="J654" s="102"/>
    </row>
    <row r="655" spans="1:10" ht="12">
      <c r="A655" s="72">
        <v>26</v>
      </c>
      <c r="B655" s="47" t="s">
        <v>302</v>
      </c>
      <c r="D655" s="72">
        <v>26</v>
      </c>
      <c r="E655" s="72"/>
      <c r="F655" s="102"/>
      <c r="G655" s="172"/>
      <c r="H655" s="102"/>
      <c r="I655" s="172"/>
      <c r="J655" s="172"/>
    </row>
    <row r="656" spans="1:12" ht="12">
      <c r="A656" s="72">
        <v>27</v>
      </c>
      <c r="B656" s="47" t="s">
        <v>303</v>
      </c>
      <c r="D656" s="72">
        <v>27</v>
      </c>
      <c r="E656" s="72"/>
      <c r="F656" s="125"/>
      <c r="G656" s="125">
        <v>4506000</v>
      </c>
      <c r="H656" s="125"/>
      <c r="I656" s="125">
        <v>3876380</v>
      </c>
      <c r="J656" s="125"/>
      <c r="L656" s="247">
        <v>3883340</v>
      </c>
    </row>
    <row r="657" spans="1:10" ht="12">
      <c r="A657" s="72">
        <v>28</v>
      </c>
      <c r="B657" s="47" t="s">
        <v>476</v>
      </c>
      <c r="D657" s="72">
        <v>28</v>
      </c>
      <c r="E657" s="72"/>
      <c r="F657" s="125"/>
      <c r="G657" s="125">
        <v>0</v>
      </c>
      <c r="H657" s="125"/>
      <c r="I657" s="125"/>
      <c r="J657" s="125"/>
    </row>
    <row r="658" spans="1:10" ht="12">
      <c r="A658" s="72">
        <v>29</v>
      </c>
      <c r="B658" s="66" t="s">
        <v>574</v>
      </c>
      <c r="D658" s="72">
        <v>29</v>
      </c>
      <c r="E658" s="72"/>
      <c r="F658" s="125"/>
      <c r="G658" s="125"/>
      <c r="H658" s="125"/>
      <c r="I658" s="125"/>
      <c r="J658" s="125"/>
    </row>
    <row r="659" spans="1:10" ht="12">
      <c r="A659" s="72">
        <v>30</v>
      </c>
      <c r="B659" s="66" t="s">
        <v>575</v>
      </c>
      <c r="D659" s="72">
        <v>30</v>
      </c>
      <c r="E659" s="72"/>
      <c r="F659" s="125"/>
      <c r="G659" s="125"/>
      <c r="H659" s="125"/>
      <c r="I659" s="125"/>
      <c r="J659" s="125"/>
    </row>
    <row r="660" spans="1:10" ht="12">
      <c r="A660" s="72">
        <v>31</v>
      </c>
      <c r="B660" s="66" t="s">
        <v>576</v>
      </c>
      <c r="D660" s="72">
        <v>31</v>
      </c>
      <c r="E660" s="72"/>
      <c r="F660" s="125"/>
      <c r="G660" s="125"/>
      <c r="H660" s="125"/>
      <c r="I660" s="125"/>
      <c r="J660" s="125"/>
    </row>
    <row r="661" spans="1:10" ht="12">
      <c r="A661" s="72">
        <v>32</v>
      </c>
      <c r="B661" s="66" t="s">
        <v>577</v>
      </c>
      <c r="D661" s="72">
        <v>32</v>
      </c>
      <c r="E661" s="72"/>
      <c r="F661" s="125"/>
      <c r="G661" s="122"/>
      <c r="H661" s="125"/>
      <c r="I661" s="122"/>
      <c r="J661" s="122"/>
    </row>
    <row r="662" spans="1:10" ht="12">
      <c r="A662" s="72">
        <v>33</v>
      </c>
      <c r="B662" s="66" t="s">
        <v>578</v>
      </c>
      <c r="D662" s="72">
        <v>33</v>
      </c>
      <c r="E662" s="72"/>
      <c r="F662" s="125"/>
      <c r="G662" s="122"/>
      <c r="H662" s="125"/>
      <c r="I662" s="122"/>
      <c r="J662" s="122"/>
    </row>
    <row r="663" spans="1:10" ht="12">
      <c r="A663" s="72">
        <v>34</v>
      </c>
      <c r="B663" s="66" t="s">
        <v>579</v>
      </c>
      <c r="D663" s="72">
        <v>34</v>
      </c>
      <c r="E663" s="72"/>
      <c r="F663" s="125"/>
      <c r="G663" s="122"/>
      <c r="H663" s="125"/>
      <c r="I663" s="122"/>
      <c r="J663" s="122"/>
    </row>
    <row r="664" spans="1:10" ht="12">
      <c r="A664" s="72"/>
      <c r="B664" s="66" t="s">
        <v>580</v>
      </c>
      <c r="D664" s="72"/>
      <c r="E664" s="72"/>
      <c r="F664" s="125"/>
      <c r="G664" s="122"/>
      <c r="H664" s="125"/>
      <c r="I664" s="122"/>
      <c r="J664" s="122"/>
    </row>
    <row r="665" spans="1:10" ht="12">
      <c r="A665" s="72"/>
      <c r="B665" s="66" t="s">
        <v>581</v>
      </c>
      <c r="D665" s="72"/>
      <c r="E665" s="72"/>
      <c r="F665" s="125"/>
      <c r="G665" s="122">
        <v>11130</v>
      </c>
      <c r="H665" s="125"/>
      <c r="I665" s="122"/>
      <c r="J665" s="122"/>
    </row>
    <row r="666" spans="1:10" ht="12.75" customHeight="1">
      <c r="A666" s="72"/>
      <c r="B666" s="66" t="s">
        <v>582</v>
      </c>
      <c r="D666" s="72"/>
      <c r="E666" s="72"/>
      <c r="F666" s="125"/>
      <c r="G666" s="122"/>
      <c r="H666" s="125"/>
      <c r="I666" s="122"/>
      <c r="J666" s="122"/>
    </row>
    <row r="667" spans="1:10" ht="12.75" customHeight="1">
      <c r="A667" s="72"/>
      <c r="B667" s="66" t="s">
        <v>583</v>
      </c>
      <c r="D667" s="72"/>
      <c r="E667" s="72"/>
      <c r="F667" s="125"/>
      <c r="G667" s="122">
        <v>506000</v>
      </c>
      <c r="H667" s="125"/>
      <c r="I667" s="122"/>
      <c r="J667" s="122"/>
    </row>
    <row r="668" spans="1:10" ht="12.75" customHeight="1">
      <c r="A668" s="72"/>
      <c r="B668" s="66" t="s">
        <v>584</v>
      </c>
      <c r="D668" s="72"/>
      <c r="E668" s="72"/>
      <c r="F668" s="125"/>
      <c r="G668" s="122"/>
      <c r="H668" s="125"/>
      <c r="I668" s="122">
        <v>6960</v>
      </c>
      <c r="J668" s="122"/>
    </row>
    <row r="669" spans="1:12" ht="12.75" customHeight="1">
      <c r="A669" s="72"/>
      <c r="B669" s="66" t="s">
        <v>585</v>
      </c>
      <c r="D669" s="72"/>
      <c r="E669" s="72"/>
      <c r="F669" s="125"/>
      <c r="G669" s="122"/>
      <c r="H669" s="125"/>
      <c r="I669" s="122"/>
      <c r="J669" s="122"/>
      <c r="L669" s="82">
        <v>171418</v>
      </c>
    </row>
    <row r="670" spans="1:12" s="93" customFormat="1" ht="12">
      <c r="A670" s="91" t="s">
        <v>550</v>
      </c>
      <c r="D670" s="112"/>
      <c r="E670" s="112"/>
      <c r="F670" s="113"/>
      <c r="G670" s="114"/>
      <c r="H670" s="113"/>
      <c r="J670" s="92"/>
      <c r="L670" s="92" t="s">
        <v>294</v>
      </c>
    </row>
    <row r="671" spans="1:12" s="93" customFormat="1" ht="13.5" customHeight="1">
      <c r="A671" s="472" t="s">
        <v>573</v>
      </c>
      <c r="B671" s="472"/>
      <c r="C671" s="472"/>
      <c r="D671" s="472"/>
      <c r="E671" s="472"/>
      <c r="F671" s="472"/>
      <c r="G671" s="472"/>
      <c r="H671" s="472"/>
      <c r="I671" s="472"/>
      <c r="J671" s="472"/>
      <c r="K671" s="472"/>
      <c r="L671" s="472"/>
    </row>
    <row r="672" spans="1:12" ht="12">
      <c r="A672" s="91" t="s">
        <v>551</v>
      </c>
      <c r="F672" s="147"/>
      <c r="G672" s="148"/>
      <c r="H672" s="84"/>
      <c r="I672" s="94"/>
      <c r="J672" s="94"/>
      <c r="L672" s="94" t="s">
        <v>71</v>
      </c>
    </row>
    <row r="673" spans="1:10" ht="12">
      <c r="A673" s="72">
        <v>35</v>
      </c>
      <c r="B673" s="47" t="s">
        <v>488</v>
      </c>
      <c r="D673" s="72">
        <v>35</v>
      </c>
      <c r="E673" s="72"/>
      <c r="F673" s="125"/>
      <c r="G673" s="125">
        <v>0</v>
      </c>
      <c r="H673" s="125"/>
      <c r="I673" s="125">
        <v>0</v>
      </c>
      <c r="J673" s="125"/>
    </row>
    <row r="674" spans="1:10" ht="12">
      <c r="A674" s="72">
        <v>36</v>
      </c>
      <c r="B674" s="47" t="s">
        <v>586</v>
      </c>
      <c r="D674" s="72">
        <v>36</v>
      </c>
      <c r="E674" s="72"/>
      <c r="F674" s="125"/>
      <c r="G674" s="125"/>
      <c r="H674" s="125"/>
      <c r="I674" s="125"/>
      <c r="J674" s="125"/>
    </row>
    <row r="675" spans="1:10" ht="12">
      <c r="A675" s="72">
        <v>37</v>
      </c>
      <c r="B675" s="47" t="s">
        <v>587</v>
      </c>
      <c r="D675" s="72">
        <v>37</v>
      </c>
      <c r="E675" s="72"/>
      <c r="F675" s="125"/>
      <c r="G675" s="125"/>
      <c r="H675" s="125"/>
      <c r="I675" s="125"/>
      <c r="J675" s="125"/>
    </row>
    <row r="676" spans="1:10" ht="12">
      <c r="A676" s="72">
        <v>38</v>
      </c>
      <c r="B676" s="47" t="s">
        <v>588</v>
      </c>
      <c r="D676" s="72">
        <v>38</v>
      </c>
      <c r="E676" s="72"/>
      <c r="F676" s="125"/>
      <c r="G676" s="125">
        <v>-4000</v>
      </c>
      <c r="H676" s="125"/>
      <c r="I676" s="125"/>
      <c r="J676" s="125"/>
    </row>
    <row r="677" spans="1:10" ht="12">
      <c r="A677" s="72">
        <v>39</v>
      </c>
      <c r="B677" s="47" t="s">
        <v>589</v>
      </c>
      <c r="D677" s="72">
        <v>39</v>
      </c>
      <c r="E677" s="72"/>
      <c r="F677" s="125"/>
      <c r="G677" s="125"/>
      <c r="H677" s="125"/>
      <c r="I677" s="125"/>
      <c r="J677" s="125"/>
    </row>
    <row r="678" spans="1:10" ht="12">
      <c r="A678" s="72">
        <v>40</v>
      </c>
      <c r="B678" s="66" t="s">
        <v>590</v>
      </c>
      <c r="D678" s="72">
        <v>40</v>
      </c>
      <c r="E678" s="72"/>
      <c r="F678" s="125"/>
      <c r="G678" s="125">
        <v>-22800</v>
      </c>
      <c r="H678" s="125"/>
      <c r="I678" s="125"/>
      <c r="J678" s="125"/>
    </row>
    <row r="679" spans="1:10" ht="12">
      <c r="A679" s="72">
        <v>41</v>
      </c>
      <c r="B679" s="66" t="s">
        <v>591</v>
      </c>
      <c r="D679" s="72">
        <v>41</v>
      </c>
      <c r="E679" s="72"/>
      <c r="F679" s="125"/>
      <c r="G679" s="125"/>
      <c r="H679" s="125"/>
      <c r="I679" s="125"/>
      <c r="J679" s="125"/>
    </row>
    <row r="680" spans="1:10" ht="12">
      <c r="A680" s="72">
        <v>42</v>
      </c>
      <c r="B680" s="66" t="s">
        <v>592</v>
      </c>
      <c r="D680" s="72">
        <v>42</v>
      </c>
      <c r="E680" s="72"/>
      <c r="F680" s="125"/>
      <c r="G680" s="125"/>
      <c r="H680" s="125"/>
      <c r="I680" s="125"/>
      <c r="J680" s="125"/>
    </row>
    <row r="681" spans="1:10" ht="12">
      <c r="A681" s="72">
        <v>43</v>
      </c>
      <c r="B681" s="66" t="s">
        <v>593</v>
      </c>
      <c r="D681" s="72">
        <v>43</v>
      </c>
      <c r="E681" s="72"/>
      <c r="F681" s="125"/>
      <c r="G681" s="125"/>
      <c r="H681" s="125"/>
      <c r="I681" s="125"/>
      <c r="J681" s="125"/>
    </row>
    <row r="682" spans="1:10" ht="12">
      <c r="A682" s="72">
        <v>44</v>
      </c>
      <c r="B682" s="66" t="s">
        <v>594</v>
      </c>
      <c r="D682" s="72">
        <v>44</v>
      </c>
      <c r="E682" s="72"/>
      <c r="F682" s="125"/>
      <c r="G682" s="125">
        <v>-65500</v>
      </c>
      <c r="H682" s="125"/>
      <c r="I682" s="125"/>
      <c r="J682" s="125"/>
    </row>
    <row r="683" spans="1:10" ht="12">
      <c r="A683" s="72">
        <v>45</v>
      </c>
      <c r="B683" s="66" t="s">
        <v>595</v>
      </c>
      <c r="D683" s="72">
        <v>45</v>
      </c>
      <c r="E683" s="72"/>
      <c r="F683" s="125"/>
      <c r="G683" s="125">
        <v>-505000</v>
      </c>
      <c r="H683" s="125"/>
      <c r="I683" s="125"/>
      <c r="J683" s="125"/>
    </row>
    <row r="684" spans="1:10" ht="12">
      <c r="A684" s="72">
        <v>46</v>
      </c>
      <c r="B684" s="66" t="s">
        <v>596</v>
      </c>
      <c r="D684" s="72">
        <v>46</v>
      </c>
      <c r="E684" s="72"/>
      <c r="F684" s="125"/>
      <c r="G684" s="125">
        <v>-89700</v>
      </c>
      <c r="H684" s="125"/>
      <c r="I684" s="125"/>
      <c r="J684" s="125"/>
    </row>
    <row r="685" spans="1:10" ht="12">
      <c r="A685" s="72">
        <v>47</v>
      </c>
      <c r="B685" s="66" t="s">
        <v>597</v>
      </c>
      <c r="D685" s="72">
        <v>47</v>
      </c>
      <c r="E685" s="72"/>
      <c r="F685" s="125"/>
      <c r="G685" s="125">
        <v>-101000</v>
      </c>
      <c r="H685" s="125"/>
      <c r="I685" s="125"/>
      <c r="J685" s="125"/>
    </row>
    <row r="686" spans="1:10" ht="12">
      <c r="A686" s="72">
        <v>48</v>
      </c>
      <c r="B686" s="66" t="s">
        <v>598</v>
      </c>
      <c r="D686" s="72">
        <v>48</v>
      </c>
      <c r="E686" s="72"/>
      <c r="F686" s="125"/>
      <c r="G686" s="125">
        <v>-201000</v>
      </c>
      <c r="H686" s="125"/>
      <c r="I686" s="125"/>
      <c r="J686" s="125"/>
    </row>
    <row r="687" spans="1:10" ht="12">
      <c r="A687" s="72">
        <v>49</v>
      </c>
      <c r="B687" s="66" t="s">
        <v>599</v>
      </c>
      <c r="D687" s="72">
        <v>49</v>
      </c>
      <c r="E687" s="72"/>
      <c r="F687" s="125"/>
      <c r="G687" s="125">
        <v>-35900</v>
      </c>
      <c r="H687" s="125"/>
      <c r="I687" s="125"/>
      <c r="J687" s="125"/>
    </row>
    <row r="688" spans="1:10" ht="12">
      <c r="A688" s="72">
        <v>50</v>
      </c>
      <c r="B688" s="66" t="s">
        <v>600</v>
      </c>
      <c r="D688" s="72">
        <v>50</v>
      </c>
      <c r="E688" s="72"/>
      <c r="F688" s="125"/>
      <c r="G688" s="125">
        <v>-22500</v>
      </c>
      <c r="H688" s="125"/>
      <c r="I688" s="125"/>
      <c r="J688" s="125"/>
    </row>
    <row r="689" spans="1:10" ht="12">
      <c r="A689" s="72">
        <v>51</v>
      </c>
      <c r="B689" s="66" t="s">
        <v>601</v>
      </c>
      <c r="D689" s="72">
        <v>51</v>
      </c>
      <c r="E689" s="72"/>
      <c r="F689" s="125"/>
      <c r="G689" s="125">
        <v>-10950</v>
      </c>
      <c r="H689" s="125"/>
      <c r="I689" s="125"/>
      <c r="J689" s="125"/>
    </row>
    <row r="690" spans="1:10" ht="12">
      <c r="A690" s="72">
        <v>52</v>
      </c>
      <c r="B690" s="66" t="s">
        <v>602</v>
      </c>
      <c r="D690" s="72">
        <v>52</v>
      </c>
      <c r="E690" s="72"/>
      <c r="F690" s="125"/>
      <c r="G690" s="125">
        <v>-88400</v>
      </c>
      <c r="H690" s="125"/>
      <c r="I690" s="125"/>
      <c r="J690" s="125"/>
    </row>
    <row r="691" spans="1:12" ht="12">
      <c r="A691" s="72">
        <v>53</v>
      </c>
      <c r="B691" s="47" t="s">
        <v>490</v>
      </c>
      <c r="D691" s="72">
        <v>53</v>
      </c>
      <c r="E691" s="72"/>
      <c r="F691" s="119"/>
      <c r="G691" s="122">
        <v>3876380</v>
      </c>
      <c r="H691" s="119"/>
      <c r="I691" s="122">
        <v>3883340</v>
      </c>
      <c r="J691" s="122"/>
      <c r="L691" s="122">
        <v>4054758</v>
      </c>
    </row>
    <row r="692" spans="1:10" ht="12">
      <c r="A692" s="72">
        <v>54</v>
      </c>
      <c r="D692" s="72">
        <v>54</v>
      </c>
      <c r="E692" s="72"/>
      <c r="F692" s="119"/>
      <c r="G692" s="125"/>
      <c r="H692" s="119"/>
      <c r="I692" s="125"/>
      <c r="J692" s="125"/>
    </row>
    <row r="693" spans="1:12" ht="12">
      <c r="A693" s="72">
        <v>55</v>
      </c>
      <c r="B693" s="47" t="s">
        <v>312</v>
      </c>
      <c r="D693" s="72">
        <v>55</v>
      </c>
      <c r="E693" s="72"/>
      <c r="F693" s="125"/>
      <c r="G693" s="125">
        <v>124.85</v>
      </c>
      <c r="H693" s="125"/>
      <c r="I693" s="125">
        <v>124.85</v>
      </c>
      <c r="J693" s="125"/>
      <c r="L693" s="67">
        <v>124.85</v>
      </c>
    </row>
    <row r="694" spans="1:12" ht="12">
      <c r="A694" s="72" t="s">
        <v>603</v>
      </c>
      <c r="B694" s="47"/>
      <c r="D694" s="72"/>
      <c r="E694" s="72"/>
      <c r="F694" s="125"/>
      <c r="G694" s="125"/>
      <c r="H694" s="125"/>
      <c r="I694" s="125"/>
      <c r="J694" s="125"/>
      <c r="L694" s="67"/>
    </row>
    <row r="695" spans="1:12" s="93" customFormat="1" ht="12">
      <c r="A695" s="91" t="s">
        <v>550</v>
      </c>
      <c r="D695" s="112"/>
      <c r="E695" s="112"/>
      <c r="F695" s="113"/>
      <c r="G695" s="114"/>
      <c r="H695" s="113"/>
      <c r="J695" s="92"/>
      <c r="L695" s="92" t="s">
        <v>313</v>
      </c>
    </row>
    <row r="696" spans="1:12" s="93" customFormat="1" ht="12">
      <c r="A696" s="472" t="s">
        <v>491</v>
      </c>
      <c r="B696" s="472"/>
      <c r="C696" s="472"/>
      <c r="D696" s="472"/>
      <c r="E696" s="472"/>
      <c r="F696" s="472"/>
      <c r="G696" s="472"/>
      <c r="H696" s="472"/>
      <c r="I696" s="472"/>
      <c r="J696" s="472"/>
      <c r="K696" s="472"/>
      <c r="L696" s="472"/>
    </row>
    <row r="697" spans="1:12" ht="12">
      <c r="A697" s="91" t="s">
        <v>551</v>
      </c>
      <c r="F697" s="147"/>
      <c r="G697" s="148"/>
      <c r="H697" s="84"/>
      <c r="I697" s="94"/>
      <c r="J697" s="94"/>
      <c r="L697" s="94" t="s">
        <v>71</v>
      </c>
    </row>
    <row r="698" spans="1:12" ht="12">
      <c r="A698" s="45" t="s">
        <v>1</v>
      </c>
      <c r="B698" s="45" t="s">
        <v>1</v>
      </c>
      <c r="C698" s="45" t="s">
        <v>1</v>
      </c>
      <c r="D698" s="45" t="s">
        <v>1</v>
      </c>
      <c r="E698" s="45"/>
      <c r="F698" s="95" t="s">
        <v>1</v>
      </c>
      <c r="G698" s="71" t="s">
        <v>1</v>
      </c>
      <c r="H698" s="95" t="s">
        <v>1</v>
      </c>
      <c r="I698" s="71" t="s">
        <v>1</v>
      </c>
      <c r="J698" s="71"/>
      <c r="K698" s="71" t="s">
        <v>1</v>
      </c>
      <c r="L698" s="71" t="s">
        <v>1</v>
      </c>
    </row>
    <row r="699" spans="1:12" ht="12">
      <c r="A699" s="59" t="s">
        <v>2</v>
      </c>
      <c r="D699" s="59" t="s">
        <v>2</v>
      </c>
      <c r="E699" s="59"/>
      <c r="F699" s="96"/>
      <c r="G699" s="87" t="s">
        <v>62</v>
      </c>
      <c r="H699" s="96"/>
      <c r="I699" s="87" t="s">
        <v>65</v>
      </c>
      <c r="J699" s="87"/>
      <c r="L699" s="77" t="s">
        <v>70</v>
      </c>
    </row>
    <row r="700" spans="1:12" ht="12">
      <c r="A700" s="59" t="s">
        <v>4</v>
      </c>
      <c r="B700" s="80" t="s">
        <v>18</v>
      </c>
      <c r="D700" s="59" t="s">
        <v>4</v>
      </c>
      <c r="E700" s="59"/>
      <c r="F700" s="84"/>
      <c r="G700" s="87" t="s">
        <v>7</v>
      </c>
      <c r="H700" s="84"/>
      <c r="I700" s="87" t="s">
        <v>7</v>
      </c>
      <c r="J700" s="87"/>
      <c r="L700" s="77" t="s">
        <v>8</v>
      </c>
    </row>
    <row r="701" spans="1:12" ht="12">
      <c r="A701" s="45" t="s">
        <v>1</v>
      </c>
      <c r="B701" s="45" t="s">
        <v>1</v>
      </c>
      <c r="C701" s="45" t="s">
        <v>1</v>
      </c>
      <c r="D701" s="45" t="s">
        <v>1</v>
      </c>
      <c r="E701" s="45"/>
      <c r="F701" s="95" t="s">
        <v>1</v>
      </c>
      <c r="G701" s="71" t="s">
        <v>1</v>
      </c>
      <c r="H701" s="95" t="s">
        <v>1</v>
      </c>
      <c r="I701" s="71" t="s">
        <v>1</v>
      </c>
      <c r="J701" s="71"/>
      <c r="K701" s="71" t="s">
        <v>1</v>
      </c>
      <c r="L701" s="71" t="s">
        <v>1</v>
      </c>
    </row>
    <row r="702" spans="1:12" ht="12">
      <c r="A702" s="72">
        <v>1</v>
      </c>
      <c r="B702" s="47" t="s">
        <v>492</v>
      </c>
      <c r="D702" s="72">
        <v>1</v>
      </c>
      <c r="E702" s="72"/>
      <c r="F702" s="163"/>
      <c r="G702" s="163">
        <v>1506164</v>
      </c>
      <c r="H702" s="163"/>
      <c r="I702" s="163">
        <v>1526114</v>
      </c>
      <c r="J702" s="163"/>
      <c r="L702" s="57">
        <v>2707601</v>
      </c>
    </row>
    <row r="703" spans="1:10" ht="12">
      <c r="A703" s="72">
        <v>2</v>
      </c>
      <c r="B703" s="66"/>
      <c r="D703" s="72">
        <v>2</v>
      </c>
      <c r="E703" s="72"/>
      <c r="F703" s="139"/>
      <c r="G703" s="157"/>
      <c r="H703" s="139"/>
      <c r="I703" s="157"/>
      <c r="J703" s="157"/>
    </row>
    <row r="704" spans="1:10" ht="12">
      <c r="A704" s="72">
        <v>3</v>
      </c>
      <c r="B704" s="66"/>
      <c r="D704" s="72">
        <v>3</v>
      </c>
      <c r="E704" s="72"/>
      <c r="F704" s="139"/>
      <c r="G704" s="157"/>
      <c r="H704" s="139"/>
      <c r="I704" s="157"/>
      <c r="J704" s="157"/>
    </row>
    <row r="705" spans="1:10" ht="12">
      <c r="A705" s="72">
        <v>4</v>
      </c>
      <c r="B705" s="66"/>
      <c r="D705" s="72">
        <v>4</v>
      </c>
      <c r="E705" s="72"/>
      <c r="F705" s="139"/>
      <c r="G705" s="157"/>
      <c r="H705" s="139"/>
      <c r="I705" s="157"/>
      <c r="J705" s="157"/>
    </row>
    <row r="706" spans="1:10" ht="12">
      <c r="A706" s="72">
        <v>5</v>
      </c>
      <c r="B706" s="66"/>
      <c r="D706" s="72">
        <v>5</v>
      </c>
      <c r="E706" s="72"/>
      <c r="F706" s="139"/>
      <c r="G706" s="157"/>
      <c r="H706" s="139"/>
      <c r="I706" s="157"/>
      <c r="J706" s="157"/>
    </row>
    <row r="707" spans="1:10" ht="12">
      <c r="A707" s="72">
        <v>6</v>
      </c>
      <c r="B707" s="66"/>
      <c r="D707" s="72">
        <v>6</v>
      </c>
      <c r="E707" s="72"/>
      <c r="F707" s="139"/>
      <c r="G707" s="157"/>
      <c r="H707" s="139"/>
      <c r="I707" s="157"/>
      <c r="J707" s="157"/>
    </row>
    <row r="708" spans="1:10" ht="12">
      <c r="A708" s="72">
        <v>7</v>
      </c>
      <c r="B708" s="66"/>
      <c r="D708" s="72">
        <v>7</v>
      </c>
      <c r="E708" s="72"/>
      <c r="F708" s="139"/>
      <c r="G708" s="157"/>
      <c r="H708" s="139"/>
      <c r="I708" s="157"/>
      <c r="J708" s="157"/>
    </row>
    <row r="709" spans="1:10" ht="12">
      <c r="A709" s="72">
        <v>8</v>
      </c>
      <c r="B709" s="66"/>
      <c r="D709" s="72">
        <v>8</v>
      </c>
      <c r="E709" s="72"/>
      <c r="F709" s="139"/>
      <c r="G709" s="157"/>
      <c r="H709" s="139"/>
      <c r="I709" s="157"/>
      <c r="J709" s="157"/>
    </row>
    <row r="710" spans="1:10" ht="12">
      <c r="A710" s="72">
        <v>9</v>
      </c>
      <c r="B710" s="66"/>
      <c r="D710" s="72">
        <v>9</v>
      </c>
      <c r="E710" s="72"/>
      <c r="F710" s="139"/>
      <c r="G710" s="157"/>
      <c r="H710" s="139"/>
      <c r="I710" s="157"/>
      <c r="J710" s="157"/>
    </row>
    <row r="711" spans="1:10" ht="12">
      <c r="A711" s="72">
        <v>10</v>
      </c>
      <c r="B711" s="66"/>
      <c r="D711" s="72">
        <v>10</v>
      </c>
      <c r="E711" s="72"/>
      <c r="F711" s="139"/>
      <c r="G711" s="157"/>
      <c r="H711" s="139"/>
      <c r="I711" s="157"/>
      <c r="J711" s="157"/>
    </row>
    <row r="712" spans="1:10" ht="12">
      <c r="A712" s="72">
        <v>11</v>
      </c>
      <c r="B712" s="66"/>
      <c r="D712" s="72">
        <v>11</v>
      </c>
      <c r="E712" s="72"/>
      <c r="F712" s="139"/>
      <c r="G712" s="157"/>
      <c r="H712" s="139"/>
      <c r="I712" s="157"/>
      <c r="J712" s="157"/>
    </row>
    <row r="713" spans="1:10" ht="12">
      <c r="A713" s="72">
        <v>12</v>
      </c>
      <c r="B713" s="66"/>
      <c r="D713" s="72">
        <v>12</v>
      </c>
      <c r="E713" s="72"/>
      <c r="F713" s="139"/>
      <c r="G713" s="157"/>
      <c r="H713" s="139"/>
      <c r="I713" s="157"/>
      <c r="J713" s="157"/>
    </row>
    <row r="714" spans="1:10" ht="12">
      <c r="A714" s="72">
        <v>13</v>
      </c>
      <c r="B714" s="66"/>
      <c r="D714" s="72">
        <v>13</v>
      </c>
      <c r="E714" s="72"/>
      <c r="F714" s="139"/>
      <c r="G714" s="157"/>
      <c r="H714" s="139"/>
      <c r="I714" s="157"/>
      <c r="J714" s="157"/>
    </row>
    <row r="715" spans="1:10" ht="12">
      <c r="A715" s="72">
        <v>14</v>
      </c>
      <c r="B715" s="66"/>
      <c r="D715" s="72">
        <v>14</v>
      </c>
      <c r="E715" s="72"/>
      <c r="F715" s="139"/>
      <c r="G715" s="157"/>
      <c r="H715" s="139"/>
      <c r="I715" s="157"/>
      <c r="J715" s="157"/>
    </row>
    <row r="716" spans="1:10" ht="12">
      <c r="A716" s="72">
        <v>15</v>
      </c>
      <c r="B716" s="66"/>
      <c r="D716" s="72">
        <v>15</v>
      </c>
      <c r="E716" s="72"/>
      <c r="F716" s="139"/>
      <c r="G716" s="157"/>
      <c r="H716" s="139"/>
      <c r="I716" s="157"/>
      <c r="J716" s="157"/>
    </row>
    <row r="717" spans="1:10" ht="12">
      <c r="A717" s="72">
        <v>16</v>
      </c>
      <c r="B717" s="66"/>
      <c r="D717" s="72">
        <v>16</v>
      </c>
      <c r="E717" s="72"/>
      <c r="F717" s="139"/>
      <c r="G717" s="157"/>
      <c r="H717" s="139"/>
      <c r="I717" s="157"/>
      <c r="J717" s="157"/>
    </row>
    <row r="718" spans="1:10" ht="12">
      <c r="A718" s="72">
        <v>17</v>
      </c>
      <c r="B718" s="66"/>
      <c r="D718" s="72">
        <v>17</v>
      </c>
      <c r="E718" s="72"/>
      <c r="F718" s="139"/>
      <c r="G718" s="157"/>
      <c r="H718" s="139"/>
      <c r="I718" s="157"/>
      <c r="J718" s="157"/>
    </row>
    <row r="719" spans="1:10" ht="12">
      <c r="A719" s="72">
        <v>18</v>
      </c>
      <c r="B719" s="66"/>
      <c r="D719" s="72">
        <v>18</v>
      </c>
      <c r="E719" s="72"/>
      <c r="F719" s="139"/>
      <c r="G719" s="157"/>
      <c r="H719" s="139"/>
      <c r="I719" s="157"/>
      <c r="J719" s="157"/>
    </row>
    <row r="720" spans="1:10" ht="12">
      <c r="A720" s="72">
        <v>19</v>
      </c>
      <c r="B720" s="66"/>
      <c r="D720" s="72">
        <v>19</v>
      </c>
      <c r="E720" s="72"/>
      <c r="F720" s="139"/>
      <c r="G720" s="157"/>
      <c r="H720" s="139"/>
      <c r="I720" s="157"/>
      <c r="J720" s="157"/>
    </row>
    <row r="721" spans="1:10" ht="12">
      <c r="A721" s="72">
        <v>20</v>
      </c>
      <c r="D721" s="72">
        <v>20</v>
      </c>
      <c r="E721" s="72"/>
      <c r="F721" s="95"/>
      <c r="G721" s="71"/>
      <c r="H721" s="95"/>
      <c r="I721" s="71"/>
      <c r="J721" s="71"/>
    </row>
    <row r="722" spans="1:10" ht="12">
      <c r="A722" s="72">
        <v>21</v>
      </c>
      <c r="D722" s="72">
        <v>21</v>
      </c>
      <c r="E722" s="72"/>
      <c r="F722" s="95"/>
      <c r="G722" s="58"/>
      <c r="H722" s="95"/>
      <c r="I722" s="58"/>
      <c r="J722" s="58"/>
    </row>
    <row r="723" spans="1:10" ht="12">
      <c r="A723" s="72">
        <v>22</v>
      </c>
      <c r="D723" s="72">
        <v>22</v>
      </c>
      <c r="E723" s="72"/>
      <c r="F723" s="84"/>
      <c r="G723" s="58"/>
      <c r="H723" s="84"/>
      <c r="I723" s="58"/>
      <c r="J723" s="58"/>
    </row>
    <row r="724" spans="1:10" ht="12">
      <c r="A724" s="72">
        <v>23</v>
      </c>
      <c r="C724" s="73"/>
      <c r="D724" s="72">
        <v>23</v>
      </c>
      <c r="E724" s="72"/>
      <c r="G724" s="58"/>
      <c r="I724" s="58"/>
      <c r="J724" s="58"/>
    </row>
    <row r="725" spans="1:10" ht="12">
      <c r="A725" s="72">
        <v>24</v>
      </c>
      <c r="C725" s="73"/>
      <c r="D725" s="72">
        <v>24</v>
      </c>
      <c r="E725" s="72"/>
      <c r="G725" s="58"/>
      <c r="I725" s="58"/>
      <c r="J725" s="58"/>
    </row>
    <row r="726" spans="5:12" ht="12">
      <c r="E726" s="95" t="s">
        <v>1</v>
      </c>
      <c r="F726" s="95" t="s">
        <v>1</v>
      </c>
      <c r="G726" s="71"/>
      <c r="H726" s="95"/>
      <c r="I726" s="71"/>
      <c r="J726" s="71"/>
      <c r="K726" s="71" t="s">
        <v>1</v>
      </c>
      <c r="L726" s="71" t="s">
        <v>1</v>
      </c>
    </row>
    <row r="727" spans="1:12" ht="13.5" customHeight="1">
      <c r="A727" s="72">
        <v>25</v>
      </c>
      <c r="B727" s="47" t="s">
        <v>493</v>
      </c>
      <c r="D727" s="72">
        <v>25</v>
      </c>
      <c r="E727" s="72"/>
      <c r="F727" s="160"/>
      <c r="G727" s="159">
        <v>1506164</v>
      </c>
      <c r="H727" s="160"/>
      <c r="I727" s="159">
        <v>1526114</v>
      </c>
      <c r="J727" s="159"/>
      <c r="L727" s="159">
        <v>2707601</v>
      </c>
    </row>
    <row r="728" spans="3:12" ht="12">
      <c r="C728" s="73"/>
      <c r="E728" s="95" t="s">
        <v>1</v>
      </c>
      <c r="F728" s="95" t="s">
        <v>1</v>
      </c>
      <c r="G728" s="71"/>
      <c r="H728" s="95"/>
      <c r="I728" s="71"/>
      <c r="J728" s="71"/>
      <c r="K728" s="71" t="s">
        <v>1</v>
      </c>
      <c r="L728" s="71" t="s">
        <v>1</v>
      </c>
    </row>
    <row r="730" spans="1:12" s="93" customFormat="1" ht="12">
      <c r="A730" s="91" t="s">
        <v>550</v>
      </c>
      <c r="D730" s="112"/>
      <c r="E730" s="112"/>
      <c r="F730" s="113"/>
      <c r="G730" s="114"/>
      <c r="H730" s="113"/>
      <c r="J730" s="92"/>
      <c r="L730" s="92" t="s">
        <v>318</v>
      </c>
    </row>
    <row r="731" spans="1:12" s="93" customFormat="1" ht="12">
      <c r="A731" s="472" t="s">
        <v>319</v>
      </c>
      <c r="B731" s="472"/>
      <c r="C731" s="472"/>
      <c r="D731" s="472"/>
      <c r="E731" s="472"/>
      <c r="F731" s="472"/>
      <c r="G731" s="472"/>
      <c r="H731" s="472"/>
      <c r="I731" s="472"/>
      <c r="J731" s="472"/>
      <c r="K731" s="472"/>
      <c r="L731" s="472"/>
    </row>
    <row r="732" spans="1:12" ht="12">
      <c r="A732" s="91" t="s">
        <v>551</v>
      </c>
      <c r="F732" s="187"/>
      <c r="G732" s="58"/>
      <c r="H732" s="84"/>
      <c r="I732" s="94"/>
      <c r="J732" s="94"/>
      <c r="L732" s="94" t="s">
        <v>71</v>
      </c>
    </row>
    <row r="733" spans="1:12" ht="12">
      <c r="A733" s="45" t="s">
        <v>1</v>
      </c>
      <c r="B733" s="45" t="s">
        <v>1</v>
      </c>
      <c r="C733" s="45" t="s">
        <v>1</v>
      </c>
      <c r="D733" s="45" t="s">
        <v>1</v>
      </c>
      <c r="E733" s="45"/>
      <c r="F733" s="95" t="s">
        <v>1</v>
      </c>
      <c r="G733" s="71" t="s">
        <v>1</v>
      </c>
      <c r="H733" s="95" t="s">
        <v>1</v>
      </c>
      <c r="I733" s="71" t="s">
        <v>1</v>
      </c>
      <c r="J733" s="71"/>
      <c r="K733" s="71" t="s">
        <v>1</v>
      </c>
      <c r="L733" s="71" t="s">
        <v>1</v>
      </c>
    </row>
    <row r="734" spans="1:12" ht="12">
      <c r="A734" s="59" t="s">
        <v>2</v>
      </c>
      <c r="D734" s="59" t="s">
        <v>2</v>
      </c>
      <c r="E734" s="59"/>
      <c r="F734" s="96"/>
      <c r="G734" s="87" t="s">
        <v>62</v>
      </c>
      <c r="H734" s="96"/>
      <c r="I734" s="87" t="s">
        <v>65</v>
      </c>
      <c r="J734" s="87"/>
      <c r="L734" s="77" t="s">
        <v>70</v>
      </c>
    </row>
    <row r="735" spans="1:12" ht="12">
      <c r="A735" s="59" t="s">
        <v>4</v>
      </c>
      <c r="B735" s="80" t="s">
        <v>18</v>
      </c>
      <c r="D735" s="59" t="s">
        <v>4</v>
      </c>
      <c r="E735" s="59"/>
      <c r="F735" s="96" t="s">
        <v>19</v>
      </c>
      <c r="G735" s="87" t="s">
        <v>7</v>
      </c>
      <c r="H735" s="96" t="s">
        <v>19</v>
      </c>
      <c r="I735" s="87" t="s">
        <v>7</v>
      </c>
      <c r="J735" s="87"/>
      <c r="K735" s="77" t="s">
        <v>19</v>
      </c>
      <c r="L735" s="77" t="s">
        <v>8</v>
      </c>
    </row>
    <row r="736" spans="1:12" ht="12">
      <c r="A736" s="45" t="s">
        <v>1</v>
      </c>
      <c r="B736" s="45" t="s">
        <v>1</v>
      </c>
      <c r="C736" s="45" t="s">
        <v>1</v>
      </c>
      <c r="D736" s="45" t="s">
        <v>1</v>
      </c>
      <c r="E736" s="45"/>
      <c r="F736" s="95" t="s">
        <v>1</v>
      </c>
      <c r="G736" s="71" t="s">
        <v>1</v>
      </c>
      <c r="H736" s="95" t="s">
        <v>1</v>
      </c>
      <c r="I736" s="71" t="s">
        <v>1</v>
      </c>
      <c r="J736" s="71"/>
      <c r="K736" s="71" t="s">
        <v>1</v>
      </c>
      <c r="L736" s="71" t="s">
        <v>1</v>
      </c>
    </row>
    <row r="737" spans="1:10" ht="12">
      <c r="A737" s="72">
        <v>1</v>
      </c>
      <c r="B737" s="47" t="s">
        <v>276</v>
      </c>
      <c r="D737" s="72">
        <v>1</v>
      </c>
      <c r="E737" s="72"/>
      <c r="F737" s="164">
        <v>0</v>
      </c>
      <c r="G737" s="163">
        <v>0</v>
      </c>
      <c r="H737" s="164">
        <v>0</v>
      </c>
      <c r="I737" s="163">
        <v>0</v>
      </c>
      <c r="J737" s="163"/>
    </row>
    <row r="738" spans="1:10" ht="12">
      <c r="A738" s="72">
        <v>2</v>
      </c>
      <c r="B738" s="47" t="s">
        <v>268</v>
      </c>
      <c r="D738" s="72">
        <v>2</v>
      </c>
      <c r="E738" s="72"/>
      <c r="F738" s="164"/>
      <c r="G738" s="163"/>
      <c r="H738" s="164"/>
      <c r="I738" s="163">
        <v>0</v>
      </c>
      <c r="J738" s="163"/>
    </row>
    <row r="739" spans="1:10" ht="12">
      <c r="A739" s="72">
        <v>3</v>
      </c>
      <c r="D739" s="72">
        <v>3</v>
      </c>
      <c r="E739" s="72"/>
      <c r="F739" s="164"/>
      <c r="G739" s="163"/>
      <c r="H739" s="164"/>
      <c r="I739" s="163"/>
      <c r="J739" s="163"/>
    </row>
    <row r="740" spans="1:12" ht="12">
      <c r="A740" s="72">
        <v>4</v>
      </c>
      <c r="B740" s="47" t="s">
        <v>270</v>
      </c>
      <c r="D740" s="72">
        <v>4</v>
      </c>
      <c r="E740" s="72"/>
      <c r="F740" s="164">
        <v>0</v>
      </c>
      <c r="G740" s="163">
        <v>0</v>
      </c>
      <c r="H740" s="164">
        <v>0</v>
      </c>
      <c r="I740" s="163">
        <v>0</v>
      </c>
      <c r="J740" s="163"/>
      <c r="L740" s="163">
        <v>0</v>
      </c>
    </row>
    <row r="741" spans="1:10" ht="12">
      <c r="A741" s="72">
        <v>5</v>
      </c>
      <c r="D741" s="72">
        <v>5</v>
      </c>
      <c r="E741" s="72"/>
      <c r="F741" s="164"/>
      <c r="G741" s="163"/>
      <c r="H741" s="164"/>
      <c r="I741" s="163"/>
      <c r="J741" s="163"/>
    </row>
    <row r="742" spans="1:10" ht="12">
      <c r="A742" s="72">
        <v>6</v>
      </c>
      <c r="D742" s="72">
        <v>6</v>
      </c>
      <c r="E742" s="72"/>
      <c r="F742" s="164"/>
      <c r="G742" s="163"/>
      <c r="H742" s="164"/>
      <c r="I742" s="163"/>
      <c r="J742" s="163"/>
    </row>
    <row r="743" spans="1:10" ht="12">
      <c r="A743" s="72">
        <v>7</v>
      </c>
      <c r="B743" s="47" t="s">
        <v>253</v>
      </c>
      <c r="D743" s="72">
        <v>7</v>
      </c>
      <c r="E743" s="72"/>
      <c r="F743" s="164">
        <v>0</v>
      </c>
      <c r="G743" s="163">
        <v>0</v>
      </c>
      <c r="H743" s="164">
        <v>0</v>
      </c>
      <c r="I743" s="163">
        <v>0</v>
      </c>
      <c r="J743" s="163"/>
    </row>
    <row r="744" spans="1:10" ht="12">
      <c r="A744" s="72">
        <v>8</v>
      </c>
      <c r="B744" s="47" t="s">
        <v>254</v>
      </c>
      <c r="D744" s="72">
        <v>8</v>
      </c>
      <c r="E744" s="72"/>
      <c r="F744" s="164"/>
      <c r="G744" s="163">
        <v>0</v>
      </c>
      <c r="H744" s="164"/>
      <c r="I744" s="163">
        <v>0</v>
      </c>
      <c r="J744" s="163"/>
    </row>
    <row r="745" spans="1:12" ht="12">
      <c r="A745" s="72">
        <v>9</v>
      </c>
      <c r="B745" s="47" t="s">
        <v>255</v>
      </c>
      <c r="D745" s="72">
        <v>9</v>
      </c>
      <c r="E745" s="72"/>
      <c r="F745" s="164">
        <v>0</v>
      </c>
      <c r="G745" s="163">
        <v>0</v>
      </c>
      <c r="H745" s="164">
        <v>0</v>
      </c>
      <c r="I745" s="163">
        <v>0</v>
      </c>
      <c r="J745" s="163"/>
      <c r="L745" s="163">
        <v>0</v>
      </c>
    </row>
    <row r="746" spans="1:10" ht="12">
      <c r="A746" s="72">
        <v>10</v>
      </c>
      <c r="D746" s="72">
        <v>10</v>
      </c>
      <c r="E746" s="72"/>
      <c r="F746" s="164"/>
      <c r="G746" s="163"/>
      <c r="H746" s="164"/>
      <c r="I746" s="163"/>
      <c r="J746" s="163"/>
    </row>
    <row r="747" spans="1:12" ht="12">
      <c r="A747" s="72">
        <v>11</v>
      </c>
      <c r="B747" s="47" t="s">
        <v>256</v>
      </c>
      <c r="D747" s="72">
        <v>11</v>
      </c>
      <c r="E747" s="72"/>
      <c r="F747" s="164">
        <v>0</v>
      </c>
      <c r="G747" s="163">
        <v>0</v>
      </c>
      <c r="H747" s="164">
        <v>0</v>
      </c>
      <c r="I747" s="163">
        <v>0</v>
      </c>
      <c r="J747" s="163"/>
      <c r="L747" s="163">
        <v>0</v>
      </c>
    </row>
    <row r="748" spans="1:10" ht="12">
      <c r="A748" s="72">
        <v>12</v>
      </c>
      <c r="D748" s="72">
        <v>12</v>
      </c>
      <c r="E748" s="72"/>
      <c r="F748" s="164"/>
      <c r="G748" s="163"/>
      <c r="H748" s="164"/>
      <c r="I748" s="163"/>
      <c r="J748" s="163"/>
    </row>
    <row r="749" spans="1:10" ht="12">
      <c r="A749" s="72">
        <v>13</v>
      </c>
      <c r="B749" s="47" t="s">
        <v>277</v>
      </c>
      <c r="D749" s="72">
        <v>13</v>
      </c>
      <c r="E749" s="72"/>
      <c r="F749" s="164"/>
      <c r="G749" s="163">
        <v>0</v>
      </c>
      <c r="H749" s="164"/>
      <c r="I749" s="163">
        <v>0</v>
      </c>
      <c r="J749" s="163"/>
    </row>
    <row r="750" spans="1:10" ht="12">
      <c r="A750" s="72">
        <v>14</v>
      </c>
      <c r="D750" s="72">
        <v>14</v>
      </c>
      <c r="E750" s="72"/>
      <c r="F750" s="164"/>
      <c r="G750" s="163"/>
      <c r="H750" s="164"/>
      <c r="I750" s="163"/>
      <c r="J750" s="163"/>
    </row>
    <row r="751" spans="1:10" ht="12">
      <c r="A751" s="72">
        <v>15</v>
      </c>
      <c r="B751" s="47" t="s">
        <v>258</v>
      </c>
      <c r="D751" s="72">
        <v>15</v>
      </c>
      <c r="E751" s="72"/>
      <c r="F751" s="164"/>
      <c r="G751" s="163">
        <v>0</v>
      </c>
      <c r="H751" s="164"/>
      <c r="I751" s="163">
        <v>0</v>
      </c>
      <c r="J751" s="163"/>
    </row>
    <row r="752" spans="1:10" ht="12">
      <c r="A752" s="72">
        <v>16</v>
      </c>
      <c r="B752" s="47" t="s">
        <v>259</v>
      </c>
      <c r="D752" s="72">
        <v>16</v>
      </c>
      <c r="E752" s="72"/>
      <c r="F752" s="164"/>
      <c r="G752" s="163"/>
      <c r="H752" s="164"/>
      <c r="I752" s="163">
        <v>-2880</v>
      </c>
      <c r="J752" s="163"/>
    </row>
    <row r="753" spans="1:10" ht="12">
      <c r="A753" s="72">
        <v>17</v>
      </c>
      <c r="B753" s="47" t="s">
        <v>278</v>
      </c>
      <c r="D753" s="72">
        <v>17</v>
      </c>
      <c r="E753" s="72"/>
      <c r="F753" s="164"/>
      <c r="G753" s="163">
        <v>0</v>
      </c>
      <c r="H753" s="164"/>
      <c r="I753" s="163">
        <v>0</v>
      </c>
      <c r="J753" s="163"/>
    </row>
    <row r="754" spans="1:10" ht="12">
      <c r="A754" s="72">
        <v>18</v>
      </c>
      <c r="B754" s="47"/>
      <c r="D754" s="72">
        <v>18</v>
      </c>
      <c r="E754" s="72"/>
      <c r="F754" s="164"/>
      <c r="G754" s="163"/>
      <c r="H754" s="164"/>
      <c r="I754" s="163" t="s">
        <v>604</v>
      </c>
      <c r="J754" s="163"/>
    </row>
    <row r="755" spans="1:10" ht="12">
      <c r="A755" s="72">
        <v>19</v>
      </c>
      <c r="B755" s="47"/>
      <c r="D755" s="72">
        <v>19</v>
      </c>
      <c r="E755" s="72"/>
      <c r="F755" s="164"/>
      <c r="G755" s="163"/>
      <c r="H755" s="164"/>
      <c r="I755" s="163"/>
      <c r="J755" s="163"/>
    </row>
    <row r="756" spans="1:10" ht="12">
      <c r="A756" s="72">
        <v>20</v>
      </c>
      <c r="B756" s="47"/>
      <c r="D756" s="72">
        <v>20</v>
      </c>
      <c r="E756" s="72"/>
      <c r="F756" s="164"/>
      <c r="G756" s="163"/>
      <c r="H756" s="164"/>
      <c r="I756" s="163"/>
      <c r="J756" s="163"/>
    </row>
    <row r="757" spans="1:10" ht="12">
      <c r="A757" s="72">
        <v>21</v>
      </c>
      <c r="B757" s="47"/>
      <c r="D757" s="72">
        <v>21</v>
      </c>
      <c r="E757" s="72"/>
      <c r="F757" s="164"/>
      <c r="G757" s="163"/>
      <c r="H757" s="164"/>
      <c r="I757" s="163"/>
      <c r="J757" s="163"/>
    </row>
    <row r="758" spans="1:10" ht="12">
      <c r="A758" s="72">
        <v>22</v>
      </c>
      <c r="B758" s="47"/>
      <c r="D758" s="72">
        <v>22</v>
      </c>
      <c r="E758" s="72"/>
      <c r="F758" s="164"/>
      <c r="G758" s="163"/>
      <c r="H758" s="164"/>
      <c r="I758" s="163"/>
      <c r="J758" s="163"/>
    </row>
    <row r="759" spans="1:10" ht="12">
      <c r="A759" s="72">
        <v>23</v>
      </c>
      <c r="B759" s="47"/>
      <c r="D759" s="72">
        <v>23</v>
      </c>
      <c r="E759" s="72"/>
      <c r="F759" s="164"/>
      <c r="G759" s="163"/>
      <c r="H759" s="164"/>
      <c r="I759" s="163"/>
      <c r="J759" s="163"/>
    </row>
    <row r="760" spans="1:10" ht="12">
      <c r="A760" s="72">
        <v>24</v>
      </c>
      <c r="B760" s="47"/>
      <c r="D760" s="72">
        <v>24</v>
      </c>
      <c r="E760" s="72"/>
      <c r="F760" s="131"/>
      <c r="G760" s="158"/>
      <c r="H760" s="131"/>
      <c r="I760" s="158"/>
      <c r="J760" s="158"/>
    </row>
    <row r="761" spans="1:12" ht="12">
      <c r="A761" s="45" t="s">
        <v>1</v>
      </c>
      <c r="B761" s="45" t="s">
        <v>1</v>
      </c>
      <c r="C761" s="45" t="s">
        <v>1</v>
      </c>
      <c r="D761" s="45" t="s">
        <v>1</v>
      </c>
      <c r="E761" s="45"/>
      <c r="F761" s="95" t="s">
        <v>1</v>
      </c>
      <c r="G761" s="71" t="s">
        <v>1</v>
      </c>
      <c r="H761" s="95" t="s">
        <v>1</v>
      </c>
      <c r="I761" s="71" t="s">
        <v>1</v>
      </c>
      <c r="J761" s="71"/>
      <c r="K761" s="71" t="s">
        <v>1</v>
      </c>
      <c r="L761" s="71" t="s">
        <v>1</v>
      </c>
    </row>
    <row r="762" spans="1:12" ht="13.5" customHeight="1">
      <c r="A762" s="72">
        <v>25</v>
      </c>
      <c r="B762" s="47" t="s">
        <v>494</v>
      </c>
      <c r="D762" s="72">
        <v>25</v>
      </c>
      <c r="E762" s="72"/>
      <c r="F762" s="170">
        <v>0</v>
      </c>
      <c r="G762" s="159">
        <v>0</v>
      </c>
      <c r="H762" s="170">
        <v>0</v>
      </c>
      <c r="I762" s="159">
        <v>-2880</v>
      </c>
      <c r="J762" s="159"/>
      <c r="K762" s="159">
        <v>0</v>
      </c>
      <c r="L762" s="159">
        <v>0</v>
      </c>
    </row>
    <row r="763" spans="4:10" ht="12">
      <c r="D763" s="68"/>
      <c r="E763" s="68"/>
      <c r="F763" s="95"/>
      <c r="G763" s="71"/>
      <c r="H763" s="95"/>
      <c r="I763" s="71"/>
      <c r="J763" s="71"/>
    </row>
    <row r="764" spans="1:12" s="93" customFormat="1" ht="12">
      <c r="A764" s="91" t="s">
        <v>550</v>
      </c>
      <c r="D764" s="112"/>
      <c r="E764" s="112"/>
      <c r="F764" s="113"/>
      <c r="G764" s="114"/>
      <c r="H764" s="113"/>
      <c r="J764" s="92"/>
      <c r="L764" s="92" t="s">
        <v>321</v>
      </c>
    </row>
    <row r="765" spans="1:12" s="93" customFormat="1" ht="12">
      <c r="A765" s="454" t="s">
        <v>495</v>
      </c>
      <c r="B765" s="454"/>
      <c r="C765" s="454"/>
      <c r="D765" s="454"/>
      <c r="E765" s="454"/>
      <c r="F765" s="454"/>
      <c r="G765" s="454"/>
      <c r="H765" s="454"/>
      <c r="I765" s="454"/>
      <c r="J765" s="454"/>
      <c r="K765" s="454"/>
      <c r="L765" s="454"/>
    </row>
    <row r="766" spans="1:12" ht="12">
      <c r="A766" s="91" t="s">
        <v>551</v>
      </c>
      <c r="G766" s="189"/>
      <c r="H766" s="84"/>
      <c r="I766" s="94"/>
      <c r="J766" s="94"/>
      <c r="L766" s="94" t="s">
        <v>71</v>
      </c>
    </row>
    <row r="767" spans="1:12" ht="12">
      <c r="A767" s="45" t="s">
        <v>1</v>
      </c>
      <c r="B767" s="45" t="s">
        <v>1</v>
      </c>
      <c r="C767" s="45" t="s">
        <v>1</v>
      </c>
      <c r="D767" s="45" t="s">
        <v>1</v>
      </c>
      <c r="E767" s="45"/>
      <c r="F767" s="95" t="s">
        <v>1</v>
      </c>
      <c r="G767" s="71" t="s">
        <v>1</v>
      </c>
      <c r="H767" s="95" t="s">
        <v>1</v>
      </c>
      <c r="I767" s="71" t="s">
        <v>1</v>
      </c>
      <c r="J767" s="71"/>
      <c r="K767" s="71" t="s">
        <v>1</v>
      </c>
      <c r="L767" s="71" t="s">
        <v>1</v>
      </c>
    </row>
    <row r="768" spans="1:12" ht="12">
      <c r="A768" s="59" t="s">
        <v>2</v>
      </c>
      <c r="D768" s="59" t="s">
        <v>2</v>
      </c>
      <c r="E768" s="59"/>
      <c r="F768" s="96"/>
      <c r="G768" s="87" t="s">
        <v>62</v>
      </c>
      <c r="H768" s="96"/>
      <c r="I768" s="87" t="s">
        <v>65</v>
      </c>
      <c r="J768" s="87"/>
      <c r="L768" s="77" t="s">
        <v>70</v>
      </c>
    </row>
    <row r="769" spans="1:12" ht="12">
      <c r="A769" s="59" t="s">
        <v>4</v>
      </c>
      <c r="B769" s="80" t="s">
        <v>18</v>
      </c>
      <c r="D769" s="59" t="s">
        <v>4</v>
      </c>
      <c r="E769" s="59"/>
      <c r="F769" s="96"/>
      <c r="G769" s="87" t="s">
        <v>7</v>
      </c>
      <c r="H769" s="96"/>
      <c r="I769" s="87" t="s">
        <v>7</v>
      </c>
      <c r="J769" s="87"/>
      <c r="L769" s="77" t="s">
        <v>8</v>
      </c>
    </row>
    <row r="770" spans="1:12" ht="12">
      <c r="A770" s="45" t="s">
        <v>1</v>
      </c>
      <c r="B770" s="45" t="s">
        <v>1</v>
      </c>
      <c r="C770" s="45" t="s">
        <v>1</v>
      </c>
      <c r="D770" s="45" t="s">
        <v>1</v>
      </c>
      <c r="E770" s="45"/>
      <c r="F770" s="95" t="s">
        <v>1</v>
      </c>
      <c r="G770" s="71" t="s">
        <v>1</v>
      </c>
      <c r="H770" s="95" t="s">
        <v>1</v>
      </c>
      <c r="I770" s="71" t="s">
        <v>1</v>
      </c>
      <c r="J770" s="71"/>
      <c r="K770" s="71" t="s">
        <v>1</v>
      </c>
      <c r="L770" s="71" t="s">
        <v>1</v>
      </c>
    </row>
    <row r="771" spans="1:12" ht="12">
      <c r="A771" s="63">
        <v>1</v>
      </c>
      <c r="B771" s="48" t="s">
        <v>496</v>
      </c>
      <c r="D771" s="63">
        <v>1</v>
      </c>
      <c r="E771" s="63"/>
      <c r="F771" s="163"/>
      <c r="G771" s="163">
        <v>6877644</v>
      </c>
      <c r="H771" s="163"/>
      <c r="I771" s="163">
        <v>8814219</v>
      </c>
      <c r="J771" s="163"/>
      <c r="L771" s="82">
        <v>8943236</v>
      </c>
    </row>
    <row r="772" spans="1:12" ht="12">
      <c r="A772" s="63">
        <v>2</v>
      </c>
      <c r="D772" s="63">
        <v>2</v>
      </c>
      <c r="E772" s="63"/>
      <c r="F772" s="163"/>
      <c r="G772" s="163"/>
      <c r="H772" s="163"/>
      <c r="I772" s="163">
        <v>0</v>
      </c>
      <c r="J772" s="163"/>
      <c r="L772" s="82"/>
    </row>
    <row r="773" spans="1:12" ht="12">
      <c r="A773" s="63">
        <v>3</v>
      </c>
      <c r="B773" s="66"/>
      <c r="D773" s="63">
        <v>3</v>
      </c>
      <c r="E773" s="63"/>
      <c r="F773" s="163"/>
      <c r="G773" s="163">
        <v>0</v>
      </c>
      <c r="H773" s="163"/>
      <c r="I773" s="163">
        <v>0</v>
      </c>
      <c r="J773" s="163"/>
      <c r="L773" s="82"/>
    </row>
    <row r="774" spans="1:12" ht="12">
      <c r="A774" s="63">
        <v>4</v>
      </c>
      <c r="B774" s="66"/>
      <c r="D774" s="63">
        <v>4</v>
      </c>
      <c r="E774" s="63"/>
      <c r="F774" s="163"/>
      <c r="G774" s="163">
        <v>0</v>
      </c>
      <c r="H774" s="163"/>
      <c r="I774" s="163">
        <v>0</v>
      </c>
      <c r="J774" s="163"/>
      <c r="L774" s="82"/>
    </row>
    <row r="775" spans="1:12" ht="12">
      <c r="A775" s="63">
        <v>5</v>
      </c>
      <c r="B775" s="47"/>
      <c r="D775" s="63">
        <v>5</v>
      </c>
      <c r="E775" s="63"/>
      <c r="F775" s="163"/>
      <c r="G775" s="163">
        <v>0</v>
      </c>
      <c r="H775" s="163"/>
      <c r="I775" s="163">
        <v>0</v>
      </c>
      <c r="J775" s="163"/>
      <c r="L775" s="82"/>
    </row>
    <row r="776" spans="1:12" ht="12">
      <c r="A776" s="63">
        <v>6</v>
      </c>
      <c r="B776" s="66"/>
      <c r="D776" s="63">
        <v>6</v>
      </c>
      <c r="E776" s="63"/>
      <c r="F776" s="163"/>
      <c r="G776" s="163">
        <v>0</v>
      </c>
      <c r="H776" s="163"/>
      <c r="I776" s="163">
        <v>0</v>
      </c>
      <c r="J776" s="163"/>
      <c r="L776" s="82"/>
    </row>
    <row r="777" spans="1:12" ht="12">
      <c r="A777" s="63">
        <v>7</v>
      </c>
      <c r="B777" s="66"/>
      <c r="D777" s="63">
        <v>7</v>
      </c>
      <c r="E777" s="63"/>
      <c r="F777" s="163"/>
      <c r="G777" s="163">
        <v>0</v>
      </c>
      <c r="H777" s="163"/>
      <c r="I777" s="163">
        <v>0</v>
      </c>
      <c r="J777" s="163"/>
      <c r="L777" s="82"/>
    </row>
    <row r="778" spans="1:12" ht="12">
      <c r="A778" s="63">
        <v>8</v>
      </c>
      <c r="D778" s="63">
        <v>8</v>
      </c>
      <c r="E778" s="63"/>
      <c r="F778" s="163"/>
      <c r="G778" s="163">
        <v>0</v>
      </c>
      <c r="H778" s="163"/>
      <c r="I778" s="163">
        <v>0</v>
      </c>
      <c r="J778" s="163"/>
      <c r="L778" s="82"/>
    </row>
    <row r="779" spans="1:12" ht="12">
      <c r="A779" s="63">
        <v>9</v>
      </c>
      <c r="D779" s="63">
        <v>9</v>
      </c>
      <c r="E779" s="63"/>
      <c r="F779" s="163"/>
      <c r="G779" s="163">
        <v>0</v>
      </c>
      <c r="H779" s="163"/>
      <c r="I779" s="163">
        <v>0</v>
      </c>
      <c r="J779" s="163"/>
      <c r="L779" s="82"/>
    </row>
    <row r="780" spans="1:12" ht="12">
      <c r="A780" s="67"/>
      <c r="D780" s="67"/>
      <c r="E780" s="178" t="s">
        <v>1</v>
      </c>
      <c r="F780" s="178" t="s">
        <v>1</v>
      </c>
      <c r="G780" s="178"/>
      <c r="H780" s="178"/>
      <c r="I780" s="178"/>
      <c r="J780" s="178"/>
      <c r="K780" s="178"/>
      <c r="L780" s="46"/>
    </row>
    <row r="781" spans="1:12" ht="12">
      <c r="A781" s="63">
        <v>10</v>
      </c>
      <c r="B781" s="48" t="s">
        <v>501</v>
      </c>
      <c r="D781" s="63">
        <v>10</v>
      </c>
      <c r="E781" s="63"/>
      <c r="F781" s="160"/>
      <c r="G781" s="163">
        <v>6877644</v>
      </c>
      <c r="H781" s="160"/>
      <c r="I781" s="163">
        <v>8814219</v>
      </c>
      <c r="J781" s="163"/>
      <c r="L781" s="212">
        <v>8943236</v>
      </c>
    </row>
    <row r="782" spans="1:12" ht="12">
      <c r="A782" s="63"/>
      <c r="D782" s="63"/>
      <c r="E782" s="178" t="s">
        <v>1</v>
      </c>
      <c r="F782" s="178" t="s">
        <v>1</v>
      </c>
      <c r="G782" s="178"/>
      <c r="H782" s="178"/>
      <c r="I782" s="178"/>
      <c r="J782" s="178"/>
      <c r="K782" s="178"/>
      <c r="L782" s="46"/>
    </row>
    <row r="783" spans="1:12" ht="12">
      <c r="A783" s="63">
        <v>11</v>
      </c>
      <c r="B783" s="66"/>
      <c r="D783" s="63">
        <v>11</v>
      </c>
      <c r="E783" s="63"/>
      <c r="F783" s="163"/>
      <c r="G783" s="163"/>
      <c r="H783" s="163"/>
      <c r="I783" s="163"/>
      <c r="J783" s="163"/>
      <c r="L783" s="82"/>
    </row>
    <row r="784" spans="1:12" ht="12">
      <c r="A784" s="63">
        <v>12</v>
      </c>
      <c r="B784" s="47" t="s">
        <v>502</v>
      </c>
      <c r="D784" s="63">
        <v>12</v>
      </c>
      <c r="E784" s="63"/>
      <c r="F784" s="163"/>
      <c r="G784" s="75">
        <v>27641405</v>
      </c>
      <c r="H784" s="163"/>
      <c r="I784" s="75">
        <v>42283458</v>
      </c>
      <c r="J784" s="75"/>
      <c r="L784" s="82">
        <v>30620525</v>
      </c>
    </row>
    <row r="785" spans="1:12" ht="12">
      <c r="A785" s="63">
        <v>13</v>
      </c>
      <c r="B785" s="66" t="s">
        <v>605</v>
      </c>
      <c r="D785" s="63">
        <v>13</v>
      </c>
      <c r="E785" s="63"/>
      <c r="F785" s="163"/>
      <c r="G785" s="163">
        <v>3124931</v>
      </c>
      <c r="H785" s="163"/>
      <c r="I785" s="163">
        <v>2843792</v>
      </c>
      <c r="J785" s="163"/>
      <c r="L785" s="82">
        <v>2890010</v>
      </c>
    </row>
    <row r="786" spans="1:12" ht="12">
      <c r="A786" s="63">
        <v>14</v>
      </c>
      <c r="D786" s="63">
        <v>14</v>
      </c>
      <c r="E786" s="63"/>
      <c r="F786" s="163"/>
      <c r="G786" s="163"/>
      <c r="H786" s="163"/>
      <c r="I786" s="163">
        <v>0</v>
      </c>
      <c r="J786" s="163"/>
      <c r="L786" s="82"/>
    </row>
    <row r="787" spans="1:12" ht="12">
      <c r="A787" s="63">
        <v>15</v>
      </c>
      <c r="D787" s="63">
        <v>15</v>
      </c>
      <c r="E787" s="63"/>
      <c r="F787" s="163"/>
      <c r="G787" s="163"/>
      <c r="H787" s="163"/>
      <c r="I787" s="163">
        <v>0</v>
      </c>
      <c r="J787" s="163"/>
      <c r="L787" s="82"/>
    </row>
    <row r="788" spans="1:12" ht="12">
      <c r="A788" s="63">
        <v>16</v>
      </c>
      <c r="D788" s="63">
        <v>16</v>
      </c>
      <c r="E788" s="63"/>
      <c r="F788" s="163"/>
      <c r="G788" s="163">
        <v>0</v>
      </c>
      <c r="H788" s="163"/>
      <c r="I788" s="163">
        <v>0</v>
      </c>
      <c r="J788" s="163"/>
      <c r="L788" s="82"/>
    </row>
    <row r="789" spans="1:12" ht="12">
      <c r="A789" s="63">
        <v>17</v>
      </c>
      <c r="B789" s="64"/>
      <c r="C789" s="65"/>
      <c r="D789" s="63">
        <v>17</v>
      </c>
      <c r="E789" s="63"/>
      <c r="F789" s="163"/>
      <c r="G789" s="163">
        <v>0</v>
      </c>
      <c r="H789" s="163"/>
      <c r="I789" s="163">
        <v>0</v>
      </c>
      <c r="J789" s="163"/>
      <c r="L789" s="82"/>
    </row>
    <row r="790" spans="1:12" ht="12">
      <c r="A790" s="63">
        <v>18</v>
      </c>
      <c r="B790" s="65"/>
      <c r="C790" s="65"/>
      <c r="D790" s="63">
        <v>18</v>
      </c>
      <c r="E790" s="63"/>
      <c r="F790" s="163"/>
      <c r="G790" s="163">
        <v>0</v>
      </c>
      <c r="H790" s="163"/>
      <c r="I790" s="163">
        <v>0</v>
      </c>
      <c r="J790" s="163"/>
      <c r="L790" s="82"/>
    </row>
    <row r="791" spans="1:12" ht="12">
      <c r="A791" s="63"/>
      <c r="B791" s="78"/>
      <c r="C791" s="65"/>
      <c r="D791" s="63"/>
      <c r="E791" s="95" t="s">
        <v>1</v>
      </c>
      <c r="F791" s="95" t="s">
        <v>1</v>
      </c>
      <c r="G791" s="71"/>
      <c r="H791" s="95"/>
      <c r="I791" s="71"/>
      <c r="J791" s="71"/>
      <c r="K791" s="178"/>
      <c r="L791" s="46"/>
    </row>
    <row r="792" spans="1:12" ht="12">
      <c r="A792" s="63">
        <v>19</v>
      </c>
      <c r="B792" s="48" t="s">
        <v>505</v>
      </c>
      <c r="C792" s="65"/>
      <c r="D792" s="63">
        <v>19</v>
      </c>
      <c r="E792" s="63"/>
      <c r="F792" s="159"/>
      <c r="G792" s="159">
        <v>30766336</v>
      </c>
      <c r="H792" s="163"/>
      <c r="I792" s="159">
        <v>45127250</v>
      </c>
      <c r="J792" s="159"/>
      <c r="L792" s="198">
        <v>33510535</v>
      </c>
    </row>
    <row r="793" spans="1:12" ht="12">
      <c r="A793" s="63"/>
      <c r="B793" s="78"/>
      <c r="C793" s="65"/>
      <c r="D793" s="63"/>
      <c r="E793" s="95" t="s">
        <v>1</v>
      </c>
      <c r="F793" s="95" t="s">
        <v>1</v>
      </c>
      <c r="G793" s="71"/>
      <c r="H793" s="95"/>
      <c r="I793" s="71"/>
      <c r="J793" s="71"/>
      <c r="K793" s="178"/>
      <c r="L793" s="46"/>
    </row>
    <row r="794" spans="1:7" ht="12">
      <c r="A794" s="63"/>
      <c r="B794" s="65"/>
      <c r="C794" s="65"/>
      <c r="D794" s="63"/>
      <c r="E794" s="63"/>
      <c r="G794" s="157"/>
    </row>
    <row r="795" spans="1:12" ht="13.5" customHeight="1">
      <c r="A795" s="63">
        <v>20</v>
      </c>
      <c r="B795" s="47" t="s">
        <v>506</v>
      </c>
      <c r="D795" s="63">
        <v>20</v>
      </c>
      <c r="E795" s="63"/>
      <c r="F795" s="160"/>
      <c r="G795" s="159">
        <v>37643980</v>
      </c>
      <c r="H795" s="160"/>
      <c r="I795" s="159">
        <v>53941469</v>
      </c>
      <c r="J795" s="159"/>
      <c r="L795" s="159">
        <v>42453771</v>
      </c>
    </row>
    <row r="796" spans="2:12" ht="13.5" customHeight="1">
      <c r="B796" s="103" t="s">
        <v>330</v>
      </c>
      <c r="D796" s="68"/>
      <c r="E796" s="95" t="s">
        <v>1</v>
      </c>
      <c r="F796" s="95" t="s">
        <v>1</v>
      </c>
      <c r="G796" s="71"/>
      <c r="H796" s="95"/>
      <c r="I796" s="71"/>
      <c r="J796" s="71"/>
      <c r="K796" s="178"/>
      <c r="L796" s="178"/>
    </row>
    <row r="797" ht="12">
      <c r="B797" s="47" t="s">
        <v>0</v>
      </c>
    </row>
    <row r="798" spans="1:12" s="93" customFormat="1" ht="12">
      <c r="A798" s="91" t="s">
        <v>550</v>
      </c>
      <c r="C798" s="188"/>
      <c r="F798" s="113"/>
      <c r="G798" s="114"/>
      <c r="H798" s="190"/>
      <c r="J798" s="153"/>
      <c r="L798" s="153" t="s">
        <v>331</v>
      </c>
    </row>
    <row r="799" spans="1:12" s="93" customFormat="1" ht="12.75" customHeight="1">
      <c r="A799" s="455" t="s">
        <v>332</v>
      </c>
      <c r="B799" s="455"/>
      <c r="C799" s="455"/>
      <c r="D799" s="455"/>
      <c r="E799" s="455"/>
      <c r="F799" s="455"/>
      <c r="G799" s="455"/>
      <c r="H799" s="455"/>
      <c r="I799" s="455"/>
      <c r="J799" s="455"/>
      <c r="K799" s="455"/>
      <c r="L799" s="455"/>
    </row>
    <row r="800" spans="1:12" ht="12">
      <c r="A800" s="91" t="s">
        <v>551</v>
      </c>
      <c r="C800" s="473"/>
      <c r="D800" s="473"/>
      <c r="E800" s="43"/>
      <c r="I800" s="94"/>
      <c r="J800" s="94"/>
      <c r="L800" s="94" t="s">
        <v>71</v>
      </c>
    </row>
    <row r="801" spans="1:12" ht="12">
      <c r="A801" s="45" t="s">
        <v>1</v>
      </c>
      <c r="B801" s="45" t="s">
        <v>1</v>
      </c>
      <c r="C801" s="45" t="s">
        <v>1</v>
      </c>
      <c r="D801" s="45" t="s">
        <v>1</v>
      </c>
      <c r="E801" s="45"/>
      <c r="F801" s="95" t="s">
        <v>1</v>
      </c>
      <c r="G801" s="71" t="s">
        <v>1</v>
      </c>
      <c r="H801" s="95" t="s">
        <v>1</v>
      </c>
      <c r="I801" s="71" t="s">
        <v>1</v>
      </c>
      <c r="J801" s="71"/>
      <c r="K801" s="71" t="s">
        <v>1</v>
      </c>
      <c r="L801" s="71" t="s">
        <v>1</v>
      </c>
    </row>
    <row r="802" spans="1:12" ht="12">
      <c r="A802" s="59" t="s">
        <v>2</v>
      </c>
      <c r="C802" s="77"/>
      <c r="D802" s="59" t="s">
        <v>2</v>
      </c>
      <c r="E802" s="59"/>
      <c r="F802" s="474" t="s">
        <v>333</v>
      </c>
      <c r="G802" s="474"/>
      <c r="H802" s="474" t="s">
        <v>334</v>
      </c>
      <c r="I802" s="474"/>
      <c r="J802" s="79"/>
      <c r="K802" s="474" t="s">
        <v>335</v>
      </c>
      <c r="L802" s="474"/>
    </row>
    <row r="803" spans="1:12" ht="12">
      <c r="A803" s="59" t="s">
        <v>4</v>
      </c>
      <c r="B803" s="47" t="s">
        <v>510</v>
      </c>
      <c r="C803" s="77" t="s">
        <v>511</v>
      </c>
      <c r="D803" s="59" t="s">
        <v>4</v>
      </c>
      <c r="E803" s="59"/>
      <c r="F803" s="96" t="s">
        <v>338</v>
      </c>
      <c r="G803" s="87" t="s">
        <v>339</v>
      </c>
      <c r="H803" s="96" t="s">
        <v>338</v>
      </c>
      <c r="I803" s="87" t="s">
        <v>339</v>
      </c>
      <c r="J803" s="87"/>
      <c r="K803" s="96" t="s">
        <v>338</v>
      </c>
      <c r="L803" s="87" t="s">
        <v>339</v>
      </c>
    </row>
    <row r="804" spans="2:12" ht="12">
      <c r="B804" s="48" t="s">
        <v>512</v>
      </c>
      <c r="C804" s="77" t="s">
        <v>513</v>
      </c>
      <c r="D804" s="77"/>
      <c r="E804" s="77"/>
      <c r="F804" s="96" t="s">
        <v>514</v>
      </c>
      <c r="G804" s="87" t="s">
        <v>342</v>
      </c>
      <c r="H804" s="96" t="s">
        <v>514</v>
      </c>
      <c r="I804" s="87" t="s">
        <v>342</v>
      </c>
      <c r="J804" s="87"/>
      <c r="K804" s="96" t="s">
        <v>514</v>
      </c>
      <c r="L804" s="87" t="s">
        <v>342</v>
      </c>
    </row>
    <row r="805" spans="1:12" ht="12">
      <c r="A805" s="45" t="s">
        <v>1</v>
      </c>
      <c r="B805" s="45" t="s">
        <v>1</v>
      </c>
      <c r="C805" s="45" t="s">
        <v>1</v>
      </c>
      <c r="D805" s="45" t="s">
        <v>1</v>
      </c>
      <c r="E805" s="45"/>
      <c r="F805" s="95" t="s">
        <v>1</v>
      </c>
      <c r="G805" s="71" t="s">
        <v>1</v>
      </c>
      <c r="H805" s="95" t="s">
        <v>1</v>
      </c>
      <c r="I805" s="71" t="s">
        <v>1</v>
      </c>
      <c r="J805" s="71"/>
      <c r="K805" s="71" t="s">
        <v>1</v>
      </c>
      <c r="L805" s="71" t="s">
        <v>1</v>
      </c>
    </row>
    <row r="806" spans="1:12" s="5" customFormat="1" ht="12">
      <c r="A806" s="14"/>
      <c r="C806" s="36"/>
      <c r="D806" s="14"/>
      <c r="H806" s="15"/>
      <c r="I806" s="18"/>
      <c r="J806" s="252"/>
      <c r="K806" s="15"/>
      <c r="L806" s="18"/>
    </row>
    <row r="807" spans="1:12" s="5" customFormat="1" ht="12">
      <c r="A807" s="24">
        <v>1</v>
      </c>
      <c r="B807" s="249" t="s">
        <v>343</v>
      </c>
      <c r="C807" s="250"/>
      <c r="D807" s="24">
        <v>1</v>
      </c>
      <c r="E807" s="251"/>
      <c r="F807" s="155"/>
      <c r="G807" s="155"/>
      <c r="H807" s="155"/>
      <c r="I807" s="155"/>
      <c r="J807" s="155"/>
      <c r="K807" s="26"/>
      <c r="L807" s="16"/>
    </row>
    <row r="808" spans="1:12" s="5" customFormat="1" ht="12">
      <c r="A808" s="24">
        <f aca="true" t="shared" si="0" ref="A808:A830">(A807+1)</f>
        <v>2</v>
      </c>
      <c r="B808" s="253" t="s">
        <v>617</v>
      </c>
      <c r="C808" s="250"/>
      <c r="D808" s="24">
        <f aca="true" t="shared" si="1" ref="D808:D830">(D807+1)</f>
        <v>2</v>
      </c>
      <c r="E808" s="251"/>
      <c r="F808" s="155"/>
      <c r="G808" s="155">
        <v>0</v>
      </c>
      <c r="H808" s="155"/>
      <c r="I808" s="158">
        <v>1367000</v>
      </c>
      <c r="K808" s="26"/>
      <c r="L808" s="16"/>
    </row>
    <row r="809" spans="1:12" s="5" customFormat="1" ht="24">
      <c r="A809" s="24">
        <f t="shared" si="0"/>
        <v>3</v>
      </c>
      <c r="B809" s="253" t="s">
        <v>618</v>
      </c>
      <c r="C809" s="250"/>
      <c r="D809" s="24">
        <f t="shared" si="1"/>
        <v>3</v>
      </c>
      <c r="E809" s="251"/>
      <c r="F809" s="26"/>
      <c r="G809" s="155"/>
      <c r="H809" s="155"/>
      <c r="I809" s="155">
        <v>8200925</v>
      </c>
      <c r="K809" s="26"/>
      <c r="L809" s="16"/>
    </row>
    <row r="810" spans="1:12" s="5" customFormat="1" ht="11.25" customHeight="1">
      <c r="A810" s="24">
        <f t="shared" si="0"/>
        <v>4</v>
      </c>
      <c r="B810" s="253" t="s">
        <v>619</v>
      </c>
      <c r="D810" s="24">
        <f t="shared" si="1"/>
        <v>4</v>
      </c>
      <c r="E810" s="251"/>
      <c r="F810" s="155">
        <v>13145713</v>
      </c>
      <c r="G810" s="155"/>
      <c r="H810" s="155">
        <v>13142688</v>
      </c>
      <c r="I810" s="16"/>
      <c r="K810" s="26">
        <v>9694676</v>
      </c>
      <c r="L810" s="16"/>
    </row>
    <row r="811" spans="1:12" s="5" customFormat="1" ht="12">
      <c r="A811" s="24">
        <f t="shared" si="0"/>
        <v>5</v>
      </c>
      <c r="B811" s="267" t="s">
        <v>620</v>
      </c>
      <c r="C811" s="256"/>
      <c r="D811" s="24">
        <f t="shared" si="1"/>
        <v>5</v>
      </c>
      <c r="E811" s="251"/>
      <c r="F811" s="155"/>
      <c r="G811" s="155">
        <v>5349033</v>
      </c>
      <c r="H811" s="155"/>
      <c r="I811" s="155"/>
      <c r="J811" s="155"/>
      <c r="K811" s="26"/>
      <c r="L811" s="16"/>
    </row>
    <row r="812" spans="1:12" s="5" customFormat="1" ht="12">
      <c r="A812" s="24">
        <f t="shared" si="0"/>
        <v>6</v>
      </c>
      <c r="B812" s="268" t="s">
        <v>621</v>
      </c>
      <c r="C812" s="256"/>
      <c r="D812" s="24">
        <f t="shared" si="1"/>
        <v>6</v>
      </c>
      <c r="E812" s="251"/>
      <c r="F812" s="155"/>
      <c r="G812" s="155">
        <v>1834143</v>
      </c>
      <c r="H812" s="155"/>
      <c r="I812" s="155"/>
      <c r="J812" s="155"/>
      <c r="K812" s="26"/>
      <c r="L812" s="16"/>
    </row>
    <row r="813" spans="1:12" s="5" customFormat="1" ht="12">
      <c r="A813" s="24">
        <f t="shared" si="0"/>
        <v>7</v>
      </c>
      <c r="B813" s="268" t="s">
        <v>622</v>
      </c>
      <c r="C813" s="250"/>
      <c r="D813" s="24">
        <f t="shared" si="1"/>
        <v>7</v>
      </c>
      <c r="E813" s="251"/>
      <c r="F813" s="155"/>
      <c r="G813" s="155">
        <v>42032512</v>
      </c>
      <c r="H813" s="155"/>
      <c r="I813" s="155"/>
      <c r="J813" s="155"/>
      <c r="K813" s="26"/>
      <c r="L813" s="16"/>
    </row>
    <row r="814" spans="1:12" s="5" customFormat="1" ht="13.5" customHeight="1">
      <c r="A814" s="24">
        <f t="shared" si="0"/>
        <v>8</v>
      </c>
      <c r="B814" s="268" t="s">
        <v>623</v>
      </c>
      <c r="C814" s="258"/>
      <c r="D814" s="24">
        <f t="shared" si="1"/>
        <v>8</v>
      </c>
      <c r="E814" s="251"/>
      <c r="F814" s="155"/>
      <c r="G814" s="155">
        <v>4835000</v>
      </c>
      <c r="H814" s="155"/>
      <c r="I814" s="155"/>
      <c r="J814" s="155"/>
      <c r="K814" s="26"/>
      <c r="L814" s="16"/>
    </row>
    <row r="815" spans="1:12" s="5" customFormat="1" ht="12">
      <c r="A815" s="24">
        <f t="shared" si="0"/>
        <v>9</v>
      </c>
      <c r="B815" s="267" t="s">
        <v>624</v>
      </c>
      <c r="C815" s="256"/>
      <c r="D815" s="24">
        <f t="shared" si="1"/>
        <v>9</v>
      </c>
      <c r="E815" s="251"/>
      <c r="F815" s="155"/>
      <c r="G815" s="155"/>
      <c r="H815" s="155"/>
      <c r="I815" s="155"/>
      <c r="J815" s="155"/>
      <c r="K815" s="26"/>
      <c r="L815" s="16"/>
    </row>
    <row r="816" spans="1:12" s="5" customFormat="1" ht="12">
      <c r="A816" s="24">
        <f t="shared" si="0"/>
        <v>10</v>
      </c>
      <c r="C816" s="256"/>
      <c r="D816" s="24">
        <f t="shared" si="1"/>
        <v>10</v>
      </c>
      <c r="E816" s="251"/>
      <c r="F816" s="155"/>
      <c r="G816" s="155"/>
      <c r="H816" s="155"/>
      <c r="I816" s="155"/>
      <c r="J816" s="155"/>
      <c r="K816" s="26"/>
      <c r="L816" s="16"/>
    </row>
    <row r="817" spans="1:12" s="5" customFormat="1" ht="12">
      <c r="A817" s="24">
        <f t="shared" si="0"/>
        <v>11</v>
      </c>
      <c r="C817" s="250"/>
      <c r="D817" s="24">
        <f t="shared" si="1"/>
        <v>11</v>
      </c>
      <c r="E817" s="251"/>
      <c r="F817" s="155"/>
      <c r="G817" s="155"/>
      <c r="H817" s="155"/>
      <c r="I817" s="155"/>
      <c r="J817" s="155"/>
      <c r="K817" s="26"/>
      <c r="L817" s="16"/>
    </row>
    <row r="818" spans="1:12" s="5" customFormat="1" ht="12">
      <c r="A818" s="24">
        <f t="shared" si="0"/>
        <v>12</v>
      </c>
      <c r="B818" s="4"/>
      <c r="C818" s="258"/>
      <c r="D818" s="24">
        <f t="shared" si="1"/>
        <v>12</v>
      </c>
      <c r="E818" s="251"/>
      <c r="F818" s="155"/>
      <c r="G818" s="155"/>
      <c r="H818" s="155"/>
      <c r="I818" s="155"/>
      <c r="J818" s="155"/>
      <c r="K818" s="26"/>
      <c r="L818" s="16"/>
    </row>
    <row r="819" spans="1:12" s="5" customFormat="1" ht="12">
      <c r="A819" s="24">
        <f t="shared" si="0"/>
        <v>13</v>
      </c>
      <c r="C819" s="258"/>
      <c r="D819" s="24">
        <f t="shared" si="1"/>
        <v>13</v>
      </c>
      <c r="E819" s="251"/>
      <c r="F819" s="155"/>
      <c r="G819" s="155"/>
      <c r="H819" s="155"/>
      <c r="I819" s="155"/>
      <c r="J819" s="155"/>
      <c r="K819" s="26"/>
      <c r="L819" s="16"/>
    </row>
    <row r="820" spans="1:12" s="5" customFormat="1" ht="12">
      <c r="A820" s="24">
        <f t="shared" si="0"/>
        <v>14</v>
      </c>
      <c r="C820" s="250"/>
      <c r="D820" s="24">
        <f t="shared" si="1"/>
        <v>14</v>
      </c>
      <c r="E820" s="251"/>
      <c r="F820" s="158"/>
      <c r="G820" s="158"/>
      <c r="H820" s="155"/>
      <c r="I820" s="155"/>
      <c r="J820" s="155"/>
      <c r="K820" s="26"/>
      <c r="L820" s="16"/>
    </row>
    <row r="821" spans="1:12" s="5" customFormat="1" ht="12">
      <c r="A821" s="24">
        <f t="shared" si="0"/>
        <v>15</v>
      </c>
      <c r="C821" s="258"/>
      <c r="D821" s="24">
        <f t="shared" si="1"/>
        <v>15</v>
      </c>
      <c r="E821" s="251"/>
      <c r="F821" s="158"/>
      <c r="G821" s="158"/>
      <c r="H821" s="155"/>
      <c r="I821" s="155"/>
      <c r="J821" s="155"/>
      <c r="K821" s="26"/>
      <c r="L821" s="16"/>
    </row>
    <row r="822" spans="1:12" s="5" customFormat="1" ht="12">
      <c r="A822" s="24">
        <f t="shared" si="0"/>
        <v>16</v>
      </c>
      <c r="B822" s="20"/>
      <c r="C822" s="256"/>
      <c r="D822" s="24">
        <f t="shared" si="1"/>
        <v>16</v>
      </c>
      <c r="E822" s="251"/>
      <c r="F822" s="158"/>
      <c r="G822" s="158"/>
      <c r="H822" s="158"/>
      <c r="I822" s="158"/>
      <c r="J822" s="158"/>
      <c r="K822" s="26"/>
      <c r="L822" s="16"/>
    </row>
    <row r="823" spans="1:12" s="5" customFormat="1" ht="12">
      <c r="A823" s="24">
        <f t="shared" si="0"/>
        <v>17</v>
      </c>
      <c r="B823" s="20" t="s">
        <v>364</v>
      </c>
      <c r="C823" s="256"/>
      <c r="D823" s="24">
        <f t="shared" si="1"/>
        <v>17</v>
      </c>
      <c r="E823" s="251"/>
      <c r="F823" s="158"/>
      <c r="G823" s="158"/>
      <c r="H823" s="158"/>
      <c r="I823" s="158"/>
      <c r="J823" s="158"/>
      <c r="K823" s="26"/>
      <c r="L823" s="16"/>
    </row>
    <row r="824" spans="1:12" s="5" customFormat="1" ht="12">
      <c r="A824" s="24">
        <f t="shared" si="0"/>
        <v>18</v>
      </c>
      <c r="C824" s="256"/>
      <c r="D824" s="24">
        <f t="shared" si="1"/>
        <v>18</v>
      </c>
      <c r="E824" s="251"/>
      <c r="F824" s="158"/>
      <c r="G824" s="158"/>
      <c r="H824" s="158"/>
      <c r="I824" s="158"/>
      <c r="J824" s="16"/>
      <c r="K824" s="26"/>
      <c r="L824" s="16"/>
    </row>
    <row r="825" spans="1:12" s="5" customFormat="1" ht="12">
      <c r="A825" s="24">
        <f t="shared" si="0"/>
        <v>19</v>
      </c>
      <c r="C825" s="256"/>
      <c r="D825" s="24">
        <f t="shared" si="1"/>
        <v>19</v>
      </c>
      <c r="E825" s="251"/>
      <c r="F825" s="155"/>
      <c r="G825" s="155"/>
      <c r="H825" s="155"/>
      <c r="I825" s="155"/>
      <c r="J825" s="16"/>
      <c r="K825" s="26"/>
      <c r="L825" s="16"/>
    </row>
    <row r="826" spans="1:12" s="5" customFormat="1" ht="10.5" customHeight="1">
      <c r="A826" s="24">
        <f t="shared" si="0"/>
        <v>20</v>
      </c>
      <c r="C826" s="256"/>
      <c r="D826" s="24">
        <f t="shared" si="1"/>
        <v>20</v>
      </c>
      <c r="E826" s="251"/>
      <c r="F826" s="158"/>
      <c r="G826" s="158"/>
      <c r="H826" s="158"/>
      <c r="I826" s="155"/>
      <c r="J826" s="16"/>
      <c r="K826" s="26"/>
      <c r="L826" s="16"/>
    </row>
    <row r="827" spans="1:12" s="5" customFormat="1" ht="12">
      <c r="A827" s="24">
        <f t="shared" si="0"/>
        <v>21</v>
      </c>
      <c r="C827" s="256"/>
      <c r="D827" s="24">
        <f t="shared" si="1"/>
        <v>21</v>
      </c>
      <c r="F827" s="155"/>
      <c r="G827" s="155"/>
      <c r="H827" s="155"/>
      <c r="I827" s="155"/>
      <c r="J827" s="155"/>
      <c r="K827" s="26"/>
      <c r="L827" s="16"/>
    </row>
    <row r="828" spans="1:12" s="5" customFormat="1" ht="12">
      <c r="A828" s="24">
        <f t="shared" si="0"/>
        <v>22</v>
      </c>
      <c r="B828" s="20"/>
      <c r="C828" s="256"/>
      <c r="D828" s="24">
        <f t="shared" si="1"/>
        <v>22</v>
      </c>
      <c r="F828" s="155"/>
      <c r="G828" s="155"/>
      <c r="H828" s="155"/>
      <c r="I828" s="155"/>
      <c r="J828" s="155"/>
      <c r="K828" s="26"/>
      <c r="L828" s="16"/>
    </row>
    <row r="829" spans="1:12" s="5" customFormat="1" ht="12">
      <c r="A829" s="24">
        <f t="shared" si="0"/>
        <v>23</v>
      </c>
      <c r="C829" s="256"/>
      <c r="D829" s="24">
        <f t="shared" si="1"/>
        <v>23</v>
      </c>
      <c r="E829" s="251"/>
      <c r="F829" s="155"/>
      <c r="G829" s="155"/>
      <c r="H829" s="155"/>
      <c r="I829" s="155"/>
      <c r="J829" s="155"/>
      <c r="K829" s="26"/>
      <c r="L829" s="16"/>
    </row>
    <row r="830" spans="1:12" s="5" customFormat="1" ht="12">
      <c r="A830" s="24">
        <f t="shared" si="0"/>
        <v>24</v>
      </c>
      <c r="C830" s="256"/>
      <c r="D830" s="24">
        <f t="shared" si="1"/>
        <v>24</v>
      </c>
      <c r="E830" s="251"/>
      <c r="F830" s="155"/>
      <c r="G830" s="155"/>
      <c r="H830" s="158"/>
      <c r="I830" s="158"/>
      <c r="J830" s="155"/>
      <c r="K830" s="26"/>
      <c r="L830" s="16"/>
    </row>
    <row r="831" spans="1:12" s="5" customFormat="1" ht="12">
      <c r="A831" s="5">
        <v>25</v>
      </c>
      <c r="C831" s="256"/>
      <c r="D831" s="5">
        <v>25</v>
      </c>
      <c r="E831" s="251"/>
      <c r="F831" s="159"/>
      <c r="G831" s="159"/>
      <c r="H831" s="158"/>
      <c r="I831" s="155"/>
      <c r="J831" s="155"/>
      <c r="K831" s="26"/>
      <c r="L831" s="16"/>
    </row>
    <row r="832" spans="2:12" s="5" customFormat="1" ht="12">
      <c r="B832" s="20"/>
      <c r="C832" s="256"/>
      <c r="F832" s="22"/>
      <c r="G832" s="23"/>
      <c r="H832" s="264"/>
      <c r="I832" s="22"/>
      <c r="J832" s="23"/>
      <c r="K832" s="26"/>
      <c r="L832" s="16"/>
    </row>
    <row r="833" spans="3:12" s="5" customFormat="1" ht="12" customHeight="1">
      <c r="C833" s="258"/>
      <c r="D833" s="265"/>
      <c r="E833" s="14" t="s">
        <v>1</v>
      </c>
      <c r="F833" s="15" t="s">
        <v>1</v>
      </c>
      <c r="G833" s="18" t="s">
        <v>1</v>
      </c>
      <c r="H833" s="266" t="s">
        <v>1</v>
      </c>
      <c r="I833" s="15" t="s">
        <v>1</v>
      </c>
      <c r="J833" s="18" t="s">
        <v>1</v>
      </c>
      <c r="K833" s="26"/>
      <c r="L833" s="16"/>
    </row>
    <row r="834" spans="1:12" s="5" customFormat="1" ht="12" customHeight="1">
      <c r="A834" s="24">
        <v>26</v>
      </c>
      <c r="B834" s="4" t="s">
        <v>526</v>
      </c>
      <c r="C834" s="250"/>
      <c r="D834" s="24">
        <v>26</v>
      </c>
      <c r="E834" s="159">
        <f>SUM(E806:E832)</f>
        <v>0</v>
      </c>
      <c r="F834" s="159">
        <f>SUM(F806:F832)</f>
        <v>13145713</v>
      </c>
      <c r="G834" s="159">
        <f>SUM(G806:G832)</f>
        <v>54050688</v>
      </c>
      <c r="H834" s="159">
        <f>SUM(H806:H832)</f>
        <v>13142688</v>
      </c>
      <c r="I834" s="159">
        <f>SUM(I806:I832)</f>
        <v>9567925</v>
      </c>
      <c r="J834" s="159"/>
      <c r="K834" s="159">
        <f>SUM(K806:K832)</f>
        <v>9694676</v>
      </c>
      <c r="L834" s="159">
        <f>SUM(L806:L832)</f>
        <v>0</v>
      </c>
    </row>
    <row r="835" spans="3:12" s="5" customFormat="1" ht="12" customHeight="1">
      <c r="C835" s="258"/>
      <c r="D835" s="265"/>
      <c r="E835" s="14" t="s">
        <v>1</v>
      </c>
      <c r="F835" s="14"/>
      <c r="G835" s="14"/>
      <c r="H835" s="15" t="s">
        <v>1</v>
      </c>
      <c r="I835" s="18" t="s">
        <v>1</v>
      </c>
      <c r="J835" s="266" t="s">
        <v>1</v>
      </c>
      <c r="K835" s="15" t="s">
        <v>1</v>
      </c>
      <c r="L835" s="18" t="s">
        <v>1</v>
      </c>
    </row>
    <row r="836" spans="3:10" ht="12" customHeight="1">
      <c r="C836" s="191"/>
      <c r="D836" s="44"/>
      <c r="E836" s="44"/>
      <c r="F836" s="95"/>
      <c r="G836" s="71"/>
      <c r="H836" s="95"/>
      <c r="I836" s="71"/>
      <c r="J836" s="71"/>
    </row>
    <row r="837" spans="3:10" ht="12" customHeight="1">
      <c r="C837" s="191"/>
      <c r="D837" s="44"/>
      <c r="E837" s="44"/>
      <c r="F837" s="95"/>
      <c r="G837" s="71"/>
      <c r="H837" s="95"/>
      <c r="I837" s="71"/>
      <c r="J837" s="71"/>
    </row>
    <row r="838" spans="3:10" ht="12" customHeight="1">
      <c r="C838" s="191"/>
      <c r="D838" s="44"/>
      <c r="E838" s="44"/>
      <c r="F838" s="95"/>
      <c r="G838" s="71"/>
      <c r="H838" s="95"/>
      <c r="I838" s="71"/>
      <c r="J838" s="71"/>
    </row>
    <row r="839" spans="3:10" ht="12" customHeight="1">
      <c r="C839" s="191"/>
      <c r="D839" s="44"/>
      <c r="E839" s="44"/>
      <c r="F839" s="95"/>
      <c r="G839" s="71"/>
      <c r="H839" s="95"/>
      <c r="I839" s="71"/>
      <c r="J839" s="71"/>
    </row>
    <row r="840" spans="3:10" ht="12" customHeight="1">
      <c r="C840" s="191"/>
      <c r="D840" s="44"/>
      <c r="E840" s="44"/>
      <c r="F840" s="95"/>
      <c r="G840" s="71"/>
      <c r="H840" s="95"/>
      <c r="I840" s="71"/>
      <c r="J840" s="71"/>
    </row>
    <row r="841" spans="3:10" ht="12" customHeight="1">
      <c r="C841" s="191"/>
      <c r="D841" s="44"/>
      <c r="E841" s="44"/>
      <c r="F841" s="95"/>
      <c r="G841" s="71"/>
      <c r="H841" s="95"/>
      <c r="I841" s="71"/>
      <c r="J841" s="71"/>
    </row>
    <row r="842" spans="3:10" ht="12" customHeight="1">
      <c r="C842" s="191"/>
      <c r="D842" s="44"/>
      <c r="E842" s="44"/>
      <c r="F842" s="95"/>
      <c r="G842" s="71"/>
      <c r="H842" s="95"/>
      <c r="I842" s="71"/>
      <c r="J842" s="71"/>
    </row>
    <row r="843" spans="3:10" ht="12" customHeight="1">
      <c r="C843" s="191"/>
      <c r="D843" s="44"/>
      <c r="E843" s="44"/>
      <c r="F843" s="95"/>
      <c r="G843" s="71"/>
      <c r="H843" s="95"/>
      <c r="I843" s="71"/>
      <c r="J843" s="71"/>
    </row>
    <row r="844" spans="3:10" ht="12" customHeight="1">
      <c r="C844" s="191"/>
      <c r="D844" s="44"/>
      <c r="E844" s="44"/>
      <c r="F844" s="95"/>
      <c r="G844" s="71"/>
      <c r="H844" s="95"/>
      <c r="I844" s="71"/>
      <c r="J844" s="71"/>
    </row>
    <row r="845" spans="3:10" ht="12" customHeight="1">
      <c r="C845" s="191"/>
      <c r="D845" s="44"/>
      <c r="E845" s="44"/>
      <c r="F845" s="95"/>
      <c r="G845" s="71"/>
      <c r="H845" s="95"/>
      <c r="I845" s="71"/>
      <c r="J845" s="71"/>
    </row>
    <row r="846" spans="3:10" ht="12" customHeight="1">
      <c r="C846" s="191"/>
      <c r="D846" s="44"/>
      <c r="E846" s="44"/>
      <c r="F846" s="95"/>
      <c r="G846" s="71"/>
      <c r="H846" s="95"/>
      <c r="I846" s="71"/>
      <c r="J846" s="71"/>
    </row>
    <row r="847" spans="3:10" ht="12" customHeight="1">
      <c r="C847" s="191"/>
      <c r="D847" s="44"/>
      <c r="E847" s="44"/>
      <c r="F847" s="95"/>
      <c r="G847" s="71"/>
      <c r="H847" s="95"/>
      <c r="I847" s="71"/>
      <c r="J847" s="71"/>
    </row>
    <row r="848" spans="3:10" ht="12" customHeight="1">
      <c r="C848" s="191"/>
      <c r="D848" s="44"/>
      <c r="E848" s="44"/>
      <c r="F848" s="95"/>
      <c r="G848" s="71"/>
      <c r="H848" s="95"/>
      <c r="I848" s="71"/>
      <c r="J848" s="71"/>
    </row>
    <row r="849" spans="3:10" ht="12" customHeight="1">
      <c r="C849" s="191"/>
      <c r="D849" s="44"/>
      <c r="E849" s="44"/>
      <c r="F849" s="95"/>
      <c r="G849" s="71"/>
      <c r="H849" s="95"/>
      <c r="I849" s="71"/>
      <c r="J849" s="71"/>
    </row>
    <row r="850" spans="3:10" ht="12" customHeight="1">
      <c r="C850" s="191"/>
      <c r="D850" s="44"/>
      <c r="E850" s="44"/>
      <c r="F850" s="95"/>
      <c r="G850" s="71"/>
      <c r="H850" s="95"/>
      <c r="I850" s="71"/>
      <c r="J850" s="71"/>
    </row>
    <row r="851" spans="3:10" ht="12" customHeight="1">
      <c r="C851" s="191"/>
      <c r="D851" s="44"/>
      <c r="E851" s="44"/>
      <c r="F851" s="95"/>
      <c r="G851" s="71"/>
      <c r="H851" s="95"/>
      <c r="I851" s="71"/>
      <c r="J851" s="71"/>
    </row>
    <row r="852" spans="3:10" ht="12" customHeight="1">
      <c r="C852" s="191"/>
      <c r="D852" s="44"/>
      <c r="E852" s="44"/>
      <c r="F852" s="95"/>
      <c r="G852" s="71"/>
      <c r="H852" s="95"/>
      <c r="I852" s="71"/>
      <c r="J852" s="71"/>
    </row>
    <row r="853" spans="3:10" ht="12" customHeight="1">
      <c r="C853" s="191"/>
      <c r="D853" s="44"/>
      <c r="E853" s="44"/>
      <c r="F853" s="95"/>
      <c r="G853" s="71"/>
      <c r="H853" s="95"/>
      <c r="I853" s="71"/>
      <c r="J853" s="71"/>
    </row>
    <row r="854" spans="3:10" ht="12" customHeight="1">
      <c r="C854" s="191"/>
      <c r="D854" s="44"/>
      <c r="E854" s="44"/>
      <c r="F854" s="95"/>
      <c r="G854" s="71"/>
      <c r="H854" s="95"/>
      <c r="I854" s="71"/>
      <c r="J854" s="71"/>
    </row>
    <row r="855" spans="3:10" ht="12" customHeight="1">
      <c r="C855" s="191"/>
      <c r="D855" s="44"/>
      <c r="E855" s="44"/>
      <c r="F855" s="95"/>
      <c r="G855" s="71"/>
      <c r="H855" s="95"/>
      <c r="I855" s="71"/>
      <c r="J855" s="71"/>
    </row>
    <row r="856" spans="3:10" ht="12" customHeight="1">
      <c r="C856" s="191"/>
      <c r="D856" s="44"/>
      <c r="E856" s="44"/>
      <c r="F856" s="95"/>
      <c r="G856" s="71"/>
      <c r="H856" s="95"/>
      <c r="I856" s="71"/>
      <c r="J856" s="71"/>
    </row>
    <row r="857" spans="3:10" ht="12" customHeight="1">
      <c r="C857" s="191"/>
      <c r="D857" s="44"/>
      <c r="E857" s="44"/>
      <c r="F857" s="95"/>
      <c r="G857" s="71"/>
      <c r="H857" s="95"/>
      <c r="I857" s="71"/>
      <c r="J857" s="71"/>
    </row>
    <row r="858" spans="3:10" ht="12" customHeight="1">
      <c r="C858" s="191"/>
      <c r="D858" s="44"/>
      <c r="E858" s="44"/>
      <c r="F858" s="95"/>
      <c r="G858" s="71"/>
      <c r="H858" s="95"/>
      <c r="I858" s="71"/>
      <c r="J858" s="71"/>
    </row>
    <row r="859" spans="3:10" ht="12" customHeight="1">
      <c r="C859" s="191"/>
      <c r="D859" s="44"/>
      <c r="E859" s="44"/>
      <c r="F859" s="95"/>
      <c r="G859" s="71"/>
      <c r="H859" s="95"/>
      <c r="I859" s="71"/>
      <c r="J859" s="71"/>
    </row>
    <row r="860" spans="3:10" ht="12" customHeight="1">
      <c r="C860" s="191"/>
      <c r="D860" s="44"/>
      <c r="E860" s="44"/>
      <c r="F860" s="95"/>
      <c r="G860" s="71"/>
      <c r="H860" s="95"/>
      <c r="I860" s="71"/>
      <c r="J860" s="71"/>
    </row>
    <row r="861" spans="3:10" ht="12" customHeight="1">
      <c r="C861" s="191"/>
      <c r="D861" s="44"/>
      <c r="E861" s="44"/>
      <c r="F861" s="95"/>
      <c r="G861" s="71"/>
      <c r="H861" s="95"/>
      <c r="I861" s="71"/>
      <c r="J861" s="71"/>
    </row>
    <row r="862" spans="3:10" ht="12" customHeight="1">
      <c r="C862" s="191"/>
      <c r="D862" s="44"/>
      <c r="E862" s="44"/>
      <c r="F862" s="95"/>
      <c r="G862" s="71"/>
      <c r="H862" s="95"/>
      <c r="I862" s="71"/>
      <c r="J862" s="71"/>
    </row>
    <row r="863" spans="3:10" ht="12" customHeight="1">
      <c r="C863" s="191"/>
      <c r="D863" s="44"/>
      <c r="E863" s="44"/>
      <c r="F863" s="95"/>
      <c r="G863" s="71"/>
      <c r="H863" s="95"/>
      <c r="I863" s="71"/>
      <c r="J863" s="71"/>
    </row>
    <row r="864" spans="3:10" ht="12" customHeight="1">
      <c r="C864" s="191"/>
      <c r="D864" s="44"/>
      <c r="E864" s="44"/>
      <c r="F864" s="95"/>
      <c r="G864" s="71"/>
      <c r="H864" s="95"/>
      <c r="I864" s="71"/>
      <c r="J864" s="71"/>
    </row>
    <row r="865" spans="3:10" ht="12" customHeight="1">
      <c r="C865" s="191"/>
      <c r="D865" s="44"/>
      <c r="E865" s="44"/>
      <c r="F865" s="95"/>
      <c r="G865" s="71"/>
      <c r="H865" s="95"/>
      <c r="I865" s="71"/>
      <c r="J865" s="71"/>
    </row>
    <row r="866" spans="3:10" ht="12" customHeight="1">
      <c r="C866" s="191"/>
      <c r="D866" s="44"/>
      <c r="E866" s="44"/>
      <c r="F866" s="95"/>
      <c r="G866" s="71"/>
      <c r="H866" s="95"/>
      <c r="I866" s="71"/>
      <c r="J866" s="71"/>
    </row>
    <row r="867" spans="3:10" ht="12" customHeight="1">
      <c r="C867" s="191"/>
      <c r="D867" s="44"/>
      <c r="E867" s="44"/>
      <c r="F867" s="95"/>
      <c r="G867" s="71"/>
      <c r="H867" s="95"/>
      <c r="I867" s="71"/>
      <c r="J867" s="71"/>
    </row>
    <row r="868" spans="3:10" ht="12" customHeight="1">
      <c r="C868" s="191"/>
      <c r="D868" s="44"/>
      <c r="E868" s="44"/>
      <c r="F868" s="95"/>
      <c r="G868" s="71"/>
      <c r="H868" s="95"/>
      <c r="I868" s="71"/>
      <c r="J868" s="71"/>
    </row>
    <row r="869" spans="3:10" ht="12" customHeight="1">
      <c r="C869" s="191"/>
      <c r="D869" s="44"/>
      <c r="E869" s="44"/>
      <c r="F869" s="95"/>
      <c r="G869" s="71"/>
      <c r="H869" s="95"/>
      <c r="I869" s="71"/>
      <c r="J869" s="71"/>
    </row>
    <row r="870" spans="3:10" ht="12" customHeight="1">
      <c r="C870" s="191"/>
      <c r="D870" s="44"/>
      <c r="E870" s="44"/>
      <c r="F870" s="95"/>
      <c r="G870" s="71"/>
      <c r="H870" s="95"/>
      <c r="I870" s="71"/>
      <c r="J870" s="71"/>
    </row>
    <row r="871" spans="3:10" ht="12" customHeight="1">
      <c r="C871" s="191"/>
      <c r="D871" s="44"/>
      <c r="E871" s="44"/>
      <c r="F871" s="95"/>
      <c r="G871" s="71"/>
      <c r="H871" s="95"/>
      <c r="I871" s="71"/>
      <c r="J871" s="71"/>
    </row>
    <row r="872" spans="3:10" ht="12" customHeight="1">
      <c r="C872" s="191"/>
      <c r="D872" s="44"/>
      <c r="E872" s="44"/>
      <c r="F872" s="95"/>
      <c r="G872" s="71"/>
      <c r="H872" s="95"/>
      <c r="I872" s="71"/>
      <c r="J872" s="71"/>
    </row>
    <row r="873" spans="3:10" ht="12" customHeight="1">
      <c r="C873" s="191"/>
      <c r="D873" s="44"/>
      <c r="E873" s="44"/>
      <c r="F873" s="95"/>
      <c r="G873" s="71"/>
      <c r="H873" s="95"/>
      <c r="I873" s="71"/>
      <c r="J873" s="71"/>
    </row>
    <row r="874" spans="3:10" ht="12" customHeight="1">
      <c r="C874" s="191"/>
      <c r="D874" s="44"/>
      <c r="E874" s="44"/>
      <c r="F874" s="95"/>
      <c r="G874" s="71"/>
      <c r="H874" s="95"/>
      <c r="I874" s="71"/>
      <c r="J874" s="71"/>
    </row>
    <row r="875" spans="3:10" ht="12" customHeight="1">
      <c r="C875" s="191"/>
      <c r="D875" s="44"/>
      <c r="E875" s="44"/>
      <c r="F875" s="95"/>
      <c r="G875" s="71"/>
      <c r="H875" s="95"/>
      <c r="I875" s="71"/>
      <c r="J875" s="71"/>
    </row>
    <row r="876" spans="3:10" ht="12" customHeight="1">
      <c r="C876" s="191"/>
      <c r="D876" s="44"/>
      <c r="E876" s="44"/>
      <c r="F876" s="95"/>
      <c r="G876" s="71"/>
      <c r="H876" s="95"/>
      <c r="I876" s="71"/>
      <c r="J876" s="71"/>
    </row>
    <row r="877" spans="3:10" ht="12" customHeight="1">
      <c r="C877" s="191"/>
      <c r="D877" s="44"/>
      <c r="E877" s="44"/>
      <c r="F877" s="95"/>
      <c r="G877" s="71"/>
      <c r="H877" s="95"/>
      <c r="I877" s="71"/>
      <c r="J877" s="71"/>
    </row>
    <row r="878" spans="3:10" ht="12" customHeight="1">
      <c r="C878" s="191"/>
      <c r="D878" s="44"/>
      <c r="E878" s="44"/>
      <c r="F878" s="95"/>
      <c r="G878" s="71"/>
      <c r="H878" s="95"/>
      <c r="I878" s="71"/>
      <c r="J878" s="71"/>
    </row>
    <row r="879" spans="3:10" ht="12" customHeight="1">
      <c r="C879" s="191"/>
      <c r="D879" s="44"/>
      <c r="E879" s="44"/>
      <c r="F879" s="95"/>
      <c r="G879" s="71"/>
      <c r="H879" s="95"/>
      <c r="I879" s="71"/>
      <c r="J879" s="71"/>
    </row>
    <row r="880" spans="3:10" ht="12">
      <c r="C880" s="47"/>
      <c r="F880" s="84"/>
      <c r="G880" s="58"/>
      <c r="H880" s="84"/>
      <c r="I880" s="58"/>
      <c r="J880" s="58"/>
    </row>
    <row r="881" spans="3:10" ht="12">
      <c r="C881" s="47"/>
      <c r="F881" s="84"/>
      <c r="G881" s="58"/>
      <c r="H881" s="84"/>
      <c r="I881" s="58"/>
      <c r="J881" s="58"/>
    </row>
    <row r="882" spans="3:10" ht="12">
      <c r="C882" s="47"/>
      <c r="F882" s="84"/>
      <c r="G882" s="58"/>
      <c r="H882" s="84"/>
      <c r="I882" s="58"/>
      <c r="J882" s="58"/>
    </row>
    <row r="883" spans="3:10" ht="12">
      <c r="C883" s="47"/>
      <c r="F883" s="84"/>
      <c r="G883" s="58"/>
      <c r="H883" s="84"/>
      <c r="I883" s="58"/>
      <c r="J883" s="58"/>
    </row>
    <row r="884" spans="3:10" ht="12">
      <c r="C884" s="47"/>
      <c r="F884" s="84"/>
      <c r="G884" s="58"/>
      <c r="H884" s="84"/>
      <c r="I884" s="58"/>
      <c r="J884" s="58"/>
    </row>
    <row r="885" spans="3:10" ht="12">
      <c r="C885" s="47"/>
      <c r="F885" s="84"/>
      <c r="G885" s="58"/>
      <c r="H885" s="84"/>
      <c r="I885" s="58"/>
      <c r="J885" s="58"/>
    </row>
    <row r="886" spans="3:10" ht="12">
      <c r="C886" s="47"/>
      <c r="F886" s="84"/>
      <c r="G886" s="58"/>
      <c r="H886" s="84"/>
      <c r="I886" s="58"/>
      <c r="J886" s="58"/>
    </row>
    <row r="887" spans="3:10" ht="12">
      <c r="C887" s="47"/>
      <c r="F887" s="84"/>
      <c r="G887" s="58"/>
      <c r="H887" s="84"/>
      <c r="I887" s="58"/>
      <c r="J887" s="58"/>
    </row>
    <row r="888" spans="3:10" ht="12">
      <c r="C888" s="47"/>
      <c r="F888" s="84"/>
      <c r="G888" s="58"/>
      <c r="H888" s="84"/>
      <c r="I888" s="58"/>
      <c r="J888" s="58"/>
    </row>
    <row r="889" spans="3:10" ht="12">
      <c r="C889" s="47"/>
      <c r="F889" s="84"/>
      <c r="G889" s="58"/>
      <c r="H889" s="84"/>
      <c r="I889" s="58"/>
      <c r="J889" s="58"/>
    </row>
    <row r="890" spans="3:10" ht="12">
      <c r="C890" s="47"/>
      <c r="F890" s="84"/>
      <c r="G890" s="58"/>
      <c r="H890" s="84"/>
      <c r="I890" s="58"/>
      <c r="J890" s="58"/>
    </row>
    <row r="891" spans="3:10" ht="12">
      <c r="C891" s="47"/>
      <c r="F891" s="84"/>
      <c r="G891" s="58"/>
      <c r="H891" s="84"/>
      <c r="I891" s="58"/>
      <c r="J891" s="58"/>
    </row>
    <row r="892" spans="3:10" ht="12">
      <c r="C892" s="47"/>
      <c r="F892" s="84"/>
      <c r="G892" s="58"/>
      <c r="H892" s="84"/>
      <c r="I892" s="58"/>
      <c r="J892" s="58"/>
    </row>
    <row r="893" spans="3:10" ht="12">
      <c r="C893" s="47"/>
      <c r="F893" s="84"/>
      <c r="G893" s="58"/>
      <c r="H893" s="84"/>
      <c r="I893" s="58"/>
      <c r="J893" s="58"/>
    </row>
    <row r="894" spans="3:10" ht="12">
      <c r="C894" s="47"/>
      <c r="F894" s="84"/>
      <c r="G894" s="58"/>
      <c r="H894" s="84"/>
      <c r="I894" s="58"/>
      <c r="J894" s="58"/>
    </row>
    <row r="895" spans="3:10" ht="12">
      <c r="C895" s="47"/>
      <c r="F895" s="84"/>
      <c r="G895" s="58"/>
      <c r="H895" s="84"/>
      <c r="I895" s="58"/>
      <c r="J895" s="58"/>
    </row>
    <row r="896" spans="3:10" ht="12">
      <c r="C896" s="47"/>
      <c r="F896" s="84"/>
      <c r="G896" s="58"/>
      <c r="H896" s="84"/>
      <c r="I896" s="58"/>
      <c r="J896" s="58"/>
    </row>
    <row r="897" spans="3:10" ht="12">
      <c r="C897" s="47"/>
      <c r="F897" s="84"/>
      <c r="G897" s="58"/>
      <c r="H897" s="84"/>
      <c r="I897" s="58"/>
      <c r="J897" s="58"/>
    </row>
    <row r="898" spans="3:10" ht="12">
      <c r="C898" s="47"/>
      <c r="F898" s="84"/>
      <c r="G898" s="58"/>
      <c r="H898" s="84"/>
      <c r="I898" s="58"/>
      <c r="J898" s="58"/>
    </row>
    <row r="899" spans="3:10" ht="12">
      <c r="C899" s="47"/>
      <c r="F899" s="84"/>
      <c r="G899" s="58"/>
      <c r="H899" s="84"/>
      <c r="I899" s="58"/>
      <c r="J899" s="58"/>
    </row>
    <row r="900" spans="3:10" ht="12">
      <c r="C900" s="47"/>
      <c r="F900" s="84"/>
      <c r="G900" s="58"/>
      <c r="H900" s="84"/>
      <c r="I900" s="58"/>
      <c r="J900" s="58"/>
    </row>
    <row r="901" spans="3:10" ht="12">
      <c r="C901" s="47"/>
      <c r="F901" s="84"/>
      <c r="G901" s="58"/>
      <c r="H901" s="84"/>
      <c r="I901" s="58"/>
      <c r="J901" s="58"/>
    </row>
    <row r="902" spans="3:10" ht="12">
      <c r="C902" s="47"/>
      <c r="F902" s="84"/>
      <c r="G902" s="58"/>
      <c r="H902" s="84"/>
      <c r="I902" s="58"/>
      <c r="J902" s="58"/>
    </row>
    <row r="903" spans="3:10" ht="12">
      <c r="C903" s="47"/>
      <c r="F903" s="84"/>
      <c r="G903" s="58"/>
      <c r="H903" s="84"/>
      <c r="I903" s="58"/>
      <c r="J903" s="58"/>
    </row>
    <row r="904" spans="3:10" ht="12">
      <c r="C904" s="47"/>
      <c r="F904" s="84"/>
      <c r="G904" s="58"/>
      <c r="H904" s="84"/>
      <c r="I904" s="58"/>
      <c r="J904" s="58"/>
    </row>
    <row r="943" spans="3:10" ht="12">
      <c r="C943" s="77"/>
      <c r="F943" s="84"/>
      <c r="G943" s="58"/>
      <c r="H943" s="84"/>
      <c r="I943" s="58"/>
      <c r="J943" s="58"/>
    </row>
  </sheetData>
  <sheetProtection/>
  <mergeCells count="28">
    <mergeCell ref="A671:L671"/>
    <mergeCell ref="A32:L32"/>
    <mergeCell ref="A72:I72"/>
    <mergeCell ref="A112:L112"/>
    <mergeCell ref="A152:L152"/>
    <mergeCell ref="B190:I190"/>
    <mergeCell ref="A277:L277"/>
    <mergeCell ref="A612:L612"/>
    <mergeCell ref="A335:L335"/>
    <mergeCell ref="A351:L351"/>
    <mergeCell ref="A765:L765"/>
    <mergeCell ref="A799:L799"/>
    <mergeCell ref="C800:D800"/>
    <mergeCell ref="F802:G802"/>
    <mergeCell ref="H802:I802"/>
    <mergeCell ref="K802:L802"/>
    <mergeCell ref="A432:L432"/>
    <mergeCell ref="A731:L731"/>
    <mergeCell ref="A385:L385"/>
    <mergeCell ref="A396:L396"/>
    <mergeCell ref="A648:L648"/>
    <mergeCell ref="A299:L299"/>
    <mergeCell ref="A18:L18"/>
    <mergeCell ref="A696:L696"/>
    <mergeCell ref="A468:L468"/>
    <mergeCell ref="A504:L504"/>
    <mergeCell ref="A540:L540"/>
    <mergeCell ref="A576:L576"/>
  </mergeCells>
  <printOptions horizontalCentered="1"/>
  <pageMargins left="0.3" right="0.3" top="1" bottom="1" header="0.5" footer="0.24"/>
  <pageSetup fitToHeight="47" horizontalDpi="600" verticalDpi="600" orientation="landscape" scale="82" r:id="rId1"/>
  <rowBreaks count="25" manualBreakCount="25">
    <brk id="30" max="11" man="1"/>
    <brk id="70" max="11" man="1"/>
    <brk id="110" max="11" man="1"/>
    <brk id="150" max="11" man="1"/>
    <brk id="188" max="11" man="1"/>
    <brk id="227" max="11" man="1"/>
    <brk id="274" max="11" man="1"/>
    <brk id="297" max="11" man="1"/>
    <brk id="333" max="11" man="1"/>
    <brk id="349" max="11" man="1"/>
    <brk id="383" max="11" man="1"/>
    <brk id="394" max="11" man="1"/>
    <brk id="430" max="11" man="1"/>
    <brk id="466" max="11" man="1"/>
    <brk id="502" max="11" man="1"/>
    <brk id="538" max="11" man="1"/>
    <brk id="574" max="11" man="1"/>
    <brk id="610" max="11" man="1"/>
    <brk id="646" max="11" man="1"/>
    <brk id="669" max="11" man="1"/>
    <brk id="694" max="11" man="1"/>
    <brk id="729" max="11" man="1"/>
    <brk id="763" max="11" man="1"/>
    <brk id="797" max="11" man="1"/>
    <brk id="8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Giang</dc:creator>
  <cp:keywords/>
  <dc:description/>
  <cp:lastModifiedBy>Jill Taylor</cp:lastModifiedBy>
  <cp:lastPrinted>2010-12-06T17:45:10Z</cp:lastPrinted>
  <dcterms:created xsi:type="dcterms:W3CDTF">2000-07-06T16:57:05Z</dcterms:created>
  <dcterms:modified xsi:type="dcterms:W3CDTF">2013-07-17T16:05:43Z</dcterms:modified>
  <cp:category/>
  <cp:version/>
  <cp:contentType/>
  <cp:contentStatus/>
</cp:coreProperties>
</file>