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120" windowHeight="4785" activeTab="5"/>
  </bookViews>
  <sheets>
    <sheet name="CU FORMAT 10 &amp; 70" sheetId="1" r:id="rId1"/>
    <sheet name="UCB" sheetId="2" r:id="rId2"/>
    <sheet name="UCCS" sheetId="3" r:id="rId3"/>
    <sheet name="DDC" sheetId="4" r:id="rId4"/>
    <sheet name="AMC" sheetId="5" r:id="rId5"/>
    <sheet name="SYSTEM" sheetId="6" r:id="rId6"/>
  </sheets>
  <definedNames>
    <definedName name="_Fill" localSheetId="4" hidden="1">'AMC'!#REF!</definedName>
    <definedName name="_Fill" localSheetId="0" hidden="1">'CU FORMAT 10 &amp; 70'!#REF!</definedName>
    <definedName name="_Fill" localSheetId="3" hidden="1">'DDC'!#REF!</definedName>
    <definedName name="_Fill" localSheetId="5" hidden="1">'SYSTEM'!#REF!</definedName>
    <definedName name="_Fill" localSheetId="1" hidden="1">'UCB'!#REF!</definedName>
    <definedName name="_Fill" localSheetId="2" hidden="1">'UCCS'!#REF!</definedName>
    <definedName name="_Fill" hidden="1">#REF!</definedName>
    <definedName name="_Regression_Int" localSheetId="4" hidden="1">1</definedName>
    <definedName name="_Regression_Int" localSheetId="0" hidden="1">1</definedName>
    <definedName name="_Regression_Int" localSheetId="3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FMT10" localSheetId="4">'AMC'!#REF!</definedName>
    <definedName name="FMT10" localSheetId="0">'CU FORMAT 10 &amp; 70'!#REF!</definedName>
    <definedName name="FMT10" localSheetId="3">'DDC'!#REF!</definedName>
    <definedName name="FMT10" localSheetId="5">'SYSTEM'!#REF!</definedName>
    <definedName name="FMT10" localSheetId="1">'UCB'!#REF!</definedName>
    <definedName name="FMT10" localSheetId="2">'UCCS'!#REF!</definedName>
    <definedName name="FMT10">#REF!</definedName>
    <definedName name="FMT100" localSheetId="4">'AMC'!#REF!</definedName>
    <definedName name="FMT100" localSheetId="0">'CU FORMAT 10 &amp; 70'!#REF!</definedName>
    <definedName name="FMT100" localSheetId="3">'DDC'!#REF!</definedName>
    <definedName name="FMT100" localSheetId="5">'SYSTEM'!#REF!</definedName>
    <definedName name="FMT100" localSheetId="1">'UCB'!#REF!</definedName>
    <definedName name="FMT100" localSheetId="2">'UCCS'!#REF!</definedName>
    <definedName name="FMT100">#REF!</definedName>
    <definedName name="FMT1100" localSheetId="4">'AMC'!$A$455:$M$491</definedName>
    <definedName name="FMT1100" localSheetId="0">'CU FORMAT 10 &amp; 70'!#REF!</definedName>
    <definedName name="FMT1100" localSheetId="3">'DDC'!$A$488:$M$524</definedName>
    <definedName name="FMT1100" localSheetId="5">'SYSTEM'!#REF!</definedName>
    <definedName name="FMT1100" localSheetId="1">'UCB'!$A$475:$M$511</definedName>
    <definedName name="FMT1100" localSheetId="2">'UCCS'!$A$473:$M$509</definedName>
    <definedName name="FMT1100">#REF!</definedName>
    <definedName name="FMT1200" localSheetId="4">'AMC'!$A$493:$M$528</definedName>
    <definedName name="FMT1200" localSheetId="0">'CU FORMAT 10 &amp; 70'!#REF!</definedName>
    <definedName name="FMT1200" localSheetId="3">'DDC'!$A$526:$M$561</definedName>
    <definedName name="FMT1200" localSheetId="5">'SYSTEM'!#REF!</definedName>
    <definedName name="FMT1200" localSheetId="1">'UCB'!$A$513:$M$548</definedName>
    <definedName name="FMT1200" localSheetId="2">'UCCS'!$A$511:$M$546</definedName>
    <definedName name="FMT1200">#REF!</definedName>
    <definedName name="FMT1300" localSheetId="4">'AMC'!$A$530:$M$565</definedName>
    <definedName name="FMT1300" localSheetId="0">'CU FORMAT 10 &amp; 70'!#REF!</definedName>
    <definedName name="FMT1300" localSheetId="3">'DDC'!$A$563:$M$598</definedName>
    <definedName name="FMT1300" localSheetId="5">'SYSTEM'!#REF!</definedName>
    <definedName name="FMT1300" localSheetId="1">'UCB'!$A$550:$M$585</definedName>
    <definedName name="FMT1300" localSheetId="2">'UCCS'!$A$548:$M$583</definedName>
    <definedName name="FMT1300">#REF!</definedName>
    <definedName name="FMT1400" localSheetId="4">'AMC'!$A$567:$M$602</definedName>
    <definedName name="FMT1400" localSheetId="0">'CU FORMAT 10 &amp; 70'!#REF!</definedName>
    <definedName name="FMT1400" localSheetId="3">'DDC'!$A$600:$M$635</definedName>
    <definedName name="FMT1400" localSheetId="5">'SYSTEM'!#REF!</definedName>
    <definedName name="FMT1400" localSheetId="1">'UCB'!$A$587:$M$622</definedName>
    <definedName name="FMT1400" localSheetId="2">'UCCS'!$A$585:$M$620</definedName>
    <definedName name="FMT1400">#REF!</definedName>
    <definedName name="FMT15" localSheetId="4">'AMC'!#REF!</definedName>
    <definedName name="FMT15" localSheetId="0">'CU FORMAT 10 &amp; 70'!#REF!</definedName>
    <definedName name="FMT15" localSheetId="3">'DDC'!#REF!</definedName>
    <definedName name="FMT15" localSheetId="5">'SYSTEM'!#REF!</definedName>
    <definedName name="FMT15" localSheetId="1">'UCB'!#REF!</definedName>
    <definedName name="FMT15" localSheetId="2">'UCCS'!#REF!</definedName>
    <definedName name="FMT15">#REF!</definedName>
    <definedName name="FMT1500" localSheetId="4">'AMC'!$A$604:$M$639</definedName>
    <definedName name="FMT1500" localSheetId="0">'CU FORMAT 10 &amp; 70'!#REF!</definedName>
    <definedName name="FMT1500" localSheetId="3">'DDC'!$A$637:$M$672</definedName>
    <definedName name="FMT1500" localSheetId="5">'SYSTEM'!#REF!</definedName>
    <definedName name="FMT1500" localSheetId="1">'UCB'!$A$624:$M$659</definedName>
    <definedName name="FMT1500" localSheetId="2">'UCCS'!$A$622:$M$657</definedName>
    <definedName name="FMT1500">#REF!</definedName>
    <definedName name="FMT1600" localSheetId="4">'AMC'!$A$642:$M$675</definedName>
    <definedName name="FMT1600" localSheetId="0">'CU FORMAT 10 &amp; 70'!#REF!</definedName>
    <definedName name="FMT1600" localSheetId="3">'DDC'!$A$675:$M$708</definedName>
    <definedName name="FMT1600" localSheetId="5">'SYSTEM'!#REF!</definedName>
    <definedName name="FMT1600" localSheetId="1">'UCB'!$A$662:$M$696</definedName>
    <definedName name="FMT1600" localSheetId="2">'UCCS'!$A$660:$M$693</definedName>
    <definedName name="FMT1600">#REF!</definedName>
    <definedName name="FMT1700" localSheetId="4">'AMC'!$A$677:$M$756</definedName>
    <definedName name="FMT1700" localSheetId="0">'CU FORMAT 10 &amp; 70'!#REF!</definedName>
    <definedName name="FMT1700" localSheetId="3">'DDC'!$A$710:$M$760</definedName>
    <definedName name="FMT1700" localSheetId="5">'SYSTEM'!#REF!</definedName>
    <definedName name="FMT1700" localSheetId="1">'UCB'!$A$698:$M$769</definedName>
    <definedName name="FMT1700" localSheetId="2">'UCCS'!$A$695:$M$744</definedName>
    <definedName name="FMT1700">#REF!</definedName>
    <definedName name="FMT1800" localSheetId="4">'AMC'!$A$760:$M$794</definedName>
    <definedName name="FMT1800" localSheetId="0">'CU FORMAT 10 &amp; 70'!#REF!</definedName>
    <definedName name="FMT1800" localSheetId="3">'DDC'!$A$762:$M$796</definedName>
    <definedName name="FMT1800" localSheetId="5">'SYSTEM'!#REF!</definedName>
    <definedName name="FMT1800" localSheetId="1">'UCB'!$A$772:$M$807</definedName>
    <definedName name="FMT1800" localSheetId="2">'UCCS'!$A$746:$M$783</definedName>
    <definedName name="FMT1800">#REF!</definedName>
    <definedName name="FMT1900" localSheetId="4">'AMC'!$A$798:$M$832</definedName>
    <definedName name="FMT1900" localSheetId="0">'CU FORMAT 10 &amp; 70'!#REF!</definedName>
    <definedName name="FMT1900" localSheetId="3">'DDC'!$A$800:$M$834</definedName>
    <definedName name="FMT1900" localSheetId="5">'SYSTEM'!#REF!</definedName>
    <definedName name="FMT1900" localSheetId="1">'UCB'!$A$808:$M$843</definedName>
    <definedName name="FMT1900" localSheetId="2">'UCCS'!$A$787:$M$821</definedName>
    <definedName name="FMT1900">#REF!</definedName>
    <definedName name="FMT20" localSheetId="4">'AMC'!$A$36:$M$70</definedName>
    <definedName name="FMT20" localSheetId="0">'CU FORMAT 10 &amp; 70'!#REF!</definedName>
    <definedName name="FMT20" localSheetId="3">'DDC'!$A$35:$M$70</definedName>
    <definedName name="FMT20" localSheetId="5">'SYSTEM'!$A$39:$M$73</definedName>
    <definedName name="FMT20" localSheetId="1">'UCB'!$A$35:$M$72</definedName>
    <definedName name="FMT20" localSheetId="2">'UCCS'!$A$36:$M$71</definedName>
    <definedName name="FMT20">#REF!</definedName>
    <definedName name="FMT2000" localSheetId="4">'AMC'!$A$835:$M$867</definedName>
    <definedName name="FMT2000" localSheetId="0">'CU FORMAT 10 &amp; 70'!#REF!</definedName>
    <definedName name="FMT2000" localSheetId="3">'DDC'!$A$837:$M$869</definedName>
    <definedName name="FMT2000" localSheetId="5">'SYSTEM'!$A$189:$M$221</definedName>
    <definedName name="FMT2000" localSheetId="1">'UCB'!$A$846:$M$878</definedName>
    <definedName name="FMT2000" localSheetId="2">'UCCS'!$A$824:$M$856</definedName>
    <definedName name="FMT2000">#REF!</definedName>
    <definedName name="FMT30" localSheetId="4">'AMC'!#REF!</definedName>
    <definedName name="FMT30" localSheetId="0">'CU FORMAT 10 &amp; 70'!#REF!</definedName>
    <definedName name="FMT30" localSheetId="3">'DDC'!#REF!</definedName>
    <definedName name="FMT30" localSheetId="5">'SYSTEM'!#REF!</definedName>
    <definedName name="FMT30" localSheetId="1">'UCB'!#REF!</definedName>
    <definedName name="FMT30" localSheetId="2">'UCCS'!#REF!</definedName>
    <definedName name="FMT30">#REF!</definedName>
    <definedName name="FMT35NR" localSheetId="4">'AMC'!#REF!</definedName>
    <definedName name="FMT35NR" localSheetId="0">'CU FORMAT 10 &amp; 70'!#REF!</definedName>
    <definedName name="FMT35NR" localSheetId="3">'DDC'!#REF!</definedName>
    <definedName name="FMT35NR" localSheetId="5">'SYSTEM'!#REF!</definedName>
    <definedName name="FMT35NR" localSheetId="1">'UCB'!#REF!</definedName>
    <definedName name="FMT35NR" localSheetId="2">'UCCS'!#REF!</definedName>
    <definedName name="FMT35NR">#REF!</definedName>
    <definedName name="FMT35R" localSheetId="4">'AMC'!#REF!</definedName>
    <definedName name="FMT35R" localSheetId="0">'CU FORMAT 10 &amp; 70'!#REF!</definedName>
    <definedName name="FMT35R" localSheetId="3">'DDC'!#REF!</definedName>
    <definedName name="FMT35R" localSheetId="5">'SYSTEM'!#REF!</definedName>
    <definedName name="FMT35R" localSheetId="1">'UCB'!#REF!</definedName>
    <definedName name="FMT35R" localSheetId="2">'UCCS'!#REF!</definedName>
    <definedName name="FMT35R">#REF!</definedName>
    <definedName name="FMT410" localSheetId="4">'AMC'!#REF!</definedName>
    <definedName name="FMT410" localSheetId="0">'CU FORMAT 10 &amp; 70'!#REF!</definedName>
    <definedName name="FMT410" localSheetId="3">'DDC'!#REF!</definedName>
    <definedName name="FMT410" localSheetId="5">'SYSTEM'!#REF!</definedName>
    <definedName name="FMT410" localSheetId="1">'UCB'!#REF!</definedName>
    <definedName name="FMT410" localSheetId="2">'UCCS'!#REF!</definedName>
    <definedName name="FMT410">#REF!</definedName>
    <definedName name="FMT411" localSheetId="4">'AMC'!#REF!</definedName>
    <definedName name="FMT411" localSheetId="0">'CU FORMAT 10 &amp; 70'!#REF!</definedName>
    <definedName name="FMT411" localSheetId="3">'DDC'!#REF!</definedName>
    <definedName name="FMT411" localSheetId="5">'SYSTEM'!#REF!</definedName>
    <definedName name="FMT411" localSheetId="1">'UCB'!#REF!</definedName>
    <definedName name="FMT411" localSheetId="2">'UCCS'!#REF!</definedName>
    <definedName name="FMT411">#REF!</definedName>
    <definedName name="FMT600" localSheetId="4">'AMC'!#REF!</definedName>
    <definedName name="FMT600" localSheetId="0">'CU FORMAT 10 &amp; 70'!#REF!</definedName>
    <definedName name="FMT600" localSheetId="3">'DDC'!#REF!</definedName>
    <definedName name="FMT600" localSheetId="5">'SYSTEM'!#REF!</definedName>
    <definedName name="FMT600" localSheetId="1">'UCB'!#REF!</definedName>
    <definedName name="FMT600" localSheetId="2">'UCCS'!#REF!</definedName>
    <definedName name="FMT600">#REF!</definedName>
    <definedName name="FMT9100" localSheetId="4">'AMC'!#REF!</definedName>
    <definedName name="FMT9100" localSheetId="0">'CU FORMAT 10 &amp; 70'!#REF!</definedName>
    <definedName name="FMT9100" localSheetId="3">'DDC'!#REF!</definedName>
    <definedName name="FMT9100" localSheetId="5">'SYSTEM'!#REF!</definedName>
    <definedName name="FMT9100" localSheetId="1">'UCB'!#REF!</definedName>
    <definedName name="FMT9100" localSheetId="2">'UCCS'!#REF!</definedName>
    <definedName name="FMT9100">#REF!</definedName>
    <definedName name="FMT9999" localSheetId="4">'AMC'!#REF!</definedName>
    <definedName name="FMT9999" localSheetId="0">'CU FORMAT 10 &amp; 70'!#REF!</definedName>
    <definedName name="FMT9999" localSheetId="3">'DDC'!#REF!</definedName>
    <definedName name="FMT9999" localSheetId="5">'SYSTEM'!#REF!</definedName>
    <definedName name="FMT9999" localSheetId="1">'UCB'!#REF!</definedName>
    <definedName name="FMT9999" localSheetId="2">'UCCS'!#REF!</definedName>
    <definedName name="FMT9999">#REF!</definedName>
    <definedName name="OLE_LINK1" localSheetId="4">'AMC'!#REF!</definedName>
    <definedName name="OLE_LINK1" localSheetId="0">'CU FORMAT 10 &amp; 70'!#REF!</definedName>
    <definedName name="OLE_LINK1" localSheetId="3">'DDC'!#REF!</definedName>
    <definedName name="OLE_LINK1" localSheetId="5">'SYSTEM'!#REF!</definedName>
    <definedName name="OLE_LINK1" localSheetId="2">'UCCS'!#REF!</definedName>
    <definedName name="_xlnm.Print_Area" localSheetId="4">'AMC'!$A$1:$M$907</definedName>
    <definedName name="_xlnm.Print_Area" localSheetId="3">'DDC'!$A$1:$M$909</definedName>
    <definedName name="_xlnm.Print_Area" localSheetId="5">'SYSTEM'!$A$1:$M$222</definedName>
    <definedName name="_xlnm.Print_Area" localSheetId="1">'UCB'!$A$1:$M$957</definedName>
    <definedName name="_xlnm.Print_Area" localSheetId="2">'UCCS'!$A$1:$M$896</definedName>
    <definedName name="Print_Area_MI" localSheetId="4">'AMC'!#REF!</definedName>
    <definedName name="Print_Area_MI" localSheetId="0">'CU FORMAT 10 &amp; 70'!#REF!</definedName>
    <definedName name="Print_Area_MI" localSheetId="3">'DDC'!#REF!</definedName>
    <definedName name="Print_Area_MI" localSheetId="5">'SYSTEM'!#REF!</definedName>
    <definedName name="Print_Area_MI" localSheetId="1">'UCB'!#REF!</definedName>
    <definedName name="Print_Area_MI" localSheetId="2">'UCCS'!#REF!</definedName>
  </definedNames>
  <calcPr fullCalcOnLoad="1"/>
</workbook>
</file>

<file path=xl/sharedStrings.xml><?xml version="1.0" encoding="utf-8"?>
<sst xmlns="http://schemas.openxmlformats.org/spreadsheetml/2006/main" count="6283" uniqueCount="668">
  <si>
    <t xml:space="preserve"> </t>
  </si>
  <si>
    <t>-</t>
  </si>
  <si>
    <t>Ln</t>
  </si>
  <si>
    <t>Functional Expenditure</t>
  </si>
  <si>
    <t>No</t>
  </si>
  <si>
    <t xml:space="preserve">Summary  </t>
  </si>
  <si>
    <t xml:space="preserve">FTE </t>
  </si>
  <si>
    <t>Actual</t>
  </si>
  <si>
    <t>Estimate</t>
  </si>
  <si>
    <t>Instruction</t>
  </si>
  <si>
    <t>Research (State Supported)</t>
  </si>
  <si>
    <t>Public Service</t>
  </si>
  <si>
    <t>Academic Support</t>
  </si>
  <si>
    <t>Student Services</t>
  </si>
  <si>
    <t>Institutional Support</t>
  </si>
  <si>
    <t>Scholarships &amp; Fellowships</t>
  </si>
  <si>
    <t>Transfers</t>
  </si>
  <si>
    <t>SOURCE OF FUNDS (Fund Number)</t>
  </si>
  <si>
    <t>Format   20</t>
  </si>
  <si>
    <t>INSTITUTION SUMMARY</t>
  </si>
  <si>
    <t xml:space="preserve"> Object</t>
  </si>
  <si>
    <t>FTE</t>
  </si>
  <si>
    <t>Format 1100</t>
  </si>
  <si>
    <t xml:space="preserve">  Subtotal Exempt Staff</t>
  </si>
  <si>
    <t>Compensation, Support Assistants</t>
  </si>
  <si>
    <t>Salaries, Classified Staff</t>
  </si>
  <si>
    <t>Benefits, Classified Staff</t>
  </si>
  <si>
    <t xml:space="preserve">  Subtotal Support Staff</t>
  </si>
  <si>
    <t>Total Personnel</t>
  </si>
  <si>
    <t>Hourly Compensation</t>
  </si>
  <si>
    <t>Travel</t>
  </si>
  <si>
    <t>Other Current Expense</t>
  </si>
  <si>
    <t xml:space="preserve">Capital </t>
  </si>
  <si>
    <t>Format 1200</t>
  </si>
  <si>
    <t>Compensation, Research Assistants</t>
  </si>
  <si>
    <t>Format 1300</t>
  </si>
  <si>
    <t>Salaries, Exempt</t>
  </si>
  <si>
    <t>Benefits, Exempt</t>
  </si>
  <si>
    <t>Hourly Compensation/Other Support Assistants</t>
  </si>
  <si>
    <t>Format 1400</t>
  </si>
  <si>
    <t>Learning Materials</t>
  </si>
  <si>
    <t>Format 1500</t>
  </si>
  <si>
    <t>AHEC</t>
  </si>
  <si>
    <t>Format 1600</t>
  </si>
  <si>
    <t>Format 1700</t>
  </si>
  <si>
    <t>Utilities</t>
  </si>
  <si>
    <t>Rentals</t>
  </si>
  <si>
    <t>GROSS SQUARE FEET MAINTAINED (Appropriated)</t>
  </si>
  <si>
    <t>At Beginning of Year</t>
  </si>
  <si>
    <t>Gross Sq. Ft. Added During Year (List)</t>
  </si>
  <si>
    <t>Gross Sq. Ft. Eliminated During Year (List)</t>
  </si>
  <si>
    <t>Average Gross Sq. Ft. Maintained</t>
  </si>
  <si>
    <t>Acres Maintained by Grounds Staff</t>
  </si>
  <si>
    <t>Format 1800</t>
  </si>
  <si>
    <t>Scholarships and Fellowships</t>
  </si>
  <si>
    <t>Format 1900</t>
  </si>
  <si>
    <t>Format 2000</t>
  </si>
  <si>
    <t>TRANSFERS (TO) FROM CURRENT UNRESTRICTED EDUCATION &amp; GENERAL FUNDS</t>
  </si>
  <si>
    <t>Mandatory Transfers:</t>
  </si>
  <si>
    <t xml:space="preserve">Operation &amp; Maintenance of Plant </t>
  </si>
  <si>
    <t>Format  100</t>
  </si>
  <si>
    <t>SUMMER</t>
  </si>
  <si>
    <t xml:space="preserve">  Resident</t>
  </si>
  <si>
    <t xml:space="preserve">  Nonresident</t>
  </si>
  <si>
    <t xml:space="preserve">  Subtotal Summer</t>
  </si>
  <si>
    <t>FALL</t>
  </si>
  <si>
    <t xml:space="preserve">  Subtotal Fall</t>
  </si>
  <si>
    <t>WINTER</t>
  </si>
  <si>
    <t xml:space="preserve">  Subtotal Winter</t>
  </si>
  <si>
    <t>SPRING</t>
  </si>
  <si>
    <t xml:space="preserve">  Subtotal Spring</t>
  </si>
  <si>
    <t>SUBTOTAL</t>
  </si>
  <si>
    <t>SUBTOTAL RESIDENT</t>
  </si>
  <si>
    <t>SUBTOTAL NONRESIDENT</t>
  </si>
  <si>
    <t>SUBTOTAL GRADUATE</t>
  </si>
  <si>
    <t>TOTAL NONEXEMPT TUITION REVENUE</t>
  </si>
  <si>
    <t>Format  410</t>
  </si>
  <si>
    <t>Total Operating Revenues</t>
  </si>
  <si>
    <t>Format  411</t>
  </si>
  <si>
    <t>Miscellaneous Revenues</t>
  </si>
  <si>
    <t>Investment Income</t>
  </si>
  <si>
    <t>Format  600</t>
  </si>
  <si>
    <t>TOTAL OTHER STATE APPROPRIATED UNRESTRICTED E &amp; G REVENUES</t>
  </si>
  <si>
    <t>Non State Appropriated Unrestricted Education &amp; General Revenues (Itemize)</t>
  </si>
  <si>
    <t>Total Non State Appropriated Unrestricted Education &amp; General Revenues</t>
  </si>
  <si>
    <t>TOTAL NON STATE APPROPRIATED UNRESTRICTED E &amp; G REVENUES</t>
  </si>
  <si>
    <t>Subtotal Mandatory Transfers:</t>
  </si>
  <si>
    <t>EDUCATION &amp; GENERAL FUNDS 310 and 311</t>
  </si>
  <si>
    <t>Fmt. 2000 Ln 20</t>
  </si>
  <si>
    <t>Hospitals</t>
  </si>
  <si>
    <t>Scholarship Allowance related to Unrestricted Education &amp; General Revenue</t>
  </si>
  <si>
    <t>State Capital</t>
  </si>
  <si>
    <t>Cash Funds</t>
  </si>
  <si>
    <t>Const. Fund</t>
  </si>
  <si>
    <t>Exempt</t>
  </si>
  <si>
    <t>CAPITAL CONSTRUCTION</t>
  </si>
  <si>
    <t>CONTROLLED MAINTENANCE</t>
  </si>
  <si>
    <t>TOTAL APPROPRIATIONS</t>
  </si>
  <si>
    <t>Format 9200</t>
  </si>
  <si>
    <t>State Project Number,  Project Name</t>
  </si>
  <si>
    <t>Prior Appropriations</t>
  </si>
  <si>
    <t>Bill Number</t>
  </si>
  <si>
    <t>by Bill Number</t>
  </si>
  <si>
    <t>Auraria Library</t>
  </si>
  <si>
    <t>Total Non-Operating Revenues</t>
  </si>
  <si>
    <t>Fmt. 1100 Ln 25</t>
  </si>
  <si>
    <t>Fmt. 1200 Ln 25</t>
  </si>
  <si>
    <t>Fmt. 1300 Ln 25</t>
  </si>
  <si>
    <t>Fmt. 1400 Ln 25</t>
  </si>
  <si>
    <t>Fmt. 1500 Ln 25</t>
  </si>
  <si>
    <t>Fmt. 1600 Ln 25</t>
  </si>
  <si>
    <t>Fmt. 1700 Ln 25</t>
  </si>
  <si>
    <t>Fmt. 1800 Ln 25</t>
  </si>
  <si>
    <t>Fmt. 1900 Ln 25</t>
  </si>
  <si>
    <t>Governing Board Summary</t>
  </si>
  <si>
    <t>Format   10</t>
  </si>
  <si>
    <t>Format   30</t>
  </si>
  <si>
    <t>STUDENT, FACULTY, AND  STAFF DATA</t>
  </si>
  <si>
    <t>STUDENT FTE DATA</t>
  </si>
  <si>
    <t xml:space="preserve">  Resident Graduate FTE</t>
  </si>
  <si>
    <t xml:space="preserve">  Total Resident FTE </t>
  </si>
  <si>
    <t xml:space="preserve">  Nonresident Undergraduate FTE</t>
  </si>
  <si>
    <t xml:space="preserve">  Nonresident Graduate FTE</t>
  </si>
  <si>
    <t xml:space="preserve">  Total Nonresident FTE </t>
  </si>
  <si>
    <t xml:space="preserve">  Total FTE Undergraduate</t>
  </si>
  <si>
    <t xml:space="preserve">  Total FTE Graduate</t>
  </si>
  <si>
    <t xml:space="preserve">  Total FTE Students</t>
  </si>
  <si>
    <t>COST PER STUDENT</t>
  </si>
  <si>
    <t>INSTRUCTIONAL FACULTY DATA (SOURCE FMT 40 OR FMT 1100)</t>
  </si>
  <si>
    <t xml:space="preserve">  Faculty FTE Total</t>
  </si>
  <si>
    <t xml:space="preserve">  FTE Full-time Faculty</t>
  </si>
  <si>
    <t xml:space="preserve">  FTE Part-time Faculty</t>
  </si>
  <si>
    <t>AVG COMPENSATION INSTRUCTIONAL FACULTY</t>
  </si>
  <si>
    <t xml:space="preserve">  All Faculty Combined</t>
  </si>
  <si>
    <t xml:space="preserve">  Full-time Average Compensation</t>
  </si>
  <si>
    <t xml:space="preserve">  Part-time Average Compensation</t>
  </si>
  <si>
    <t>Total Faculty and Staff FTE  (Format 20)</t>
  </si>
  <si>
    <t>Format   35R</t>
  </si>
  <si>
    <t>UNDERGRADUATE</t>
  </si>
  <si>
    <t xml:space="preserve">     General</t>
  </si>
  <si>
    <t xml:space="preserve">     Differential Rates (List below)</t>
  </si>
  <si>
    <t>GRADUATE</t>
  </si>
  <si>
    <t>PROFESSIONAL</t>
  </si>
  <si>
    <t>Format   35NR</t>
  </si>
  <si>
    <t>NON-RESIDENT FULL-TIME (15 HOUR) TUITION RATES PER ACADEMIC YEAR</t>
  </si>
  <si>
    <t>Budget Data Book</t>
  </si>
  <si>
    <t>Format 1</t>
  </si>
  <si>
    <t>UNRESTRICTED EDUCATION &amp; GENERAL - INSTRUCTION</t>
  </si>
  <si>
    <t>UNRESTRICTED EDUCATION &amp; GENERAL - RESEARCH</t>
  </si>
  <si>
    <t>UNRESTRICTED EDUCATION &amp; GENERAL - PUBLIC SERVICE</t>
  </si>
  <si>
    <t>UNRESTRICTED EDUCATION &amp; GENERAL - ACADEMIC SUPPORT</t>
  </si>
  <si>
    <t>UNRESTRICTED EDUCATION &amp; GENERAL - STUDENT SERVICES</t>
  </si>
  <si>
    <t>UNRESTRICTED EDUCATION &amp; GENERAL - INSTITUTIONAL SUPPORT</t>
  </si>
  <si>
    <t>UNRESTRICTED EDUCATION &amp; GENERAL - OPERATION &amp; MAINTENANCE OF PLANT</t>
  </si>
  <si>
    <t>UNRESTRICTED EDUCATION &amp; GENERAL - SCHOLARSHIPS &amp; FELLOWSHIPS</t>
  </si>
  <si>
    <t>UNRESTRICTED EDUCATION &amp; GENERAL -  HOSPITALS</t>
  </si>
  <si>
    <t>APPROPRIATED CAPITAL CONSTRUCTION AND CONTROLLED MAINTENANCE</t>
  </si>
  <si>
    <t>Non-mandatory Transfers:</t>
  </si>
  <si>
    <t>Subtotal Non-mandatory Transfers:</t>
  </si>
  <si>
    <t>Total Tuition</t>
  </si>
  <si>
    <t>RESIDENT FULL-TIME (15 HOUR) STUDENT SHARE TUITION RATES PER ACADEMIC YEAR</t>
  </si>
  <si>
    <t xml:space="preserve">     The Student Share Tuition Assumes Student Eligibility For The Stipend.</t>
  </si>
  <si>
    <t>Format   40</t>
  </si>
  <si>
    <t>SUMMARY</t>
  </si>
  <si>
    <t>ACTUAL</t>
  </si>
  <si>
    <t>S/F</t>
  </si>
  <si>
    <t>COURSE LEVEL</t>
  </si>
  <si>
    <t>STUDENTS</t>
  </si>
  <si>
    <t>FACULTY</t>
  </si>
  <si>
    <t>RATIO</t>
  </si>
  <si>
    <t>Vocational</t>
  </si>
  <si>
    <t>Lower Level</t>
  </si>
  <si>
    <t>Upper Level</t>
  </si>
  <si>
    <t xml:space="preserve">     Total Undergraduate</t>
  </si>
  <si>
    <t>Graduate I</t>
  </si>
  <si>
    <t>Graduate II</t>
  </si>
  <si>
    <t xml:space="preserve">     Total Graduate</t>
  </si>
  <si>
    <t>Grand Total</t>
  </si>
  <si>
    <t xml:space="preserve">NOTE:  Institutions are required to maintain detailed information on the above data by Classification of Instructional Program (CIP) area.  </t>
  </si>
  <si>
    <t xml:space="preserve">            Detailed data available upon request.</t>
  </si>
  <si>
    <t>Date: 10/01/05</t>
  </si>
  <si>
    <t>Est</t>
  </si>
  <si>
    <t>Non-Resident Tuition</t>
  </si>
  <si>
    <t>Other Restrictions of General Fund / Revenue</t>
  </si>
  <si>
    <t>TOTAL APPROPRIATION REVENUES</t>
  </si>
  <si>
    <t>Format  700</t>
  </si>
  <si>
    <t>Subtotal Appropriated Unrestricted E &amp; G Program Code 11XX</t>
  </si>
  <si>
    <t>Total E&amp;G Cost Per FTE Student</t>
  </si>
  <si>
    <t>Rollforward to Future Year (includes $ for comp. Absences)</t>
  </si>
  <si>
    <t>Rollforward from Prior Year</t>
  </si>
  <si>
    <t>Non State Exempt Appropriated Unrestricted E &amp; G Program Code 11XX</t>
  </si>
  <si>
    <t>* This is not needed by institution, but only in total for the system.</t>
  </si>
  <si>
    <t>Contracts</t>
  </si>
  <si>
    <t>Total</t>
  </si>
  <si>
    <t>--------------------------------------------------------------------------------------------------------------------------------------------------</t>
  </si>
  <si>
    <t>-------------------------------------------------------</t>
  </si>
  <si>
    <t>State Appropriation</t>
  </si>
  <si>
    <t>FFS Contracts</t>
  </si>
  <si>
    <t>2A</t>
  </si>
  <si>
    <t>2B</t>
  </si>
  <si>
    <t>2C</t>
  </si>
  <si>
    <t>COF Resident Undergraduate FTE</t>
  </si>
  <si>
    <t>Non-COF Resident Undergraduate FTE</t>
  </si>
  <si>
    <t>Total Resident Undergraduate FTE</t>
  </si>
  <si>
    <t>TOTAL TUITION REVENUE and STUDENT FTE</t>
  </si>
  <si>
    <t>Total Tuition Includes Stipend Reimbursement</t>
  </si>
  <si>
    <t>Rents</t>
  </si>
  <si>
    <t>STATE SUPPORT</t>
  </si>
  <si>
    <t>SUBTOTAL UNDERGRADUATE</t>
  </si>
  <si>
    <t>Compensation, Part-Time Exempt</t>
  </si>
  <si>
    <t>Other State Appropriated Nonexempt Unrestricted E&amp;G</t>
  </si>
  <si>
    <t>Format  412</t>
  </si>
  <si>
    <t xml:space="preserve">     Revenues Generated from Fees</t>
  </si>
  <si>
    <t xml:space="preserve">     Amount of Fee per Full-Time Student</t>
  </si>
  <si>
    <t>Undergraduate Resident Tuition "Student Share"</t>
  </si>
  <si>
    <t>Undergraduate Resident Tuition "Stipend"</t>
  </si>
  <si>
    <t>Subtotal Undergraduate Tuition</t>
  </si>
  <si>
    <t>Graduate Resident Tuition</t>
  </si>
  <si>
    <t>Fmt. 600 Ln 25</t>
  </si>
  <si>
    <t>Fmt. 700 Ln 1</t>
  </si>
  <si>
    <t>Other Mandatory Fees</t>
  </si>
  <si>
    <r>
      <t xml:space="preserve">TOTAL </t>
    </r>
    <r>
      <rPr>
        <b/>
        <sz val="9"/>
        <rFont val="Times New Roman"/>
        <family val="1"/>
      </rPr>
      <t xml:space="preserve">UNRESTRICTED </t>
    </r>
    <r>
      <rPr>
        <sz val="9"/>
        <rFont val="Times New Roman"/>
        <family val="1"/>
      </rPr>
      <t>EDUCATION &amp; GENERAL EXPENDITURES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</si>
  <si>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EDUCATION &amp; GENERAL REVENUE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</si>
  <si>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INSTRUCTION 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</si>
  <si>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RESEARCH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</si>
  <si>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PUBLIC SERVICE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</si>
  <si>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ACADEMIC SUPPORT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</si>
  <si>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STUDENT SERVICES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</si>
  <si>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INSTITUTIONAL SUPPORT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</si>
  <si>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SCHOLARSHIPS &amp; FELLOWSHIPS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</si>
  <si>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AUXILIARIES</t>
    </r>
  </si>
  <si>
    <r>
      <t xml:space="preserve">TOTAL TRANSFERS </t>
    </r>
    <r>
      <rPr>
        <b/>
        <sz val="9"/>
        <rFont val="Times New Roman"/>
        <family val="1"/>
      </rPr>
      <t>(TO) FROM FUNDS CURRENT UNRESTRICTED</t>
    </r>
  </si>
  <si>
    <r>
      <t xml:space="preserve">TOTAL </t>
    </r>
    <r>
      <rPr>
        <b/>
        <sz val="8"/>
        <rFont val="Times New Roman"/>
        <family val="1"/>
      </rPr>
      <t>UNRESTRICTED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EDUCATION &amp; GENERAL</t>
    </r>
    <r>
      <rPr>
        <sz val="8"/>
        <rFont val="Times New Roman"/>
        <family val="1"/>
      </rPr>
      <t xml:space="preserve"> OPERATION &amp; MAINT /of PLANT</t>
    </r>
  </si>
  <si>
    <t>rounding</t>
  </si>
  <si>
    <t>Fmt. 410 Ln 20</t>
  </si>
  <si>
    <t>Fmt. 100</t>
  </si>
  <si>
    <t>Fmt. 411 Ln 20</t>
  </si>
  <si>
    <t xml:space="preserve">NAME: </t>
  </si>
  <si>
    <t>2006-07</t>
  </si>
  <si>
    <t>COF Stipend Per Undergraduate Resident FTE (05-06 and Forward)</t>
  </si>
  <si>
    <t>2007-08</t>
  </si>
  <si>
    <t>FY 2008 Appropriation</t>
  </si>
  <si>
    <t>Fee-For-Service Contracts (Institutional Level Only)</t>
  </si>
  <si>
    <t>Format  070</t>
  </si>
  <si>
    <t>Date: 10/1/2008</t>
  </si>
  <si>
    <t xml:space="preserve">               Actual Fiscal Years 2006-2007 and 2007-08</t>
  </si>
  <si>
    <t xml:space="preserve">               Estimate Fiscal Year 2008-09</t>
  </si>
  <si>
    <t>2008-09</t>
  </si>
  <si>
    <t>Fee-For-Service Contracts (System Level Only)*</t>
  </si>
  <si>
    <t xml:space="preserve">* The Colorado Legislature Changed the Funding Mechanism For Resident Undergraduate Students Providing  A Stipend To Eligible and Authorized Students To Offset Total Tuition.  Total Tuition Calculated By Adding Stipend Amount Per Credit Hour for Student's Share of Tuition.    </t>
  </si>
  <si>
    <t>Graduate (4801)</t>
  </si>
  <si>
    <t>Undergraduate (4802)</t>
  </si>
  <si>
    <t>Graduate (4901)</t>
  </si>
  <si>
    <t>Undergraduate (4902)</t>
  </si>
  <si>
    <t>2008-09]</t>
  </si>
  <si>
    <t>Contracts (Actuals/Final Billing)</t>
  </si>
  <si>
    <t>FY 2009 Appropriation</t>
  </si>
  <si>
    <t>Rollforward to Future Year (includes$ for comp. absences)</t>
  </si>
  <si>
    <t>Incidental Income - Educational Activities</t>
  </si>
  <si>
    <t>Student Activity Fees</t>
  </si>
  <si>
    <t>Miscellaneous Non-Operating Income</t>
  </si>
  <si>
    <t>(E&amp;G COFRS Program Code 1100)</t>
  </si>
  <si>
    <t>Capital</t>
  </si>
  <si>
    <t>Scholarship Allowance related to Education and General  (COFRS Program Code 1100)</t>
  </si>
  <si>
    <t>APPROPRIATED EDUCATION &amp; GENERAL FEES (Program Code 1100)</t>
  </si>
  <si>
    <t>COFRS Revenue Source Code (RSC):</t>
  </si>
  <si>
    <t>NON STATE APPROPRIATED EDUCATION &amp; GENERAL REVENUES (Balance of Program Code 1100)</t>
  </si>
  <si>
    <t>NON EDUCATION &amp; GENERAL APPROPRIATED FEES (Program Code 1900)</t>
  </si>
  <si>
    <t>Appropriated Facility Fees for the Construction of Academic Facilities (RSC 5007)</t>
  </si>
  <si>
    <t>Other Appropriated Fees (RSC 5002 not already reported on Format 411)</t>
  </si>
  <si>
    <t>HB 08-1375</t>
  </si>
  <si>
    <t>SB 07-239</t>
  </si>
  <si>
    <t>FY 20067Appropriation</t>
  </si>
  <si>
    <t xml:space="preserve">Institution No.:  GFB </t>
  </si>
  <si>
    <t>NAME:  University of Colorado -  Boulder</t>
  </si>
  <si>
    <t>Fmt 1100 Ln 25</t>
  </si>
  <si>
    <t>Fmt 1200 Ln 25</t>
  </si>
  <si>
    <t>Fmt 1300 Ln 25</t>
  </si>
  <si>
    <t>Fmt 1400 Ln 25</t>
  </si>
  <si>
    <t>Fmt 1500 Ln 25</t>
  </si>
  <si>
    <t>Fmt 1600 Ln 25</t>
  </si>
  <si>
    <t>Fmt 1700 Ln 25</t>
  </si>
  <si>
    <t>Student Financial Aid</t>
  </si>
  <si>
    <t>Fmt 1800 Ln 25</t>
  </si>
  <si>
    <t>Fmt 1900 Ln 25</t>
  </si>
  <si>
    <t>Fmt 2000 Ln 20</t>
  </si>
  <si>
    <t>SOURCE OF FUNDS (Fmt Number)</t>
  </si>
  <si>
    <t>Fmt  600 Ln 25</t>
  </si>
  <si>
    <t>Fmt  700 Ln 25</t>
  </si>
  <si>
    <t>Subtotal Undergraduate Resident Tuition</t>
  </si>
  <si>
    <t>Fmt  100 Ln 27</t>
  </si>
  <si>
    <t>Fmt  100 Ln 26</t>
  </si>
  <si>
    <t>Nonresident Tuition</t>
  </si>
  <si>
    <t>Fmt  100 Ln 32</t>
  </si>
  <si>
    <t>Fmt  100 Ln 35</t>
  </si>
  <si>
    <t>Fmt  410 Ln 20</t>
  </si>
  <si>
    <t>Subtotal Appropriated Unrestricted E&amp;G Revenue</t>
  </si>
  <si>
    <t>Non-State Approp Exempt Unrestricted E&amp;G Revenue</t>
  </si>
  <si>
    <t>Fmt  411 Ln 20</t>
  </si>
  <si>
    <t>Institution No.:  GFB</t>
  </si>
  <si>
    <t>STUDENT, FACULTY, &amp;  STAFF DATA</t>
  </si>
  <si>
    <t>2a</t>
  </si>
  <si>
    <t>2b</t>
  </si>
  <si>
    <t xml:space="preserve">  Non-COF Resident Undergraduate FTE</t>
  </si>
  <si>
    <t>2c</t>
  </si>
  <si>
    <t xml:space="preserve">  Total Resident Undergraduate FTE</t>
  </si>
  <si>
    <t xml:space="preserve">  Total E&amp;G Cost Per FTE Student</t>
  </si>
  <si>
    <t xml:space="preserve">  COF Stipend per Undergraduate Resident FTE  (FY2005-06 and forward)</t>
  </si>
  <si>
    <t>INSTRUCTIONAL FACULTY DATA   (source, Fmt 40 and Fmt 1100)</t>
  </si>
  <si>
    <t>Total Faculty and Staff FTE   (Fmt 20)</t>
  </si>
  <si>
    <t>RESIDENT FULL-TIME (15 HOURS) STUDENT SHARE TUITION RATES PER ACADEMIC YEAR *</t>
  </si>
  <si>
    <t xml:space="preserve">UNDERGRADUATE </t>
  </si>
  <si>
    <t xml:space="preserve">          Business</t>
  </si>
  <si>
    <t xml:space="preserve">          Engineering</t>
  </si>
  <si>
    <t xml:space="preserve">          Journalism, Music</t>
  </si>
  <si>
    <t>UNDERGRADUATE mandatory student fees</t>
  </si>
  <si>
    <t xml:space="preserve">          Business - MBA, 1st yr (separate rate effective FY09)</t>
  </si>
  <si>
    <t xml:space="preserve">                       -  MBA, 2nd yr (separate rate effective FY09)</t>
  </si>
  <si>
    <t xml:space="preserve">          Law, incoming (1st yr)</t>
  </si>
  <si>
    <t xml:space="preserve">          Law, continuing (2nd yr)</t>
  </si>
  <si>
    <t xml:space="preserve">          Law, continuing (3rd yr) (separate continuing rate effective FY09)</t>
  </si>
  <si>
    <t>GRADUATE/PROFESSIONAL mandatory student fees</t>
  </si>
  <si>
    <t>NON-RESIDENT FULL-TIME (15 HOURS) TUITION RATES PER ACADEMIC YEAR</t>
  </si>
  <si>
    <t>UNDERGRADUATE  (incoming)</t>
  </si>
  <si>
    <t xml:space="preserve">          Business (includes MBA through FY08)</t>
  </si>
  <si>
    <t xml:space="preserve">          Business - MBA (separate rate effective FY09)</t>
  </si>
  <si>
    <t xml:space="preserve">        Law</t>
  </si>
  <si>
    <t>FACULTY MATRIX SUMMARY</t>
  </si>
  <si>
    <t>NAME:  University of Colorado - Boulder</t>
  </si>
  <si>
    <t xml:space="preserve">           Detailed data available upon request.</t>
  </si>
  <si>
    <t>TOTAL TUITION REVENUE &amp; STUDENT FTE</t>
  </si>
  <si>
    <t xml:space="preserve">    Resident</t>
  </si>
  <si>
    <t>Graduate</t>
  </si>
  <si>
    <t>Undergraduate</t>
  </si>
  <si>
    <t xml:space="preserve">    Nonresident</t>
  </si>
  <si>
    <t xml:space="preserve">    Subtotal Summer</t>
  </si>
  <si>
    <t xml:space="preserve">    Subtotal Fall</t>
  </si>
  <si>
    <t xml:space="preserve">    Subtotal Winter</t>
  </si>
  <si>
    <t xml:space="preserve">    Subtotal Spring</t>
  </si>
  <si>
    <t>(Format 100 continued on next page)</t>
  </si>
  <si>
    <t>TOTAL TUITION REVENUE &amp; STUDENT FTE, continued</t>
  </si>
  <si>
    <t xml:space="preserve">Total tuition includes COF stipend </t>
  </si>
  <si>
    <t>Scholarship Allowance related to Nonexempt Current (COFRS pgm code 11XX)</t>
  </si>
  <si>
    <t>OTHER STATE APPROPRIATED EDUCATION &amp; GENERAL REVENUE</t>
  </si>
  <si>
    <t>Total Operating Revenue</t>
  </si>
  <si>
    <t xml:space="preserve">     Miscellaneous Income</t>
  </si>
  <si>
    <t>Total Non-Operating Revenue</t>
  </si>
  <si>
    <t>Rollforward to Future Year</t>
  </si>
  <si>
    <t>NON-STATE APPROPRIATED EDUCATION &amp; GENERAL REVENUE</t>
  </si>
  <si>
    <t>Non-State Appropriated Unrestricted Education &amp; General Revenue (itemize)</t>
  </si>
  <si>
    <t xml:space="preserve">      Facilities &amp; Administrative Reimbursements  (Indirect Cost Recoveries) </t>
  </si>
  <si>
    <t xml:space="preserve">      Miscellaneous Revenue</t>
  </si>
  <si>
    <t xml:space="preserve">      Rental Income</t>
  </si>
  <si>
    <t xml:space="preserve">      Incidental Income - Educational Activities</t>
  </si>
  <si>
    <t xml:space="preserve">      Other Mandatory Fees</t>
  </si>
  <si>
    <t xml:space="preserve">      Mandatory Fees-for-Service (Registration, etc.)</t>
  </si>
  <si>
    <t xml:space="preserve">      Investment Income</t>
  </si>
  <si>
    <t xml:space="preserve">      Miscellaneous Non-Operating Income</t>
  </si>
  <si>
    <t>Rollforward from Prior Year (exempt E&amp;G revenue)</t>
  </si>
  <si>
    <t>TOTAL NON-STATE APPROPRIATED EDUCATION &amp; GENERAL REVENUE</t>
  </si>
  <si>
    <t>Appropriated Facility Fees for Construction of Academic Facilities (RSC 5700)</t>
  </si>
  <si>
    <t>Other Appropriated Fees (RSC 5200, not reported in Format 411) *</t>
  </si>
  <si>
    <t xml:space="preserve">     Revenue Generated from Fees</t>
  </si>
  <si>
    <t xml:space="preserve">     Amount of Fee per Full-Time Student, per Academic Year</t>
  </si>
  <si>
    <t>TOTAL</t>
  </si>
  <si>
    <t>* The student capital fee is budgeted and recorded in exempt auxiliary fund.</t>
  </si>
  <si>
    <t>Supplemental and Special Bills (itemize)</t>
  </si>
  <si>
    <t>Other Restrictions of General Fund Revenue</t>
  </si>
  <si>
    <t>TOTAL APPROPRIATION REVENUE</t>
  </si>
  <si>
    <t xml:space="preserve">FEE-FOR-SERVICE CONTRACTS </t>
  </si>
  <si>
    <t>Contracts  (Fee-For-Service portion)</t>
  </si>
  <si>
    <t>TOTAL FEE-FOR-SERVICE CONTRACTS</t>
  </si>
  <si>
    <t xml:space="preserve">Salaries, Faculty/Exempt </t>
  </si>
  <si>
    <t>Benefits, Faculty/Exempt</t>
  </si>
  <si>
    <t>Compensation, Part-time Faculty/Exempt</t>
  </si>
  <si>
    <t xml:space="preserve">  Subtotal Faculty/Exempt Staff</t>
  </si>
  <si>
    <t>Hourly Compensation *</t>
  </si>
  <si>
    <t xml:space="preserve">Capital  </t>
  </si>
  <si>
    <t xml:space="preserve">                 </t>
  </si>
  <si>
    <t xml:space="preserve">TOTAL UNRESTRICTED EDUCATION &amp; GENERAL - INSTRUCTION </t>
  </si>
  <si>
    <t xml:space="preserve">* Based on previously maintained budgeted $/FTE by employee group within Formats 1100-1700, incremented by average annual % salary increases.  Reported employee headcount and FTE for total campus </t>
  </si>
  <si>
    <t xml:space="preserve">   available on following web link:  http://www.colorado.edu/pba/facstaff/ .    Hourly Compensation FTE is for informational purposes only; not included in total employee FTE.</t>
  </si>
  <si>
    <t xml:space="preserve">Salaries, Exempt </t>
  </si>
  <si>
    <t xml:space="preserve">                   </t>
  </si>
  <si>
    <t>TOTAL UNRESTRICTED EDUCATION &amp; GENERAL - RESEARCH</t>
  </si>
  <si>
    <t xml:space="preserve">                </t>
  </si>
  <si>
    <t>TOTAL UNRESTRICTED EDUCATION &amp; GENERAL - PUBLIC SERVICE</t>
  </si>
  <si>
    <t>Library Materials (info only, not included in Fmt 1400 total; also see Fmt 2000)</t>
  </si>
  <si>
    <t>TOTAL UNRESTRICTED EDUCATION &amp; GENERAL - ACADEMIC SUPPORT</t>
  </si>
  <si>
    <t>TOTAL UNRESTRICTED EDUCATION &amp; GENERAL -  STUDENT SERVICES</t>
  </si>
  <si>
    <t xml:space="preserve">UNRESTRICTED EDUCATION &amp; GENERAL - INSTITUTIONAL SUPPORT </t>
  </si>
  <si>
    <t xml:space="preserve">                  </t>
  </si>
  <si>
    <t>TOTAL UNRESTRICTED EDUCATION &amp; GENERAL - INSTITUTIONAL SUPPORT</t>
  </si>
  <si>
    <t>TOTAL UNRESTRICTED EDUCATION &amp; GENERAL - OPERATION &amp;</t>
  </si>
  <si>
    <t xml:space="preserve">                                                        MAINTENANCE OF PLANT</t>
  </si>
  <si>
    <t>(Format 1700 continued on next page)</t>
  </si>
  <si>
    <t>UNRESTRICTED EDUCATION &amp; GENERAL - OPERATION &amp; MAINTENANCE OF PLANT, continued</t>
  </si>
  <si>
    <t>Gross Sq Ft Added During Year (list)</t>
  </si>
  <si>
    <t xml:space="preserve">     Koelbel Hall Addition/Leeds School of Business</t>
  </si>
  <si>
    <t xml:space="preserve">     Soccer Locker Room</t>
  </si>
  <si>
    <t>Gross Sq Ft Eliminated During Year (list)</t>
  </si>
  <si>
    <t xml:space="preserve">     Sibell Wolle Fine Arts</t>
  </si>
  <si>
    <t>Average Gross Sq Ft Maintained</t>
  </si>
  <si>
    <t>UNRESTRICTED EDUCATION &amp; GENERAL - STUDENT FINANCIAL AID</t>
  </si>
  <si>
    <t xml:space="preserve">TOTAL UNRESTRICTED EDUC &amp; GENERAL - STUDENT FINANCIAL AID </t>
  </si>
  <si>
    <t>TOTAL UNRESTRICTED EDUCATION &amp; GENERAL - HOSPITALS</t>
  </si>
  <si>
    <t>TRANSFERS TO/(FROM) CURRENT UNRESTRICTED EDUCATION &amp; GENERAL FUNDS</t>
  </si>
  <si>
    <t>Mandatory Transfers</t>
  </si>
  <si>
    <t>Subtotal Mandatory Transfers</t>
  </si>
  <si>
    <t>Non-mandatory Transfers</t>
  </si>
  <si>
    <t xml:space="preserve">   Fixed Asset Additions</t>
  </si>
  <si>
    <t xml:space="preserve">        Library Materials (informational item only, included in Fixed Assets above)</t>
  </si>
  <si>
    <t>Subtotal Non-mandatory Transfers</t>
  </si>
  <si>
    <t>TOTAL TRANSFERS TO/(FROM) CURRENT UNRESTRICTED</t>
  </si>
  <si>
    <t>APPROPRIATED CAPITAL CONSTRUCTION &amp; CONTROLLED MAINTENANCE</t>
  </si>
  <si>
    <t>State Project Name,  Project Number, (UCB acct number)</t>
  </si>
  <si>
    <t>Appropriations</t>
  </si>
  <si>
    <t xml:space="preserve"> Bill Number</t>
  </si>
  <si>
    <t>Constr Fund</t>
  </si>
  <si>
    <t xml:space="preserve">    Visual Arts Complex -PO627  (1772884)</t>
  </si>
  <si>
    <t xml:space="preserve">    Norlin Library Renovation -PO707 (1772897)</t>
  </si>
  <si>
    <t xml:space="preserve">    Arnett Hall Renovation (1770529)</t>
  </si>
  <si>
    <t>SB 07-239  **</t>
  </si>
  <si>
    <t xml:space="preserve">    Athletic Practice Bubble (1771791)</t>
  </si>
  <si>
    <t xml:space="preserve">    Bear Creek Apt Acquisition (12077608)</t>
  </si>
  <si>
    <t xml:space="preserve">    Ekeley Sciences Middle Wing Renovation  -P0802 (1772907)</t>
  </si>
  <si>
    <t>SB 07-263  *</t>
  </si>
  <si>
    <t xml:space="preserve">    Ekeley Sciences Middle Wing Renovation -P0802 (1772907)</t>
  </si>
  <si>
    <t xml:space="preserve">    Ketchum Arts and Sciences Building -P0803 (1772906)</t>
  </si>
  <si>
    <t xml:space="preserve">    Ketchum Arts and Sciences Building  -P0803  (1772906)</t>
  </si>
  <si>
    <t xml:space="preserve">    Andrews, Smith, Buckingham Halls Renov (1770596)</t>
  </si>
  <si>
    <t>HB 08-1375 **</t>
  </si>
  <si>
    <t xml:space="preserve">    Behavioral Science Building (1771847)</t>
  </si>
  <si>
    <t xml:space="preserve">    Biotechnology Building Systems -P0826 (1772909)</t>
  </si>
  <si>
    <t xml:space="preserve">    Community Dining &amp; Student Center (1771888)</t>
  </si>
  <si>
    <t xml:space="preserve">    Heating and Cooling Plant (1771848)</t>
  </si>
  <si>
    <t xml:space="preserve">    North-South Bicycle Corridor Regent Dr Overpass (1771853)</t>
  </si>
  <si>
    <t>(Format 9200 continued on next page)</t>
  </si>
  <si>
    <t>* Included supplemental bills for FY2007 and FY2008 effective January 2007 and January 2008, respectively.</t>
  </si>
  <si>
    <t>** Long Bill footnote states:  "These amounts shall be from exempt institutional sources.  They meet the criteria in Section 24-75-303(3)(a)(II), C.R.S., and are shown here</t>
  </si>
  <si>
    <t xml:space="preserve">    for informational purposes only."</t>
  </si>
  <si>
    <t>APPROPRIATED CAPITAL CONSTRUCTION &amp; CONTROLLED MAINTENANCE, continued</t>
  </si>
  <si>
    <t xml:space="preserve">    Rpr/Replace Bldg Electr Svcs -M06062 (1772903)</t>
  </si>
  <si>
    <t xml:space="preserve">    Upgrade Fire Sprinklers/Alarms -M80053 (1772904)</t>
  </si>
  <si>
    <t xml:space="preserve">    Chemical Engr Bldg HVAC -M07010 (1772899)</t>
  </si>
  <si>
    <t xml:space="preserve">    Fire Safety Upgrade -M07011 (1772905)</t>
  </si>
  <si>
    <t xml:space="preserve">    R&amp;R Compressed Air -M07012 (1772898)</t>
  </si>
  <si>
    <t xml:space="preserve">    UPG Transformer -M07013 (1772901)</t>
  </si>
  <si>
    <t xml:space="preserve">    Upgrade Fire Alarm Systems -M07014 (1772902)</t>
  </si>
  <si>
    <t xml:space="preserve">    Main Campus Tunnel Security Projects -M08003 (1772908)</t>
  </si>
  <si>
    <t xml:space="preserve">    Henderson Bldg Fire Suppression -M08021 (1772911)</t>
  </si>
  <si>
    <t xml:space="preserve">    Ramaley, Macky Bldgs Upgrade Fire Suppr -M08022 (1772912)</t>
  </si>
  <si>
    <t xml:space="preserve">    Upgrade Fire Safety -M07011 (1772910)</t>
  </si>
  <si>
    <t>TOTAL CAPITAL APPROPRIATIONS</t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</si>
  <si>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EDUCATION &amp; GENERAL REVENUES</t>
    </r>
  </si>
  <si>
    <t>University of Colorado at Colorado Springs</t>
  </si>
  <si>
    <t>Institution No.:  GFC</t>
  </si>
  <si>
    <t xml:space="preserve">     General (now Grad I)</t>
  </si>
  <si>
    <t xml:space="preserve">     Education (Now Grad I)</t>
  </si>
  <si>
    <t xml:space="preserve">     Engineering/Geropsychology (Now Grad III)</t>
  </si>
  <si>
    <t xml:space="preserve">     Business (Now Grad III)</t>
  </si>
  <si>
    <t xml:space="preserve">     Basic Science (Now Grad I)</t>
  </si>
  <si>
    <t xml:space="preserve">     Public Affairs (Now Grad II)</t>
  </si>
  <si>
    <t xml:space="preserve">     Nursing (Beth El) (Now Grad IV)</t>
  </si>
  <si>
    <t xml:space="preserve">   Shuck Houses</t>
  </si>
  <si>
    <t xml:space="preserve">   Building 4825</t>
  </si>
  <si>
    <t xml:space="preserve">   Modular 997</t>
  </si>
  <si>
    <t xml:space="preserve">   Vomaske House 67</t>
  </si>
  <si>
    <t xml:space="preserve">   Dwire Hall</t>
  </si>
  <si>
    <t xml:space="preserve">   Cragmor Hall</t>
  </si>
  <si>
    <t xml:space="preserve">   University Hall</t>
  </si>
  <si>
    <t xml:space="preserve">   Energy Performance</t>
  </si>
  <si>
    <t xml:space="preserve">   Other</t>
  </si>
  <si>
    <t xml:space="preserve">   Fixed Assets addition</t>
  </si>
  <si>
    <t xml:space="preserve">   Dwire Hall Renovation and Technology upgrade P0519</t>
  </si>
  <si>
    <t xml:space="preserve">   Science and Engineering Building P0708</t>
  </si>
  <si>
    <t xml:space="preserve">   Science and Engineering Building P0408</t>
  </si>
  <si>
    <t xml:space="preserve">   Engineering Building repair boilers</t>
  </si>
  <si>
    <t xml:space="preserve">   Repair structural damage M06014</t>
  </si>
  <si>
    <t xml:space="preserve">   Fine Arts Complex utilities upgrade M06063</t>
  </si>
  <si>
    <t xml:space="preserve">   Fire Alarm System upgrade M07015</t>
  </si>
  <si>
    <t xml:space="preserve">   Upg ADA Accessibility M07016</t>
  </si>
  <si>
    <t xml:space="preserve">   Cragmor Hall Water Lines M08004</t>
  </si>
  <si>
    <t xml:space="preserve">University of Colorado Denver </t>
  </si>
  <si>
    <t>Institution No.:  GFD</t>
  </si>
  <si>
    <t xml:space="preserve">Lower Level </t>
  </si>
  <si>
    <t xml:space="preserve">Upper Level </t>
  </si>
  <si>
    <t>Liberal Arts and Sciences</t>
  </si>
  <si>
    <t>Arch &amp; Planning</t>
  </si>
  <si>
    <t>Non-Degree</t>
  </si>
  <si>
    <t>Education</t>
  </si>
  <si>
    <t>Business</t>
  </si>
  <si>
    <t>Arts &amp; Media</t>
  </si>
  <si>
    <t>Engineering</t>
  </si>
  <si>
    <t xml:space="preserve">Lower Disvision </t>
  </si>
  <si>
    <t>Upper Division</t>
  </si>
  <si>
    <t>Date: 10/01/08</t>
  </si>
  <si>
    <t>1/ The student FTE data is course drive and will not match the FTE breakdown in Format 30.</t>
  </si>
  <si>
    <t xml:space="preserve">     Lawrence Court - 1475 Lawrence</t>
  </si>
  <si>
    <t>fixed asset additions</t>
  </si>
  <si>
    <t>Anschutz Medical Campus</t>
  </si>
  <si>
    <t>Institution No.:  GFE</t>
  </si>
  <si>
    <t>Non State Exempt App Unrestricted E &amp; G Program Code 11XX</t>
  </si>
  <si>
    <t xml:space="preserve">     Dental Hygiene</t>
  </si>
  <si>
    <t xml:space="preserve">     Nursing</t>
  </si>
  <si>
    <t xml:space="preserve">     Basic/Clinical Science</t>
  </si>
  <si>
    <t xml:space="preserve">     Public Health</t>
  </si>
  <si>
    <t xml:space="preserve">     Pharmacy</t>
  </si>
  <si>
    <t xml:space="preserve">     Medicine - MD</t>
  </si>
  <si>
    <t xml:space="preserve">     Medicine - Doctor of Physical Therapy</t>
  </si>
  <si>
    <t xml:space="preserve">     Dentistry</t>
  </si>
  <si>
    <t>NA</t>
  </si>
  <si>
    <t>Professional</t>
  </si>
  <si>
    <t>1/  Faculty FTE by level of student is unavailable.</t>
  </si>
  <si>
    <t>2/  Faculty FTE numbers may be affected from year to year due to funding source shifts.</t>
  </si>
  <si>
    <t>Sales &amp; Services of Hospitals and Clinics</t>
  </si>
  <si>
    <t>Tobacco</t>
  </si>
  <si>
    <t>Decrease in utilities is because of the Research buildings expenditures being moved to the Auxiliary fund because of bond reporting requirements.</t>
  </si>
  <si>
    <t>Increase in operating expense due to the opening of multiple COP buildings in FY08 at the AMC and shutting down the 9th Ave campus.</t>
  </si>
  <si>
    <t xml:space="preserve">    Environ Health &amp; Safety II</t>
  </si>
  <si>
    <t xml:space="preserve">    Campus Services Building</t>
  </si>
  <si>
    <t xml:space="preserve">    Education Building IB</t>
  </si>
  <si>
    <t xml:space="preserve">    Education Building II North &amp; South</t>
  </si>
  <si>
    <t xml:space="preserve">    Library</t>
  </si>
  <si>
    <t xml:space="preserve">    Academic Offices West</t>
  </si>
  <si>
    <t xml:space="preserve">    Henderson Parking Structure</t>
  </si>
  <si>
    <t xml:space="preserve">    Pascal Expansion</t>
  </si>
  <si>
    <t xml:space="preserve">     Center for Bioethics &amp; Humanities</t>
  </si>
  <si>
    <t xml:space="preserve">      RC2</t>
  </si>
  <si>
    <t xml:space="preserve">    Decommissioning of School of Dentistry</t>
  </si>
  <si>
    <t xml:space="preserve">    Carpenter &amp; Paint Shops 9th Ave</t>
  </si>
  <si>
    <t xml:space="preserve">    Warehouse 9th Ave</t>
  </si>
  <si>
    <t xml:space="preserve">    Denison Auditorium &amp; Library</t>
  </si>
  <si>
    <t xml:space="preserve">    Childhood Diagnostic Center</t>
  </si>
  <si>
    <t xml:space="preserve">    Barbara Davis Center 9th Ave</t>
  </si>
  <si>
    <t xml:space="preserve">    Office Annex</t>
  </si>
  <si>
    <t xml:space="preserve">    Clermont Building</t>
  </si>
  <si>
    <t xml:space="preserve">    Colorado Psychiatric Hospital</t>
  </si>
  <si>
    <t xml:space="preserve">    School of Medicine</t>
  </si>
  <si>
    <t xml:space="preserve">    School of Nursing</t>
  </si>
  <si>
    <t xml:space="preserve">    Research Bridge</t>
  </si>
  <si>
    <t xml:space="preserve">    Biomedical Research Building</t>
  </si>
  <si>
    <t xml:space="preserve">    Webb Waring</t>
  </si>
  <si>
    <t xml:space="preserve">     Bonfils Building</t>
  </si>
  <si>
    <t xml:space="preserve">     Health &amp; Safety Bldg/Garages (Cooling Tower)</t>
  </si>
  <si>
    <t xml:space="preserve">     UCH Admin Bldg (AOB)</t>
  </si>
  <si>
    <t>In FY 07 Fellowship stipends were treated as Financial Aid beginning in FY08 they are now reported as general expense.</t>
  </si>
  <si>
    <t>Fixed Asset Allowance</t>
  </si>
  <si>
    <t>University of Colorado at Boulder</t>
  </si>
  <si>
    <t xml:space="preserve">University of Colorado Board of Regents </t>
  </si>
  <si>
    <t>University of Colorado</t>
  </si>
  <si>
    <t>NAME:</t>
  </si>
  <si>
    <t>University of Colorado Denver- Downtown Campus</t>
  </si>
  <si>
    <t>University of Colorado Denver- Anschutz Medical Campus</t>
  </si>
  <si>
    <t>Replace Water Piping, Bldg 500</t>
  </si>
  <si>
    <t xml:space="preserve">AHEC Art Building Repair/Replace Indoor Air Quality, Window, and HVAC </t>
  </si>
  <si>
    <t xml:space="preserve">Business School Purchase and Rennovation of 1475 Lawrence Street </t>
  </si>
  <si>
    <t>Auraria Science Building</t>
  </si>
  <si>
    <t>Fitzsimons, I-225/Colfax Interchange</t>
  </si>
  <si>
    <t>Fitzsimons, Lazarra Center For Oral Facial Health 4th Floor Addition</t>
  </si>
  <si>
    <t>Lease Purchase of Academic Facilities at Fitzsimons</t>
  </si>
  <si>
    <t>Fitzsimons, Infrastructure Phase 10b</t>
  </si>
  <si>
    <t>Anschutz Facility, Linear Accelerator Vault</t>
  </si>
  <si>
    <t>New Pharmacy Research Building</t>
  </si>
  <si>
    <t>Various Controlled Maintenance</t>
  </si>
  <si>
    <t>9th Avenue Remediation</t>
  </si>
  <si>
    <t>Aspen Satellite Campus, Given Institution renovation</t>
  </si>
  <si>
    <t>Fitzsimons, Infrastructure Phase 10</t>
  </si>
  <si>
    <t xml:space="preserve">University of Colorado 
</t>
  </si>
  <si>
    <t>Board of Regents &amp; System Administration</t>
  </si>
  <si>
    <t xml:space="preserve">Institution No.:  </t>
  </si>
  <si>
    <t>COFRS Code: 4407</t>
  </si>
  <si>
    <t>University of Colorado Denver- AMC</t>
  </si>
  <si>
    <t>Note: Employee FTE information is based on the best information available. FTE information may vary based on the point of time the data is collected as well as data entry issues.</t>
  </si>
  <si>
    <t xml:space="preserve">               Actual Fiscal Years 2007-2008 and 2008-09</t>
  </si>
  <si>
    <t xml:space="preserve">               Estimate Fiscal Year 2009-10</t>
  </si>
  <si>
    <t>2009-10</t>
  </si>
  <si>
    <t>21a</t>
  </si>
  <si>
    <t>Other Appropriated Unrestricted E&amp;G</t>
  </si>
  <si>
    <t>21b</t>
  </si>
  <si>
    <t>Federal Stabilization Funds (ARRA) (RSC 7540)</t>
  </si>
  <si>
    <t>Faclilities &amp; Administrative Rembursements (Indirect Cost Recoveries)</t>
  </si>
  <si>
    <t>Fixed Asset Additons</t>
  </si>
  <si>
    <t>Supplemental and Special Bills (Itemize)</t>
  </si>
  <si>
    <t>Facilities &amp; Administrative Reimbursements (Indirect Cost Recoveries)</t>
  </si>
  <si>
    <t>student activity fees are remapped in 2010 to instructional fees (660,000)</t>
  </si>
  <si>
    <t>Course Specific Fee</t>
  </si>
  <si>
    <t>Instruction Fee</t>
  </si>
  <si>
    <t>Technology Fee</t>
  </si>
  <si>
    <t>2007-2008</t>
  </si>
  <si>
    <t>2008-2009</t>
  </si>
  <si>
    <t>Ratio</t>
  </si>
  <si>
    <t>3/ AMC Student FTE is based on student level, not course level.</t>
  </si>
  <si>
    <t>Note: Numbers for students represents Headcounts and not FTE numbers.</t>
  </si>
  <si>
    <t>Other Appropriated Unrestricted E&amp;G (w/out ARRA)</t>
  </si>
  <si>
    <t>2007-08 Appropriation</t>
  </si>
  <si>
    <t>2008-09 Appropriation</t>
  </si>
  <si>
    <t>2009-10 Appropriation</t>
  </si>
  <si>
    <t>FY10 the rental tennants of 1475 have moved.</t>
  </si>
  <si>
    <t xml:space="preserve">2009-10 </t>
  </si>
  <si>
    <t>Federal Stabilization Funds (ARRA)(RSC 7540)</t>
  </si>
  <si>
    <t>Technology fees for FY08 and the majority of this fee  FY09 was reported under the Bursar's charge for service; which is reported under miscellaneous revenue.</t>
  </si>
  <si>
    <t>Public Affairs</t>
  </si>
  <si>
    <t xml:space="preserve">   University Hall RTU M08023</t>
  </si>
  <si>
    <t xml:space="preserve">   Science &amp; Engineering</t>
  </si>
  <si>
    <t xml:space="preserve">   Patterson House 65</t>
  </si>
  <si>
    <t xml:space="preserve">   University Summit Prop. (4 houses)</t>
  </si>
  <si>
    <t xml:space="preserve">   Vomaske Garage</t>
  </si>
  <si>
    <t xml:space="preserve">   Events Center 11C</t>
  </si>
  <si>
    <t xml:space="preserve">   Science &amp; Engineering Bldg. 32</t>
  </si>
  <si>
    <t xml:space="preserve">   Flynn House 66</t>
  </si>
  <si>
    <t xml:space="preserve">   Science Bldg. 10</t>
  </si>
  <si>
    <t xml:space="preserve">     SB 05-209</t>
  </si>
  <si>
    <t xml:space="preserve">     State Budget Cuts</t>
  </si>
  <si>
    <t>Appropriated Academic Facility Fee (RSC 5007)</t>
  </si>
  <si>
    <t>Linear Freshman/ Sophomore</t>
  </si>
  <si>
    <t>Continuing Freshman/ Sophomore</t>
  </si>
  <si>
    <t>Linear Junior/Senior in LAS/SPA</t>
  </si>
  <si>
    <t>Continuing Junior/Senior in LAS/SPA</t>
  </si>
  <si>
    <t>Linear Junior/Senior in COB/EAS</t>
  </si>
  <si>
    <t>Continuing Junior/Senior in COB/EAS</t>
  </si>
  <si>
    <t>Linear Junior/Senior in Beth El</t>
  </si>
  <si>
    <t>Continuing Junior/Senior in Beth El</t>
  </si>
  <si>
    <t>Date: 10/1/2009</t>
  </si>
  <si>
    <t>FY 2010 Appropriation</t>
  </si>
  <si>
    <t xml:space="preserve">    Henderson Bldg, construct enclosed stair towers (1772914)</t>
  </si>
  <si>
    <t>SB 09-259</t>
  </si>
  <si>
    <t xml:space="preserve">    Ramaley, Macky Bldgs Upgrade Fire Suppr -M08022 (1772913)</t>
  </si>
  <si>
    <t xml:space="preserve">    JILA Addition (1771870)</t>
  </si>
  <si>
    <t xml:space="preserve">    Basketball &amp; Volleyball Practice Facility (1771927)</t>
  </si>
  <si>
    <t>SB 09-259 **</t>
  </si>
  <si>
    <t xml:space="preserve">    Williams Village (various, projects not yet set up)</t>
  </si>
  <si>
    <t xml:space="preserve">    Willard &amp; Hallett Residence Halls Recommissioning (1770641)</t>
  </si>
  <si>
    <t>Student Financial Aid (Scholarships and Fellowships)</t>
  </si>
  <si>
    <t xml:space="preserve">     Visual Arts Complex</t>
  </si>
  <si>
    <t xml:space="preserve">     Norlin Library Commons Renovation</t>
  </si>
  <si>
    <t>Appropriated Colorado Opportunity Fund (COF) Student Stipend</t>
  </si>
  <si>
    <t xml:space="preserve">      SB 07-239 (COF portion)</t>
  </si>
  <si>
    <t xml:space="preserve">      HB 08-1375 (COF portion, net of reversion back to State)</t>
  </si>
  <si>
    <t xml:space="preserve">      SB 09-259 (COF portion)</t>
  </si>
  <si>
    <t>NON-EDUCATION &amp; GENERAL APPROPRIATED FEES</t>
  </si>
  <si>
    <t xml:space="preserve">      Student Activity Fees</t>
  </si>
  <si>
    <t>Subtotal Non-State Appropriated Unrestricted Education &amp; General Revenue</t>
  </si>
  <si>
    <t xml:space="preserve">     Federal Stabilization Funds (ARRA) (RSC 7540)</t>
  </si>
  <si>
    <t xml:space="preserve">     Course Specific Fees</t>
  </si>
  <si>
    <t xml:space="preserve">     Instructional (Program) Fees</t>
  </si>
  <si>
    <t xml:space="preserve">     Technology Fees</t>
  </si>
  <si>
    <t>Subtotal Appropriated Education &amp; General Revenue</t>
  </si>
  <si>
    <t>TOTAL APPROPRIATED EDUCATION &amp; GENERAL REVENUE</t>
  </si>
  <si>
    <t>TOTAL NONEXEMPT TUITION REVENUE  (E&amp;G COFRS pgm code 1100)</t>
  </si>
  <si>
    <t xml:space="preserve"> Object                 (COFRS Revenue Source Code, RSC)</t>
  </si>
  <si>
    <t xml:space="preserve">    Resident                                       </t>
  </si>
  <si>
    <t xml:space="preserve">    Nonresident                                           </t>
  </si>
  <si>
    <t xml:space="preserve">    Resident                                           </t>
  </si>
  <si>
    <t xml:space="preserve">    Nonresident                                   </t>
  </si>
  <si>
    <t xml:space="preserve">    Resident                                                   </t>
  </si>
  <si>
    <t>*</t>
  </si>
  <si>
    <t xml:space="preserve">Effective FY2005-06 the Colorado Legislature changed the funding mechanism for resident undergraduate students, providing a stipend (initially $80 per credit hour) to eligible and </t>
  </si>
  <si>
    <t xml:space="preserve">authorized students to offset total tuition.  Total tuition is calculated by adding $89 per credit hour in FY2007-08, $68 in FY2008-09, and $68 in FY2009-10 to the student's share of tuition. </t>
  </si>
  <si>
    <t xml:space="preserve">  COF Resident Undergraduate FTE </t>
  </si>
  <si>
    <t xml:space="preserve">  Fmt 410 Ln 1</t>
  </si>
  <si>
    <t>TOTAL UNRESTRICTED EDUCATION &amp; GENERAL EXPENDITURES</t>
  </si>
  <si>
    <t>TOTAL UNRESTRICTED EDUCATION &amp; GENERAL REVENUE</t>
  </si>
  <si>
    <t>Rollforward from Prior Year (adj for unrealized gains/losses)</t>
  </si>
  <si>
    <t>Submitted: October 1, 2009</t>
  </si>
  <si>
    <t xml:space="preserve">University of Colorado </t>
  </si>
  <si>
    <t>Appropriated Academic Fees</t>
  </si>
  <si>
    <t>New categorization for FY 10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</si>
</sst>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%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_);_(* \(#,##0.0\);_(* &quot;-&quot;_);_(@_)"/>
    <numFmt numFmtId="179" formatCode="_(* #,##0.00_);_(* \(#,##0.00\);_(* &quot;-&quot;_);_(@_)"/>
    <numFmt numFmtId="180" formatCode="0.00_);\(0.00\)"/>
    <numFmt numFmtId="181" formatCode="_(* #,##0.000_);_(* \(#,##0.000\);_(* &quot;-&quot;???_);_(@_)"/>
    <numFmt numFmtId="182" formatCode="0.0_);\(0.0\)"/>
    <numFmt numFmtId="183" formatCode="#,##0.0000_);\(#,##0.0000\)"/>
    <numFmt numFmtId="184" formatCode="0_);\(0\)"/>
    <numFmt numFmtId="185" formatCode="0.0000"/>
    <numFmt numFmtId="186" formatCode="_(* #,##0.0000_);_(* \(#,##0.0000\);_(* &quot;-&quot;??_);_(@_)"/>
    <numFmt numFmtId="187" formatCode="[$$-409]#,##0"/>
    <numFmt numFmtId="188" formatCode="_(&quot;$&quot;* #,##0_);_(&quot;$&quot;* \(#,##0\);_(&quot;$&quot;* &quot;-&quot;??_);_(@_)"/>
    <numFmt numFmtId="189" formatCode="_(&quot;$&quot;* #,##0.0_);_(&quot;$&quot;* \(#,##0.0\);_(&quot;$&quot;* &quot;-&quot;??_);_(@_)"/>
    <numFmt numFmtId="190" formatCode="_(* #,##0.000_);_(* \(#,##0.000\);_(* &quot;-&quot;_);_(@_)"/>
    <numFmt numFmtId="191" formatCode="#,##0.000_);\(#,##0.000\)"/>
  </numFmts>
  <fonts count="58">
    <font>
      <sz val="10"/>
      <name val="Courier"/>
      <family val="0"/>
    </font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i/>
      <sz val="36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7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u val="single"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175" fontId="3" fillId="0" borderId="0" xfId="42" applyNumberFormat="1" applyFont="1" applyFill="1" applyAlignment="1" applyProtection="1">
      <alignment horizontal="center"/>
      <protection locked="0"/>
    </xf>
    <xf numFmtId="175" fontId="3" fillId="0" borderId="0" xfId="42" applyNumberFormat="1" applyFont="1" applyFill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/>
      <protection locked="0"/>
    </xf>
    <xf numFmtId="43" fontId="3" fillId="33" borderId="0" xfId="42" applyNumberFormat="1" applyFont="1" applyFill="1" applyAlignment="1" applyProtection="1">
      <alignment horizontal="center"/>
      <protection locked="0"/>
    </xf>
    <xf numFmtId="175" fontId="3" fillId="33" borderId="0" xfId="42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/>
      <protection/>
    </xf>
    <xf numFmtId="169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/>
    </xf>
    <xf numFmtId="169" fontId="3" fillId="33" borderId="0" xfId="0" applyNumberFormat="1" applyFont="1" applyFill="1" applyAlignment="1">
      <alignment/>
    </xf>
    <xf numFmtId="39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fill"/>
      <protection/>
    </xf>
    <xf numFmtId="164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65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/>
      <protection/>
    </xf>
    <xf numFmtId="37" fontId="3" fillId="33" borderId="0" xfId="0" applyNumberFormat="1" applyFont="1" applyFill="1" applyAlignment="1" applyProtection="1">
      <alignment/>
      <protection/>
    </xf>
    <xf numFmtId="165" fontId="3" fillId="33" borderId="0" xfId="0" applyNumberFormat="1" applyFont="1" applyFill="1" applyAlignment="1" applyProtection="1">
      <alignment/>
      <protection/>
    </xf>
    <xf numFmtId="37" fontId="3" fillId="33" borderId="0" xfId="0" applyNumberFormat="1" applyFont="1" applyFill="1" applyAlignment="1" applyProtection="1">
      <alignment/>
      <protection locked="0"/>
    </xf>
    <xf numFmtId="165" fontId="3" fillId="33" borderId="0" xfId="0" applyNumberFormat="1" applyFont="1" applyFill="1" applyAlignment="1" applyProtection="1">
      <alignment horizontal="fill"/>
      <protection/>
    </xf>
    <xf numFmtId="37" fontId="3" fillId="33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/>
      <protection/>
    </xf>
    <xf numFmtId="42" fontId="3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 locked="0"/>
    </xf>
    <xf numFmtId="16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169" fontId="3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 locked="0"/>
    </xf>
    <xf numFmtId="3" fontId="1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fill"/>
      <protection/>
    </xf>
    <xf numFmtId="169" fontId="3" fillId="0" borderId="0" xfId="0" applyNumberFormat="1" applyFont="1" applyFill="1" applyAlignment="1" applyProtection="1">
      <alignment horizontal="fill"/>
      <protection/>
    </xf>
    <xf numFmtId="3" fontId="3" fillId="0" borderId="0" xfId="0" applyNumberFormat="1" applyFont="1" applyFill="1" applyAlignment="1" applyProtection="1">
      <alignment horizontal="fill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169" fontId="3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fill"/>
      <protection/>
    </xf>
    <xf numFmtId="0" fontId="4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fill"/>
      <protection/>
    </xf>
    <xf numFmtId="169" fontId="3" fillId="34" borderId="0" xfId="0" applyNumberFormat="1" applyFont="1" applyFill="1" applyAlignment="1" applyProtection="1">
      <alignment horizontal="fill"/>
      <protection/>
    </xf>
    <xf numFmtId="3" fontId="3" fillId="34" borderId="0" xfId="0" applyNumberFormat="1" applyFont="1" applyFill="1" applyAlignment="1">
      <alignment/>
    </xf>
    <xf numFmtId="39" fontId="3" fillId="34" borderId="0" xfId="0" applyNumberFormat="1" applyFont="1" applyFill="1" applyAlignment="1" applyProtection="1">
      <alignment horizontal="fill"/>
      <protection/>
    </xf>
    <xf numFmtId="3" fontId="3" fillId="34" borderId="0" xfId="0" applyNumberFormat="1" applyFont="1" applyFill="1" applyAlignment="1" applyProtection="1">
      <alignment horizontal="fill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 applyProtection="1">
      <alignment horizontal="fill"/>
      <protection/>
    </xf>
    <xf numFmtId="164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9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6" fontId="14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75" fontId="3" fillId="0" borderId="0" xfId="42" applyNumberFormat="1" applyFont="1" applyFill="1" applyAlignment="1" applyProtection="1">
      <alignment horizontal="right"/>
      <protection/>
    </xf>
    <xf numFmtId="43" fontId="3" fillId="0" borderId="0" xfId="42" applyNumberFormat="1" applyFont="1" applyFill="1" applyAlignment="1" applyProtection="1">
      <alignment horizontal="right"/>
      <protection/>
    </xf>
    <xf numFmtId="43" fontId="3" fillId="0" borderId="0" xfId="42" applyNumberFormat="1" applyFont="1" applyFill="1" applyAlignment="1">
      <alignment horizontal="right"/>
    </xf>
    <xf numFmtId="175" fontId="3" fillId="0" borderId="0" xfId="42" applyNumberFormat="1" applyFont="1" applyFill="1" applyAlignment="1">
      <alignment horizontal="right"/>
    </xf>
    <xf numFmtId="43" fontId="15" fillId="0" borderId="0" xfId="42" applyNumberFormat="1" applyFont="1" applyFill="1" applyAlignment="1">
      <alignment horizontal="right"/>
    </xf>
    <xf numFmtId="43" fontId="3" fillId="0" borderId="0" xfId="42" applyNumberFormat="1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/>
      <protection/>
    </xf>
    <xf numFmtId="174" fontId="3" fillId="0" borderId="0" xfId="42" applyNumberFormat="1" applyFont="1" applyFill="1" applyAlignment="1" applyProtection="1">
      <alignment/>
      <protection/>
    </xf>
    <xf numFmtId="9" fontId="3" fillId="0" borderId="0" xfId="70" applyFont="1" applyFill="1" applyAlignment="1" applyProtection="1">
      <alignment/>
      <protection/>
    </xf>
    <xf numFmtId="174" fontId="3" fillId="0" borderId="0" xfId="42" applyNumberFormat="1" applyFont="1" applyFill="1" applyAlignment="1" applyProtection="1">
      <alignment/>
      <protection locked="0"/>
    </xf>
    <xf numFmtId="174" fontId="3" fillId="0" borderId="0" xfId="42" applyNumberFormat="1" applyFont="1" applyFill="1" applyAlignment="1">
      <alignment/>
    </xf>
    <xf numFmtId="0" fontId="16" fillId="0" borderId="0" xfId="0" applyFont="1" applyFill="1" applyAlignment="1">
      <alignment/>
    </xf>
    <xf numFmtId="16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 quotePrefix="1">
      <alignment horizontal="left"/>
      <protection/>
    </xf>
    <xf numFmtId="37" fontId="4" fillId="0" borderId="0" xfId="0" applyNumberFormat="1" applyFont="1" applyFill="1" applyAlignment="1" applyProtection="1" quotePrefix="1">
      <alignment horizontal="left"/>
      <protection locked="0"/>
    </xf>
    <xf numFmtId="174" fontId="3" fillId="0" borderId="0" xfId="42" applyNumberFormat="1" applyFont="1" applyFill="1" applyAlignment="1">
      <alignment horizontal="right"/>
    </xf>
    <xf numFmtId="174" fontId="3" fillId="0" borderId="0" xfId="42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right" wrapText="1"/>
    </xf>
    <xf numFmtId="37" fontId="3" fillId="0" borderId="0" xfId="0" applyNumberFormat="1" applyFont="1" applyFill="1" applyAlignment="1" applyProtection="1">
      <alignment/>
      <protection locked="0"/>
    </xf>
    <xf numFmtId="43" fontId="3" fillId="0" borderId="0" xfId="0" applyNumberFormat="1" applyFont="1" applyFill="1" applyAlignment="1" applyProtection="1">
      <alignment horizontal="fill"/>
      <protection/>
    </xf>
    <xf numFmtId="165" fontId="3" fillId="0" borderId="0" xfId="0" applyNumberFormat="1" applyFont="1" applyFill="1" applyAlignment="1" applyProtection="1">
      <alignment horizontal="fill"/>
      <protection/>
    </xf>
    <xf numFmtId="0" fontId="3" fillId="34" borderId="0" xfId="0" applyFont="1" applyFill="1" applyAlignment="1">
      <alignment wrapText="1"/>
    </xf>
    <xf numFmtId="165" fontId="3" fillId="34" borderId="0" xfId="0" applyNumberFormat="1" applyFont="1" applyFill="1" applyAlignment="1" applyProtection="1">
      <alignment horizontal="fill"/>
      <protection/>
    </xf>
    <xf numFmtId="3" fontId="4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>
      <alignment/>
    </xf>
    <xf numFmtId="1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 applyProtection="1">
      <alignment horizontal="right"/>
      <protection/>
    </xf>
    <xf numFmtId="175" fontId="3" fillId="0" borderId="0" xfId="42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>
      <alignment horizontal="right"/>
    </xf>
    <xf numFmtId="175" fontId="3" fillId="0" borderId="0" xfId="42" applyNumberFormat="1" applyFont="1" applyFill="1" applyAlignment="1">
      <alignment horizontal="center"/>
    </xf>
    <xf numFmtId="175" fontId="3" fillId="0" borderId="0" xfId="42" applyNumberFormat="1" applyFont="1" applyFill="1" applyAlignment="1" applyProtection="1">
      <alignment horizontal="center"/>
      <protection/>
    </xf>
    <xf numFmtId="175" fontId="3" fillId="0" borderId="0" xfId="42" applyNumberFormat="1" applyFont="1" applyFill="1" applyAlignment="1">
      <alignment/>
    </xf>
    <xf numFmtId="169" fontId="11" fillId="0" borderId="0" xfId="0" applyNumberFormat="1" applyFont="1" applyFill="1" applyAlignment="1" applyProtection="1">
      <alignment horizontal="left"/>
      <protection/>
    </xf>
    <xf numFmtId="43" fontId="3" fillId="0" borderId="0" xfId="42" applyNumberFormat="1" applyFont="1" applyFill="1" applyAlignment="1" applyProtection="1">
      <alignment horizontal="center"/>
      <protection locked="0"/>
    </xf>
    <xf numFmtId="174" fontId="3" fillId="0" borderId="0" xfId="42" applyNumberFormat="1" applyFont="1" applyFill="1" applyAlignment="1" applyProtection="1">
      <alignment horizontal="center"/>
      <protection locked="0"/>
    </xf>
    <xf numFmtId="43" fontId="3" fillId="0" borderId="0" xfId="42" applyNumberFormat="1" applyFont="1" applyFill="1" applyAlignment="1" applyProtection="1">
      <alignment horizontal="center"/>
      <protection/>
    </xf>
    <xf numFmtId="43" fontId="3" fillId="0" borderId="0" xfId="42" applyNumberFormat="1" applyFont="1" applyFill="1" applyAlignment="1">
      <alignment horizontal="center"/>
    </xf>
    <xf numFmtId="174" fontId="3" fillId="0" borderId="0" xfId="42" applyNumberFormat="1" applyFont="1" applyFill="1" applyAlignment="1">
      <alignment horizontal="center"/>
    </xf>
    <xf numFmtId="2" fontId="3" fillId="0" borderId="0" xfId="0" applyNumberFormat="1" applyFont="1" applyFill="1" applyAlignment="1" applyProtection="1">
      <alignment horizontal="right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 quotePrefix="1">
      <alignment/>
    </xf>
    <xf numFmtId="2" fontId="3" fillId="0" borderId="0" xfId="0" applyNumberFormat="1" applyFont="1" applyFill="1" applyAlignment="1" applyProtection="1">
      <alignment/>
      <protection locked="0"/>
    </xf>
    <xf numFmtId="177" fontId="3" fillId="0" borderId="0" xfId="42" applyNumberFormat="1" applyFont="1" applyFill="1" applyAlignment="1" applyProtection="1">
      <alignment horizontal="right"/>
      <protection locked="0"/>
    </xf>
    <xf numFmtId="177" fontId="3" fillId="0" borderId="0" xfId="42" applyNumberFormat="1" applyFont="1" applyFill="1" applyAlignment="1">
      <alignment horizontal="right"/>
    </xf>
    <xf numFmtId="2" fontId="3" fillId="0" borderId="0" xfId="0" applyNumberFormat="1" applyFont="1" applyFill="1" applyAlignment="1" applyProtection="1">
      <alignment horizontal="fill"/>
      <protection/>
    </xf>
    <xf numFmtId="2" fontId="3" fillId="0" borderId="0" xfId="42" applyNumberFormat="1" applyFont="1" applyFill="1" applyAlignment="1" applyProtection="1">
      <alignment horizontal="right"/>
      <protection locked="0"/>
    </xf>
    <xf numFmtId="2" fontId="3" fillId="0" borderId="0" xfId="42" applyNumberFormat="1" applyFont="1" applyFill="1" applyAlignment="1">
      <alignment horizontal="right"/>
    </xf>
    <xf numFmtId="43" fontId="3" fillId="0" borderId="0" xfId="42" applyNumberFormat="1" applyFont="1" applyFill="1" applyAlignment="1" applyProtection="1">
      <alignment/>
      <protection locked="0"/>
    </xf>
    <xf numFmtId="4" fontId="3" fillId="0" borderId="0" xfId="42" applyNumberFormat="1" applyFont="1" applyFill="1" applyAlignment="1" applyProtection="1">
      <alignment horizontal="center"/>
      <protection locked="0"/>
    </xf>
    <xf numFmtId="4" fontId="3" fillId="0" borderId="0" xfId="42" applyNumberFormat="1" applyFont="1" applyFill="1" applyAlignment="1">
      <alignment horizontal="center"/>
    </xf>
    <xf numFmtId="4" fontId="3" fillId="0" borderId="0" xfId="42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 horizontal="fill"/>
      <protection/>
    </xf>
    <xf numFmtId="0" fontId="2" fillId="0" borderId="0" xfId="0" applyFont="1" applyFill="1" applyAlignment="1" applyProtection="1">
      <alignment horizontal="left"/>
      <protection/>
    </xf>
    <xf numFmtId="169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3" fontId="11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169" fontId="4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5" fontId="3" fillId="0" borderId="0" xfId="0" applyNumberFormat="1" applyFont="1" applyFill="1" applyAlignment="1" applyProtection="1">
      <alignment horizontal="center"/>
      <protection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Alignment="1" applyProtection="1">
      <alignment horizontal="center"/>
      <protection locked="0"/>
    </xf>
    <xf numFmtId="5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 quotePrefix="1">
      <alignment horizontal="fill"/>
      <protection/>
    </xf>
    <xf numFmtId="5" fontId="3" fillId="0" borderId="0" xfId="0" applyNumberFormat="1" applyFont="1" applyFill="1" applyAlignment="1" applyProtection="1">
      <alignment horizontal="fill"/>
      <protection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165" fontId="3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fill"/>
      <protection/>
    </xf>
    <xf numFmtId="37" fontId="3" fillId="0" borderId="0" xfId="0" applyNumberFormat="1" applyFont="1" applyAlignment="1" applyProtection="1">
      <alignment horizontal="fill"/>
      <protection/>
    </xf>
    <xf numFmtId="39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>
      <alignment/>
    </xf>
    <xf numFmtId="0" fontId="12" fillId="0" borderId="0" xfId="0" applyFont="1" applyAlignment="1" applyProtection="1">
      <alignment horizontal="right"/>
      <protection/>
    </xf>
    <xf numFmtId="166" fontId="11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>
      <alignment/>
    </xf>
    <xf numFmtId="37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37" fontId="11" fillId="0" borderId="0" xfId="0" applyNumberFormat="1" applyFont="1" applyAlignment="1" applyProtection="1">
      <alignment/>
      <protection/>
    </xf>
    <xf numFmtId="39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/>
      <protection/>
    </xf>
    <xf numFmtId="0" fontId="19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165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1" fontId="3" fillId="0" borderId="0" xfId="0" applyNumberFormat="1" applyFont="1" applyAlignment="1">
      <alignment horizontal="right"/>
    </xf>
    <xf numFmtId="165" fontId="3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183" fontId="3" fillId="0" borderId="0" xfId="0" applyNumberFormat="1" applyFont="1" applyAlignment="1" applyProtection="1">
      <alignment/>
      <protection/>
    </xf>
    <xf numFmtId="183" fontId="3" fillId="0" borderId="0" xfId="0" applyNumberFormat="1" applyFont="1" applyAlignment="1" applyProtection="1">
      <alignment/>
      <protection locked="0"/>
    </xf>
    <xf numFmtId="183" fontId="3" fillId="0" borderId="0" xfId="0" applyNumberFormat="1" applyFont="1" applyFill="1" applyAlignment="1" applyProtection="1">
      <alignment/>
      <protection/>
    </xf>
    <xf numFmtId="183" fontId="3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right"/>
    </xf>
    <xf numFmtId="37" fontId="3" fillId="33" borderId="0" xfId="0" applyNumberFormat="1" applyFont="1" applyFill="1" applyAlignment="1" applyProtection="1">
      <alignment horizontal="right"/>
      <protection/>
    </xf>
    <xf numFmtId="39" fontId="3" fillId="33" borderId="0" xfId="0" applyNumberFormat="1" applyFont="1" applyFill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fill"/>
      <protection/>
    </xf>
    <xf numFmtId="165" fontId="3" fillId="33" borderId="0" xfId="0" applyNumberFormat="1" applyFont="1" applyFill="1" applyAlignment="1" applyProtection="1">
      <alignment/>
      <protection locked="0"/>
    </xf>
    <xf numFmtId="37" fontId="11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5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fill"/>
      <protection/>
    </xf>
    <xf numFmtId="0" fontId="3" fillId="0" borderId="0" xfId="0" applyFont="1" applyBorder="1" applyAlignment="1">
      <alignment/>
    </xf>
    <xf numFmtId="37" fontId="3" fillId="34" borderId="0" xfId="0" applyNumberFormat="1" applyFont="1" applyFill="1" applyAlignment="1" applyProtection="1">
      <alignment horizontal="right"/>
      <protection/>
    </xf>
    <xf numFmtId="3" fontId="3" fillId="0" borderId="0" xfId="70" applyNumberFormat="1" applyFont="1" applyFill="1" applyAlignment="1" applyProtection="1">
      <alignment/>
      <protection/>
    </xf>
    <xf numFmtId="3" fontId="3" fillId="0" borderId="0" xfId="70" applyNumberFormat="1" applyFont="1" applyFill="1" applyAlignment="1" applyProtection="1">
      <alignment/>
      <protection locked="0"/>
    </xf>
    <xf numFmtId="3" fontId="3" fillId="0" borderId="0" xfId="42" applyNumberFormat="1" applyFont="1" applyFill="1" applyAlignment="1" applyProtection="1">
      <alignment/>
      <protection/>
    </xf>
    <xf numFmtId="3" fontId="3" fillId="0" borderId="0" xfId="42" applyNumberFormat="1" applyFont="1" applyFill="1" applyAlignment="1">
      <alignment/>
    </xf>
    <xf numFmtId="4" fontId="3" fillId="0" borderId="0" xfId="42" applyNumberFormat="1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 applyProtection="1">
      <alignment horizontal="right"/>
      <protection locked="0"/>
    </xf>
    <xf numFmtId="39" fontId="3" fillId="0" borderId="0" xfId="42" applyNumberFormat="1" applyFont="1" applyFill="1" applyAlignment="1" applyProtection="1">
      <alignment horizontal="right"/>
      <protection locked="0"/>
    </xf>
    <xf numFmtId="4" fontId="3" fillId="0" borderId="0" xfId="42" applyNumberFormat="1" applyFont="1" applyFill="1" applyAlignment="1">
      <alignment horizontal="right"/>
    </xf>
    <xf numFmtId="3" fontId="3" fillId="0" borderId="0" xfId="42" applyNumberFormat="1" applyFont="1" applyFill="1" applyAlignment="1">
      <alignment horizontal="right"/>
    </xf>
    <xf numFmtId="39" fontId="3" fillId="0" borderId="0" xfId="42" applyNumberFormat="1" applyFont="1" applyFill="1" applyAlignment="1">
      <alignment horizontal="right"/>
    </xf>
    <xf numFmtId="3" fontId="3" fillId="34" borderId="0" xfId="0" applyNumberFormat="1" applyFont="1" applyFill="1" applyAlignment="1" applyProtection="1">
      <alignment horizontal="right"/>
      <protection/>
    </xf>
    <xf numFmtId="175" fontId="3" fillId="33" borderId="0" xfId="42" applyNumberFormat="1" applyFont="1" applyFill="1" applyAlignment="1">
      <alignment/>
    </xf>
    <xf numFmtId="37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/>
    </xf>
    <xf numFmtId="3" fontId="3" fillId="0" borderId="0" xfId="70" applyNumberFormat="1" applyFont="1" applyFill="1" applyAlignment="1" applyProtection="1">
      <alignment horizontal="left"/>
      <protection/>
    </xf>
    <xf numFmtId="39" fontId="3" fillId="0" borderId="0" xfId="0" applyNumberFormat="1" applyFont="1" applyFill="1" applyAlignment="1" applyProtection="1">
      <alignment horizontal="right"/>
      <protection/>
    </xf>
    <xf numFmtId="37" fontId="3" fillId="0" borderId="0" xfId="42" applyNumberFormat="1" applyFont="1" applyFill="1" applyAlignment="1" applyProtection="1">
      <alignment horizontal="right"/>
      <protection locked="0"/>
    </xf>
    <xf numFmtId="175" fontId="3" fillId="0" borderId="0" xfId="0" applyNumberFormat="1" applyFont="1" applyFill="1" applyAlignment="1">
      <alignment horizontal="left" indent="1"/>
    </xf>
    <xf numFmtId="180" fontId="3" fillId="0" borderId="0" xfId="42" applyNumberFormat="1" applyFont="1" applyFill="1" applyAlignment="1" applyProtection="1">
      <alignment horizontal="right"/>
      <protection locked="0"/>
    </xf>
    <xf numFmtId="180" fontId="3" fillId="0" borderId="0" xfId="42" applyNumberFormat="1" applyFont="1" applyFill="1" applyAlignment="1">
      <alignment horizontal="right"/>
    </xf>
    <xf numFmtId="43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34" borderId="0" xfId="0" applyNumberFormat="1" applyFont="1" applyFill="1" applyAlignment="1">
      <alignment horizontal="right"/>
    </xf>
    <xf numFmtId="175" fontId="3" fillId="33" borderId="0" xfId="42" applyNumberFormat="1" applyFont="1" applyFill="1" applyAlignment="1">
      <alignment/>
    </xf>
    <xf numFmtId="41" fontId="3" fillId="33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7" fontId="3" fillId="0" borderId="0" xfId="0" applyNumberFormat="1" applyFont="1" applyAlignment="1" applyProtection="1">
      <alignment horizontal="left"/>
      <protection locked="0"/>
    </xf>
    <xf numFmtId="39" fontId="3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left"/>
      <protection locked="0"/>
    </xf>
    <xf numFmtId="37" fontId="3" fillId="33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3" fontId="10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 applyProtection="1">
      <alignment horizontal="fill"/>
      <protection/>
    </xf>
    <xf numFmtId="169" fontId="3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165" fontId="3" fillId="34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88" fontId="3" fillId="0" borderId="0" xfId="55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88" fontId="21" fillId="0" borderId="0" xfId="55" applyNumberFormat="1" applyFont="1" applyBorder="1" applyAlignment="1">
      <alignment wrapText="1"/>
    </xf>
    <xf numFmtId="188" fontId="21" fillId="0" borderId="0" xfId="55" applyNumberFormat="1" applyFont="1" applyBorder="1" applyAlignment="1" quotePrefix="1">
      <alignment horizontal="left" wrapText="1"/>
    </xf>
    <xf numFmtId="188" fontId="21" fillId="0" borderId="0" xfId="55" applyNumberFormat="1" applyFont="1" applyBorder="1" applyAlignment="1">
      <alignment horizontal="left" wrapText="1"/>
    </xf>
    <xf numFmtId="0" fontId="20" fillId="0" borderId="0" xfId="0" applyFont="1" applyFill="1" applyAlignment="1">
      <alignment horizontal="left"/>
    </xf>
    <xf numFmtId="188" fontId="3" fillId="0" borderId="0" xfId="55" applyNumberFormat="1" applyFont="1" applyFill="1" applyAlignment="1">
      <alignment/>
    </xf>
    <xf numFmtId="37" fontId="3" fillId="0" borderId="0" xfId="42" applyNumberFormat="1" applyFont="1" applyFill="1" applyAlignment="1">
      <alignment horizontal="right"/>
    </xf>
    <xf numFmtId="39" fontId="3" fillId="0" borderId="0" xfId="0" applyNumberFormat="1" applyFont="1" applyFill="1" applyAlignment="1">
      <alignment/>
    </xf>
    <xf numFmtId="39" fontId="3" fillId="0" borderId="0" xfId="42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5" fontId="3" fillId="0" borderId="0" xfId="0" applyNumberFormat="1" applyFont="1" applyFill="1" applyAlignment="1" quotePrefix="1">
      <alignment/>
    </xf>
    <xf numFmtId="169" fontId="3" fillId="0" borderId="0" xfId="0" applyNumberFormat="1" applyFont="1" applyFill="1" applyBorder="1" applyAlignment="1" applyProtection="1">
      <alignment horizontal="fill"/>
      <protection/>
    </xf>
    <xf numFmtId="175" fontId="3" fillId="0" borderId="0" xfId="42" applyNumberFormat="1" applyFont="1" applyAlignment="1">
      <alignment/>
    </xf>
    <xf numFmtId="3" fontId="3" fillId="0" borderId="0" xfId="42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vertical="top"/>
      <protection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 applyProtection="1">
      <alignment horizontal="fill"/>
      <protection/>
    </xf>
    <xf numFmtId="37" fontId="3" fillId="0" borderId="0" xfId="42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right"/>
    </xf>
    <xf numFmtId="180" fontId="3" fillId="0" borderId="0" xfId="42" applyNumberFormat="1" applyFont="1" applyFill="1" applyAlignment="1">
      <alignment horizontal="center"/>
    </xf>
    <xf numFmtId="180" fontId="3" fillId="0" borderId="0" xfId="0" applyNumberFormat="1" applyFont="1" applyFill="1" applyAlignment="1" applyProtection="1">
      <alignment horizontal="right"/>
      <protection locked="0"/>
    </xf>
    <xf numFmtId="180" fontId="3" fillId="33" borderId="0" xfId="0" applyNumberFormat="1" applyFont="1" applyFill="1" applyAlignment="1">
      <alignment/>
    </xf>
    <xf numFmtId="175" fontId="3" fillId="0" borderId="0" xfId="42" applyNumberFormat="1" applyFont="1" applyFill="1" applyAlignment="1" applyProtection="1" quotePrefix="1">
      <alignment horizontal="right"/>
      <protection/>
    </xf>
    <xf numFmtId="165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fill"/>
      <protection/>
    </xf>
    <xf numFmtId="39" fontId="3" fillId="0" borderId="0" xfId="42" applyNumberFormat="1" applyFont="1" applyFill="1" applyAlignment="1" applyProtection="1">
      <alignment horizontal="right"/>
      <protection/>
    </xf>
    <xf numFmtId="180" fontId="3" fillId="34" borderId="0" xfId="0" applyNumberFormat="1" applyFont="1" applyFill="1" applyAlignment="1" applyProtection="1">
      <alignment horizontal="right"/>
      <protection/>
    </xf>
    <xf numFmtId="175" fontId="3" fillId="0" borderId="0" xfId="42" applyNumberFormat="1" applyFont="1" applyFill="1" applyAlignment="1" applyProtection="1">
      <alignment/>
      <protection/>
    </xf>
    <xf numFmtId="180" fontId="16" fillId="0" borderId="0" xfId="0" applyNumberFormat="1" applyFont="1" applyFill="1" applyAlignment="1">
      <alignment/>
    </xf>
    <xf numFmtId="4" fontId="3" fillId="0" borderId="0" xfId="42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175" fontId="3" fillId="0" borderId="0" xfId="47" applyNumberFormat="1" applyFont="1" applyFill="1" applyAlignment="1" applyProtection="1">
      <alignment horizontal="center"/>
      <protection locked="0"/>
    </xf>
    <xf numFmtId="175" fontId="3" fillId="0" borderId="0" xfId="48" applyNumberFormat="1" applyFont="1" applyFill="1" applyAlignment="1" applyProtection="1">
      <alignment horizontal="center"/>
      <protection locked="0"/>
    </xf>
    <xf numFmtId="43" fontId="3" fillId="0" borderId="0" xfId="46" applyNumberFormat="1" applyFont="1" applyFill="1" applyAlignment="1" applyProtection="1">
      <alignment horizontal="center"/>
      <protection locked="0"/>
    </xf>
    <xf numFmtId="175" fontId="3" fillId="0" borderId="0" xfId="46" applyNumberFormat="1" applyFont="1" applyFill="1" applyAlignment="1" applyProtection="1">
      <alignment horizontal="center"/>
      <protection locked="0"/>
    </xf>
    <xf numFmtId="43" fontId="3" fillId="0" borderId="0" xfId="46" applyNumberFormat="1" applyFont="1" applyFill="1" applyAlignment="1">
      <alignment horizontal="center"/>
    </xf>
    <xf numFmtId="175" fontId="3" fillId="0" borderId="0" xfId="46" applyNumberFormat="1" applyFont="1" applyFill="1" applyAlignment="1">
      <alignment horizontal="center"/>
    </xf>
    <xf numFmtId="43" fontId="3" fillId="0" borderId="0" xfId="46" applyNumberFormat="1" applyFont="1" applyFill="1" applyAlignment="1" applyProtection="1">
      <alignment/>
      <protection locked="0"/>
    </xf>
    <xf numFmtId="175" fontId="3" fillId="0" borderId="0" xfId="46" applyNumberFormat="1" applyFont="1" applyFill="1" applyAlignment="1" applyProtection="1">
      <alignment/>
      <protection locked="0"/>
    </xf>
    <xf numFmtId="43" fontId="3" fillId="0" borderId="0" xfId="45" applyNumberFormat="1" applyFont="1" applyFill="1" applyAlignment="1" applyProtection="1">
      <alignment horizontal="center"/>
      <protection locked="0"/>
    </xf>
    <xf numFmtId="175" fontId="3" fillId="0" borderId="0" xfId="45" applyNumberFormat="1" applyFont="1" applyFill="1" applyAlignment="1" applyProtection="1">
      <alignment horizontal="center"/>
      <protection locked="0"/>
    </xf>
    <xf numFmtId="43" fontId="3" fillId="0" borderId="0" xfId="45" applyNumberFormat="1" applyFont="1" applyFill="1" applyAlignment="1" applyProtection="1">
      <alignment/>
      <protection locked="0"/>
    </xf>
    <xf numFmtId="175" fontId="3" fillId="0" borderId="0" xfId="45" applyNumberFormat="1" applyFont="1" applyFill="1" applyAlignment="1" applyProtection="1">
      <alignment/>
      <protection locked="0"/>
    </xf>
    <xf numFmtId="43" fontId="3" fillId="0" borderId="0" xfId="45" applyNumberFormat="1" applyFont="1" applyFill="1" applyAlignment="1">
      <alignment horizontal="center"/>
    </xf>
    <xf numFmtId="175" fontId="3" fillId="0" borderId="0" xfId="45" applyNumberFormat="1" applyFont="1" applyFill="1" applyAlignment="1">
      <alignment horizontal="center"/>
    </xf>
    <xf numFmtId="43" fontId="3" fillId="0" borderId="0" xfId="44" applyNumberFormat="1" applyFont="1" applyFill="1" applyAlignment="1" applyProtection="1">
      <alignment horizontal="right"/>
      <protection locked="0"/>
    </xf>
    <xf numFmtId="175" fontId="3" fillId="0" borderId="0" xfId="44" applyNumberFormat="1" applyFont="1" applyFill="1" applyAlignment="1" applyProtection="1">
      <alignment horizontal="right"/>
      <protection locked="0"/>
    </xf>
    <xf numFmtId="43" fontId="3" fillId="0" borderId="0" xfId="44" applyNumberFormat="1" applyFont="1" applyFill="1" applyAlignment="1">
      <alignment horizontal="right"/>
    </xf>
    <xf numFmtId="175" fontId="3" fillId="0" borderId="0" xfId="44" applyNumberFormat="1" applyFont="1" applyFill="1" applyAlignment="1">
      <alignment horizontal="right"/>
    </xf>
    <xf numFmtId="175" fontId="3" fillId="0" borderId="0" xfId="44" applyNumberFormat="1" applyFont="1" applyFill="1" applyAlignment="1">
      <alignment horizontal="center"/>
    </xf>
    <xf numFmtId="2" fontId="3" fillId="0" borderId="0" xfId="54" applyNumberFormat="1" applyFont="1" applyFill="1" applyAlignment="1" applyProtection="1">
      <alignment horizontal="right"/>
      <protection locked="0"/>
    </xf>
    <xf numFmtId="175" fontId="3" fillId="0" borderId="0" xfId="54" applyNumberFormat="1" applyFont="1" applyFill="1" applyAlignment="1" applyProtection="1">
      <alignment horizontal="center"/>
      <protection locked="0"/>
    </xf>
    <xf numFmtId="2" fontId="3" fillId="0" borderId="0" xfId="54" applyNumberFormat="1" applyFont="1" applyFill="1" applyAlignment="1">
      <alignment horizontal="right"/>
    </xf>
    <xf numFmtId="175" fontId="3" fillId="0" borderId="0" xfId="54" applyNumberFormat="1" applyFont="1" applyFill="1" applyAlignment="1">
      <alignment horizontal="center"/>
    </xf>
    <xf numFmtId="2" fontId="3" fillId="0" borderId="0" xfId="53" applyNumberFormat="1" applyFont="1" applyFill="1" applyAlignment="1" applyProtection="1">
      <alignment horizontal="right"/>
      <protection locked="0"/>
    </xf>
    <xf numFmtId="175" fontId="3" fillId="0" borderId="0" xfId="53" applyNumberFormat="1" applyFont="1" applyFill="1" applyAlignment="1" applyProtection="1">
      <alignment horizontal="right"/>
      <protection locked="0"/>
    </xf>
    <xf numFmtId="2" fontId="3" fillId="0" borderId="0" xfId="53" applyNumberFormat="1" applyFont="1" applyFill="1" applyAlignment="1">
      <alignment horizontal="right"/>
    </xf>
    <xf numFmtId="175" fontId="3" fillId="0" borderId="0" xfId="53" applyNumberFormat="1" applyFont="1" applyFill="1" applyAlignment="1">
      <alignment horizontal="right"/>
    </xf>
    <xf numFmtId="177" fontId="3" fillId="0" borderId="0" xfId="53" applyNumberFormat="1" applyFont="1" applyFill="1" applyAlignment="1">
      <alignment horizontal="right"/>
    </xf>
    <xf numFmtId="177" fontId="3" fillId="0" borderId="0" xfId="53" applyNumberFormat="1" applyFont="1" applyFill="1" applyAlignment="1" applyProtection="1">
      <alignment horizontal="right"/>
      <protection locked="0"/>
    </xf>
    <xf numFmtId="175" fontId="3" fillId="0" borderId="0" xfId="52" applyNumberFormat="1" applyFont="1" applyFill="1" applyAlignment="1" applyProtection="1">
      <alignment horizontal="center"/>
      <protection locked="0"/>
    </xf>
    <xf numFmtId="175" fontId="3" fillId="0" borderId="0" xfId="52" applyNumberFormat="1" applyFont="1" applyFill="1" applyAlignment="1">
      <alignment horizontal="center"/>
    </xf>
    <xf numFmtId="175" fontId="3" fillId="0" borderId="0" xfId="52" applyNumberFormat="1" applyFont="1" applyFill="1" applyAlignment="1" applyProtection="1">
      <alignment/>
      <protection locked="0"/>
    </xf>
    <xf numFmtId="43" fontId="3" fillId="0" borderId="0" xfId="51" applyNumberFormat="1" applyFont="1" applyFill="1" applyAlignment="1" applyProtection="1">
      <alignment horizontal="center"/>
      <protection locked="0"/>
    </xf>
    <xf numFmtId="175" fontId="3" fillId="0" borderId="0" xfId="51" applyNumberFormat="1" applyFont="1" applyFill="1" applyAlignment="1" applyProtection="1">
      <alignment horizontal="center"/>
      <protection locked="0"/>
    </xf>
    <xf numFmtId="174" fontId="3" fillId="0" borderId="0" xfId="51" applyNumberFormat="1" applyFont="1" applyFill="1" applyAlignment="1" applyProtection="1">
      <alignment horizontal="center"/>
      <protection locked="0"/>
    </xf>
    <xf numFmtId="43" fontId="3" fillId="0" borderId="0" xfId="51" applyNumberFormat="1" applyFont="1" applyFill="1" applyAlignment="1" applyProtection="1">
      <alignment horizontal="center"/>
      <protection/>
    </xf>
    <xf numFmtId="43" fontId="3" fillId="0" borderId="0" xfId="51" applyNumberFormat="1" applyFont="1" applyFill="1" applyAlignment="1">
      <alignment horizontal="center"/>
    </xf>
    <xf numFmtId="175" fontId="3" fillId="0" borderId="0" xfId="51" applyNumberFormat="1" applyFont="1" applyFill="1" applyAlignment="1">
      <alignment horizontal="center"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Alignment="1">
      <alignment/>
    </xf>
    <xf numFmtId="0" fontId="3" fillId="35" borderId="0" xfId="0" applyFont="1" applyFill="1" applyAlignment="1" applyProtection="1">
      <alignment horizontal="left" wrapText="1"/>
      <protection/>
    </xf>
    <xf numFmtId="0" fontId="3" fillId="35" borderId="0" xfId="0" applyFont="1" applyFill="1" applyAlignment="1" applyProtection="1">
      <alignment/>
      <protection locked="0"/>
    </xf>
    <xf numFmtId="43" fontId="3" fillId="33" borderId="0" xfId="51" applyNumberFormat="1" applyFont="1" applyFill="1" applyAlignment="1" applyProtection="1">
      <alignment horizontal="center"/>
      <protection locked="0"/>
    </xf>
    <xf numFmtId="175" fontId="3" fillId="33" borderId="0" xfId="51" applyNumberFormat="1" applyFont="1" applyFill="1" applyAlignment="1" applyProtection="1">
      <alignment horizontal="center"/>
      <protection locked="0"/>
    </xf>
    <xf numFmtId="43" fontId="3" fillId="35" borderId="0" xfId="42" applyNumberFormat="1" applyFont="1" applyFill="1" applyAlignment="1" applyProtection="1">
      <alignment horizontal="center"/>
      <protection locked="0"/>
    </xf>
    <xf numFmtId="175" fontId="3" fillId="35" borderId="0" xfId="42" applyNumberFormat="1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/>
    </xf>
    <xf numFmtId="175" fontId="3" fillId="0" borderId="0" xfId="49" applyNumberFormat="1" applyFont="1" applyFill="1" applyAlignment="1">
      <alignment horizontal="right"/>
    </xf>
    <xf numFmtId="175" fontId="3" fillId="0" borderId="0" xfId="49" applyNumberFormat="1" applyFont="1" applyFill="1" applyAlignment="1" applyProtection="1">
      <alignment horizontal="right"/>
      <protection/>
    </xf>
    <xf numFmtId="175" fontId="3" fillId="0" borderId="0" xfId="49" applyNumberFormat="1" applyFont="1" applyFill="1" applyAlignment="1" applyProtection="1">
      <alignment horizontal="right"/>
      <protection locked="0"/>
    </xf>
    <xf numFmtId="1" fontId="3" fillId="0" borderId="0" xfId="49" applyNumberFormat="1" applyFont="1" applyFill="1" applyAlignment="1" applyProtection="1">
      <alignment horizontal="right"/>
      <protection/>
    </xf>
    <xf numFmtId="43" fontId="3" fillId="0" borderId="0" xfId="50" applyNumberFormat="1" applyFont="1" applyFill="1" applyAlignment="1" applyProtection="1">
      <alignment horizontal="right"/>
      <protection locked="0"/>
    </xf>
    <xf numFmtId="175" fontId="3" fillId="0" borderId="0" xfId="50" applyNumberFormat="1" applyFont="1" applyFill="1" applyAlignment="1" applyProtection="1">
      <alignment horizontal="right"/>
      <protection locked="0"/>
    </xf>
    <xf numFmtId="43" fontId="3" fillId="0" borderId="0" xfId="50" applyNumberFormat="1" applyFont="1" applyFill="1" applyAlignment="1">
      <alignment horizontal="right"/>
    </xf>
    <xf numFmtId="175" fontId="3" fillId="0" borderId="0" xfId="50" applyNumberFormat="1" applyFont="1" applyFill="1" applyAlignment="1">
      <alignment horizontal="right"/>
    </xf>
    <xf numFmtId="43" fontId="3" fillId="0" borderId="0" xfId="50" applyNumberFormat="1" applyFont="1" applyFill="1" applyAlignment="1" applyProtection="1">
      <alignment horizontal="right"/>
      <protection/>
    </xf>
    <xf numFmtId="175" fontId="3" fillId="0" borderId="0" xfId="50" applyNumberFormat="1" applyFont="1" applyFill="1" applyAlignment="1" applyProtection="1">
      <alignment horizontal="right"/>
      <protection/>
    </xf>
    <xf numFmtId="2" fontId="3" fillId="0" borderId="0" xfId="50" applyNumberFormat="1" applyFont="1" applyFill="1" applyAlignment="1" applyProtection="1">
      <alignment horizontal="right"/>
      <protection locked="0"/>
    </xf>
    <xf numFmtId="2" fontId="3" fillId="0" borderId="0" xfId="50" applyNumberFormat="1" applyFont="1" applyFill="1" applyAlignment="1">
      <alignment horizontal="right"/>
    </xf>
    <xf numFmtId="37" fontId="22" fillId="0" borderId="0" xfId="0" applyNumberFormat="1" applyFont="1" applyFill="1" applyAlignment="1" applyProtection="1">
      <alignment/>
      <protection locked="0"/>
    </xf>
    <xf numFmtId="165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65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>
      <alignment/>
    </xf>
    <xf numFmtId="39" fontId="22" fillId="0" borderId="0" xfId="0" applyNumberFormat="1" applyFont="1" applyFill="1" applyAlignment="1" applyProtection="1">
      <alignment horizontal="center"/>
      <protection locked="0"/>
    </xf>
    <xf numFmtId="185" fontId="3" fillId="0" borderId="0" xfId="0" applyNumberFormat="1" applyFont="1" applyAlignment="1">
      <alignment/>
    </xf>
    <xf numFmtId="191" fontId="3" fillId="0" borderId="0" xfId="0" applyNumberFormat="1" applyFont="1" applyAlignment="1" applyProtection="1">
      <alignment/>
      <protection locked="0"/>
    </xf>
    <xf numFmtId="37" fontId="15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49" fontId="3" fillId="0" borderId="0" xfId="0" applyNumberFormat="1" applyFont="1" applyAlignment="1">
      <alignment/>
    </xf>
    <xf numFmtId="39" fontId="22" fillId="0" borderId="0" xfId="0" applyNumberFormat="1" applyFont="1" applyAlignment="1" applyProtection="1">
      <alignment/>
      <protection locked="0"/>
    </xf>
    <xf numFmtId="188" fontId="3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65" fontId="3" fillId="36" borderId="0" xfId="0" applyNumberFormat="1" applyFont="1" applyFill="1" applyAlignment="1" applyProtection="1">
      <alignment horizontal="fill"/>
      <protection/>
    </xf>
    <xf numFmtId="0" fontId="3" fillId="36" borderId="0" xfId="0" applyFont="1" applyFill="1" applyAlignment="1" applyProtection="1">
      <alignment horizontal="right"/>
      <protection/>
    </xf>
    <xf numFmtId="39" fontId="3" fillId="36" borderId="0" xfId="0" applyNumberFormat="1" applyFont="1" applyFill="1" applyAlignment="1" applyProtection="1">
      <alignment horizontal="fill"/>
      <protection/>
    </xf>
    <xf numFmtId="37" fontId="3" fillId="36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 indent="1"/>
    </xf>
    <xf numFmtId="41" fontId="3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33" borderId="0" xfId="0" applyFont="1" applyFill="1" applyAlignment="1" applyProtection="1">
      <alignment horizontal="left" indent="1"/>
      <protection/>
    </xf>
    <xf numFmtId="0" fontId="3" fillId="0" borderId="0" xfId="0" applyFont="1" applyAlignment="1">
      <alignment horizontal="left" indent="1"/>
    </xf>
    <xf numFmtId="39" fontId="4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37" fontId="3" fillId="0" borderId="10" xfId="0" applyNumberFormat="1" applyFont="1" applyFill="1" applyBorder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 applyProtection="1">
      <alignment horizontal="center"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37" fontId="3" fillId="0" borderId="0" xfId="0" applyNumberFormat="1" applyFont="1" applyFill="1" applyAlignment="1" applyProtection="1">
      <alignment horizontal="center"/>
      <protection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7" xfId="47"/>
    <cellStyle name="Comma 18" xfId="48"/>
    <cellStyle name="Comma 23" xfId="49"/>
    <cellStyle name="Comma 4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V124"/>
  <sheetViews>
    <sheetView showGridLines="0" zoomScale="75" zoomScaleNormal="75" zoomScaleSheetLayoutView="65" workbookViewId="0" topLeftCell="A1">
      <selection activeCell="J62" sqref="J62"/>
    </sheetView>
  </sheetViews>
  <sheetFormatPr defaultColWidth="9.625" defaultRowHeight="12.75"/>
  <cols>
    <col min="1" max="1" width="7.625" style="26" customWidth="1"/>
    <col min="2" max="2" width="1.875" style="26" customWidth="1"/>
    <col min="3" max="3" width="33.00390625" style="26" customWidth="1"/>
    <col min="4" max="4" width="17.50390625" style="26" customWidth="1"/>
    <col min="5" max="6" width="8.125" style="26" customWidth="1"/>
    <col min="7" max="7" width="10.625" style="26" customWidth="1"/>
    <col min="8" max="8" width="13.625" style="26" customWidth="1"/>
    <col min="9" max="9" width="10.625" style="27" customWidth="1"/>
    <col min="10" max="10" width="13.625" style="28" customWidth="1"/>
    <col min="11" max="11" width="5.375" style="26" customWidth="1"/>
    <col min="12" max="12" width="8.75390625" style="27" customWidth="1"/>
    <col min="13" max="13" width="13.00390625" style="28" customWidth="1"/>
    <col min="14" max="14" width="0" style="26" hidden="1" customWidth="1"/>
    <col min="15" max="16384" width="9.625" style="26" customWidth="1"/>
  </cols>
  <sheetData>
    <row r="2" ht="12">
      <c r="M2" s="29" t="s">
        <v>146</v>
      </c>
    </row>
    <row r="3" ht="12">
      <c r="M3" s="270" t="s">
        <v>244</v>
      </c>
    </row>
    <row r="5" spans="1:13" ht="45">
      <c r="A5" s="401" t="s">
        <v>145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8" spans="1:13" s="64" customFormat="1" ht="33">
      <c r="A8" s="261" t="s">
        <v>245</v>
      </c>
      <c r="B8" s="261"/>
      <c r="C8" s="404" t="s">
        <v>574</v>
      </c>
      <c r="D8" s="404"/>
      <c r="E8" s="404"/>
      <c r="F8" s="404"/>
      <c r="G8" s="404"/>
      <c r="H8" s="404"/>
      <c r="I8" s="404"/>
      <c r="J8" s="404"/>
      <c r="K8" s="404"/>
      <c r="L8" s="404"/>
      <c r="M8" s="261"/>
    </row>
    <row r="9" spans="1:13" s="64" customFormat="1" ht="33">
      <c r="A9" s="261" t="s">
        <v>246</v>
      </c>
      <c r="B9" s="261"/>
      <c r="C9" s="404" t="s">
        <v>575</v>
      </c>
      <c r="D9" s="404"/>
      <c r="E9" s="404"/>
      <c r="F9" s="404"/>
      <c r="G9" s="404"/>
      <c r="H9" s="404"/>
      <c r="I9" s="404"/>
      <c r="J9" s="404"/>
      <c r="K9" s="404"/>
      <c r="L9" s="404"/>
      <c r="M9" s="261"/>
    </row>
    <row r="20" spans="1:13" ht="45">
      <c r="A20" s="402" t="s">
        <v>549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</row>
    <row r="36" spans="1:13" ht="20.25">
      <c r="A36" s="403" t="s">
        <v>664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</row>
    <row r="38" spans="1:13" ht="12">
      <c r="A38" s="35"/>
      <c r="I38" s="36"/>
      <c r="M38" s="37" t="s">
        <v>115</v>
      </c>
    </row>
    <row r="39" spans="1:13" ht="12">
      <c r="A39" s="399" t="s">
        <v>114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</row>
    <row r="40" spans="1:13" ht="12">
      <c r="A40" s="38" t="s">
        <v>237</v>
      </c>
      <c r="C40" s="26" t="s">
        <v>550</v>
      </c>
      <c r="I40" s="36"/>
      <c r="K40" s="24"/>
      <c r="L40" s="36"/>
      <c r="M40" s="39" t="str">
        <f>$M$3</f>
        <v>Date: 10/1/2008</v>
      </c>
    </row>
    <row r="41" spans="1:13" ht="12">
      <c r="A41" s="40" t="s">
        <v>1</v>
      </c>
      <c r="B41" s="40" t="s">
        <v>1</v>
      </c>
      <c r="C41" s="40" t="s">
        <v>1</v>
      </c>
      <c r="D41" s="40" t="s">
        <v>1</v>
      </c>
      <c r="E41" s="40" t="s">
        <v>1</v>
      </c>
      <c r="F41" s="40" t="s">
        <v>1</v>
      </c>
      <c r="G41" s="40"/>
      <c r="H41" s="40"/>
      <c r="I41" s="41" t="s">
        <v>1</v>
      </c>
      <c r="J41" s="42" t="s">
        <v>1</v>
      </c>
      <c r="K41" s="40" t="s">
        <v>1</v>
      </c>
      <c r="L41" s="41" t="s">
        <v>1</v>
      </c>
      <c r="M41" s="42" t="s">
        <v>1</v>
      </c>
    </row>
    <row r="42" spans="1:13" ht="12">
      <c r="A42" s="43" t="s">
        <v>2</v>
      </c>
      <c r="C42" s="31" t="s">
        <v>3</v>
      </c>
      <c r="E42" s="43" t="s">
        <v>2</v>
      </c>
      <c r="F42" s="44"/>
      <c r="G42" s="44"/>
      <c r="H42" s="151" t="s">
        <v>240</v>
      </c>
      <c r="I42" s="170"/>
      <c r="J42" s="173" t="s">
        <v>247</v>
      </c>
      <c r="K42" s="161"/>
      <c r="L42" s="170"/>
      <c r="M42" s="173" t="s">
        <v>576</v>
      </c>
    </row>
    <row r="43" spans="1:13" ht="12">
      <c r="A43" s="43" t="s">
        <v>4</v>
      </c>
      <c r="C43" s="47" t="s">
        <v>5</v>
      </c>
      <c r="E43" s="43" t="s">
        <v>4</v>
      </c>
      <c r="F43" s="44"/>
      <c r="G43" s="44" t="s">
        <v>21</v>
      </c>
      <c r="H43" s="151" t="s">
        <v>7</v>
      </c>
      <c r="I43" s="172" t="s">
        <v>6</v>
      </c>
      <c r="J43" s="173" t="s">
        <v>7</v>
      </c>
      <c r="K43" s="161"/>
      <c r="L43" s="164" t="s">
        <v>6</v>
      </c>
      <c r="M43" s="173" t="s">
        <v>8</v>
      </c>
    </row>
    <row r="44" spans="1:13" ht="12">
      <c r="A44" s="40" t="s">
        <v>1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/>
      <c r="H44" s="40"/>
      <c r="I44" s="41" t="s">
        <v>1</v>
      </c>
      <c r="J44" s="42" t="s">
        <v>1</v>
      </c>
      <c r="K44" s="40" t="s">
        <v>1</v>
      </c>
      <c r="L44" s="273" t="s">
        <v>1</v>
      </c>
      <c r="M44" s="42" t="s">
        <v>1</v>
      </c>
    </row>
    <row r="45" spans="1:13" ht="12">
      <c r="A45" s="30">
        <v>1</v>
      </c>
      <c r="C45" s="31" t="s">
        <v>9</v>
      </c>
      <c r="D45" s="48" t="s">
        <v>105</v>
      </c>
      <c r="E45" s="30">
        <v>1</v>
      </c>
      <c r="G45" s="274">
        <f>UCB!G42+UCCS!G43+DDC!G42+AMC!G43+SYSTEM!G46</f>
        <v>3853.5512098726376</v>
      </c>
      <c r="H45" s="160">
        <f>UCB!H42+UCCS!H43+DDC!H42+AMC!H43+SYSTEM!H46</f>
        <v>386281333.87</v>
      </c>
      <c r="I45" s="274">
        <f>UCB!I42+UCCS!I43+DDC!I42+AMC!I43+SYSTEM!I46</f>
        <v>3966.6993074200786</v>
      </c>
      <c r="J45" s="160">
        <f>UCB!J42+UCCS!J43+DDC!J42+AMC!J43+SYSTEM!J46</f>
        <v>429332506.39</v>
      </c>
      <c r="K45" s="274"/>
      <c r="L45" s="274">
        <f>UCB!L42+UCCS!L43+DDC!L42+AMC!L43+SYSTEM!L46</f>
        <v>4052.934481962583</v>
      </c>
      <c r="M45" s="160">
        <f>UCB!M42+UCCS!M43+DDC!M42+AMC!M43+SYSTEM!M46</f>
        <v>443604305</v>
      </c>
    </row>
    <row r="46" spans="1:13" ht="12">
      <c r="A46" s="30">
        <v>2</v>
      </c>
      <c r="C46" s="31" t="s">
        <v>10</v>
      </c>
      <c r="D46" s="48" t="s">
        <v>106</v>
      </c>
      <c r="E46" s="30">
        <v>2</v>
      </c>
      <c r="G46" s="274">
        <f>UCB!G43+UCCS!G44+DDC!G43+AMC!G44+SYSTEM!G47</f>
        <v>51.72897928994083</v>
      </c>
      <c r="H46" s="160">
        <f>UCB!H43+UCCS!H44+DDC!H43+AMC!H44+SYSTEM!H47</f>
        <v>8710582.559999999</v>
      </c>
      <c r="I46" s="274">
        <f>UCB!I43+UCCS!I44+DDC!I43+AMC!I44+SYSTEM!I47</f>
        <v>47.45</v>
      </c>
      <c r="J46" s="160">
        <f>UCB!J43+UCCS!J44+DDC!J43+AMC!J44+SYSTEM!J47</f>
        <v>8611445.780000001</v>
      </c>
      <c r="K46" s="274"/>
      <c r="L46" s="274">
        <f>UCB!L43+UCCS!L44+DDC!L43+AMC!L44+SYSTEM!L47</f>
        <v>49.550000000000004</v>
      </c>
      <c r="M46" s="160">
        <f>UCB!M43+UCCS!M44+DDC!M43+AMC!M44+SYSTEM!M47</f>
        <v>8822068</v>
      </c>
    </row>
    <row r="47" spans="1:13" ht="12">
      <c r="A47" s="30">
        <v>3</v>
      </c>
      <c r="C47" s="31" t="s">
        <v>11</v>
      </c>
      <c r="D47" s="48" t="s">
        <v>107</v>
      </c>
      <c r="E47" s="30">
        <v>3</v>
      </c>
      <c r="G47" s="274">
        <f>UCB!G44+UCCS!G45+DDC!G44+AMC!G45+SYSTEM!G48</f>
        <v>11.396399490975991</v>
      </c>
      <c r="H47" s="160">
        <f>UCB!H44+UCCS!H45+DDC!H44+AMC!H45+SYSTEM!H48</f>
        <v>1039815.8099999999</v>
      </c>
      <c r="I47" s="274">
        <f>UCB!I44+UCCS!I45+DDC!I44+AMC!I45+SYSTEM!I48</f>
        <v>9.684352008719657</v>
      </c>
      <c r="J47" s="160">
        <f>UCB!J44+UCCS!J45+DDC!J44+AMC!J45+SYSTEM!J48</f>
        <v>1226280.4100000001</v>
      </c>
      <c r="K47" s="274"/>
      <c r="L47" s="274">
        <f>UCB!L44+UCCS!L45+DDC!L44+AMC!L45+SYSTEM!L48</f>
        <v>9.41</v>
      </c>
      <c r="M47" s="160">
        <f>UCB!M44+UCCS!M45+DDC!M44+AMC!M45+SYSTEM!M48</f>
        <v>1083992</v>
      </c>
    </row>
    <row r="48" spans="1:13" ht="12">
      <c r="A48" s="30">
        <v>4</v>
      </c>
      <c r="C48" s="31" t="s">
        <v>12</v>
      </c>
      <c r="D48" s="48" t="s">
        <v>108</v>
      </c>
      <c r="E48" s="30">
        <v>4</v>
      </c>
      <c r="G48" s="274">
        <f>UCB!G45+UCCS!G46+DDC!G45+AMC!G46+SYSTEM!G49</f>
        <v>939.783262336551</v>
      </c>
      <c r="H48" s="160">
        <f>UCB!H45+UCCS!H46+DDC!H45+AMC!H46+SYSTEM!H49</f>
        <v>96798895.69999999</v>
      </c>
      <c r="I48" s="274">
        <f>UCB!I45+UCCS!I46+DDC!I45+AMC!I46+SYSTEM!I49</f>
        <v>979.0356327655431</v>
      </c>
      <c r="J48" s="160">
        <f>UCB!J45+UCCS!J46+DDC!J45+AMC!J46+SYSTEM!J49</f>
        <v>104348806.66</v>
      </c>
      <c r="K48" s="274"/>
      <c r="L48" s="274">
        <f>UCB!L45+UCCS!L46+DDC!L45+AMC!L46+SYSTEM!L49</f>
        <v>986.6493984612184</v>
      </c>
      <c r="M48" s="160">
        <f>UCB!M45+UCCS!M46+DDC!M45+AMC!M46+SYSTEM!M49</f>
        <v>107132999</v>
      </c>
    </row>
    <row r="49" spans="1:13" ht="12">
      <c r="A49" s="30">
        <v>5</v>
      </c>
      <c r="C49" s="31" t="s">
        <v>13</v>
      </c>
      <c r="D49" s="48" t="s">
        <v>109</v>
      </c>
      <c r="E49" s="30">
        <v>5</v>
      </c>
      <c r="G49" s="274">
        <f>UCB!G46+UCCS!G47+DDC!G46+AMC!G47+SYSTEM!G50</f>
        <v>367.88387286889434</v>
      </c>
      <c r="H49" s="160">
        <f>UCB!H46+UCCS!H47+DDC!H46+AMC!H47+SYSTEM!H50</f>
        <v>32146804.399999995</v>
      </c>
      <c r="I49" s="274">
        <f>UCB!I46+UCCS!I47+DDC!I46+AMC!I47+SYSTEM!I50</f>
        <v>374.68844932606027</v>
      </c>
      <c r="J49" s="160">
        <f>UCB!J46+UCCS!J47+DDC!J46+AMC!J47+SYSTEM!J50</f>
        <v>35231070.78</v>
      </c>
      <c r="K49" s="274"/>
      <c r="L49" s="274">
        <f>UCB!L46+UCCS!L47+DDC!L46+AMC!L47+SYSTEM!L50</f>
        <v>366.9225045276798</v>
      </c>
      <c r="M49" s="160">
        <f>UCB!M46+UCCS!M47+DDC!M46+AMC!M47+SYSTEM!M50</f>
        <v>37536293</v>
      </c>
    </row>
    <row r="50" spans="1:13" ht="12">
      <c r="A50" s="30">
        <v>6</v>
      </c>
      <c r="C50" s="31" t="s">
        <v>14</v>
      </c>
      <c r="D50" s="48" t="s">
        <v>110</v>
      </c>
      <c r="E50" s="30">
        <v>6</v>
      </c>
      <c r="G50" s="274">
        <f>UCB!G47+UCCS!G48+DDC!G47+AMC!G48+SYSTEM!G51</f>
        <v>756.6740072911064</v>
      </c>
      <c r="H50" s="160">
        <f>UCB!H47+UCCS!H48+DDC!H47+AMC!H48+SYSTEM!H51</f>
        <v>77142076.78</v>
      </c>
      <c r="I50" s="274">
        <f>UCB!I47+UCCS!I48+DDC!I47+AMC!I48+SYSTEM!I51</f>
        <v>791.3138895638435</v>
      </c>
      <c r="J50" s="160">
        <f>UCB!J47+UCCS!J48+DDC!J47+AMC!J48+SYSTEM!J51</f>
        <v>83905409</v>
      </c>
      <c r="K50" s="274"/>
      <c r="L50" s="274">
        <f>UCB!L47+UCCS!L48+DDC!L47+AMC!L48+SYSTEM!L51</f>
        <v>749.5999999999999</v>
      </c>
      <c r="M50" s="160">
        <f>UCB!M47+UCCS!M48+DDC!M47+AMC!M48+SYSTEM!M51</f>
        <v>84427534</v>
      </c>
    </row>
    <row r="51" spans="1:13" ht="12">
      <c r="A51" s="30">
        <v>7</v>
      </c>
      <c r="C51" s="31" t="s">
        <v>59</v>
      </c>
      <c r="D51" s="48" t="s">
        <v>111</v>
      </c>
      <c r="E51" s="30">
        <v>7</v>
      </c>
      <c r="G51" s="274">
        <f>UCB!G48+UCCS!G49+DDC!G48+AMC!G49+SYSTEM!G52</f>
        <v>701.6945098784909</v>
      </c>
      <c r="H51" s="160">
        <f>UCB!H48+UCCS!H49+DDC!H48+AMC!H49+SYSTEM!H52</f>
        <v>80739861.16</v>
      </c>
      <c r="I51" s="274">
        <f>UCB!I48+UCCS!I49+DDC!I48+AMC!I49+SYSTEM!I52</f>
        <v>714.6528467293913</v>
      </c>
      <c r="J51" s="160">
        <f>UCB!J48+UCCS!J49+DDC!J48+AMC!J49+SYSTEM!J52</f>
        <v>85282536.99000001</v>
      </c>
      <c r="K51" s="274"/>
      <c r="L51" s="274">
        <f>UCB!L48+UCCS!L49+DDC!L48+AMC!L49+SYSTEM!L52</f>
        <v>705.8000000000001</v>
      </c>
      <c r="M51" s="160">
        <f>UCB!M48+UCCS!M49+DDC!M48+AMC!M49+SYSTEM!M52</f>
        <v>88929582</v>
      </c>
    </row>
    <row r="52" spans="1:13" ht="12">
      <c r="A52" s="30">
        <v>8</v>
      </c>
      <c r="C52" s="31" t="s">
        <v>15</v>
      </c>
      <c r="D52" s="48" t="s">
        <v>112</v>
      </c>
      <c r="E52" s="30">
        <v>8</v>
      </c>
      <c r="G52" s="274">
        <f>UCB!G49+UCCS!G50+DDC!G49+AMC!G50+SYSTEM!G53</f>
        <v>0</v>
      </c>
      <c r="H52" s="160">
        <f>UCB!H49+UCCS!H50+DDC!H49+AMC!H50+SYSTEM!H53</f>
        <v>41036617.11</v>
      </c>
      <c r="I52" s="274">
        <f>UCB!I49+UCCS!I50+DDC!I49+AMC!I50+SYSTEM!I53</f>
        <v>0</v>
      </c>
      <c r="J52" s="160">
        <f>UCB!J49+UCCS!J50+DDC!J49+AMC!J50+SYSTEM!J53</f>
        <v>47353382.85</v>
      </c>
      <c r="K52" s="274"/>
      <c r="L52" s="274">
        <f>UCB!L49+UCCS!L50+DDC!L49+AMC!L50+SYSTEM!L53</f>
        <v>0</v>
      </c>
      <c r="M52" s="160">
        <f>UCB!M49+UCCS!M50+DDC!M49+AMC!M50+SYSTEM!M53</f>
        <v>50751435</v>
      </c>
    </row>
    <row r="53" spans="1:13" ht="12">
      <c r="A53" s="30">
        <v>9</v>
      </c>
      <c r="C53" s="31" t="s">
        <v>89</v>
      </c>
      <c r="D53" s="48" t="s">
        <v>113</v>
      </c>
      <c r="E53" s="30">
        <v>9</v>
      </c>
      <c r="G53" s="274">
        <f>UCB!G50+UCCS!G51+DDC!G50+AMC!G51+SYSTEM!G54</f>
        <v>0</v>
      </c>
      <c r="H53" s="160">
        <f>UCB!H50+UCCS!H51+DDC!H50+AMC!H51+SYSTEM!H54</f>
        <v>6604</v>
      </c>
      <c r="I53" s="274">
        <f>UCB!I50+UCCS!I51+DDC!I50+AMC!I51+SYSTEM!I54</f>
        <v>0</v>
      </c>
      <c r="J53" s="160">
        <f>UCB!J50+UCCS!J51+DDC!J50+AMC!J51+SYSTEM!J54</f>
        <v>17562</v>
      </c>
      <c r="K53" s="274"/>
      <c r="L53" s="274">
        <f>UCB!L50+UCCS!L51+DDC!L50+AMC!L51+SYSTEM!L54</f>
        <v>0</v>
      </c>
      <c r="M53" s="160">
        <f>UCB!M50+UCCS!M51+DDC!M50+AMC!M51+SYSTEM!M54</f>
        <v>0</v>
      </c>
    </row>
    <row r="54" spans="1:13" ht="12">
      <c r="A54" s="30">
        <v>10</v>
      </c>
      <c r="C54" s="31" t="s">
        <v>16</v>
      </c>
      <c r="D54" s="48" t="s">
        <v>88</v>
      </c>
      <c r="E54" s="30">
        <v>10</v>
      </c>
      <c r="G54" s="274">
        <f>UCB!G51+UCCS!G52+DDC!G51+AMC!G52+SYSTEM!G55</f>
        <v>0</v>
      </c>
      <c r="H54" s="160">
        <f>UCB!H51+UCCS!H52+DDC!H51+AMC!H52+SYSTEM!H55</f>
        <v>118070816.39999999</v>
      </c>
      <c r="I54" s="274">
        <f>UCB!I51+UCCS!I52+DDC!I51+AMC!I52+SYSTEM!I55</f>
        <v>0</v>
      </c>
      <c r="J54" s="160">
        <f>UCB!J51+UCCS!J52+DDC!J51+AMC!J52+SYSTEM!J55</f>
        <v>137743931.1</v>
      </c>
      <c r="K54" s="274"/>
      <c r="L54" s="274">
        <f>UCB!L51+UCCS!L52+DDC!L51+AMC!L52+SYSTEM!L55</f>
        <v>0</v>
      </c>
      <c r="M54" s="160">
        <f>UCB!M51+UCCS!M52+DDC!M51+AMC!M52+SYSTEM!M55</f>
        <v>128815368</v>
      </c>
    </row>
    <row r="55" spans="1:13" ht="12">
      <c r="A55" s="30"/>
      <c r="C55" s="31"/>
      <c r="D55" s="48"/>
      <c r="E55" s="30"/>
      <c r="F55" s="40" t="s">
        <v>1</v>
      </c>
      <c r="G55" s="41"/>
      <c r="H55" s="42"/>
      <c r="I55" s="41" t="s">
        <v>1</v>
      </c>
      <c r="J55" s="42"/>
      <c r="K55" s="51"/>
      <c r="L55" s="41"/>
      <c r="M55" s="42"/>
    </row>
    <row r="56" spans="1:13" ht="15" customHeight="1">
      <c r="A56" s="26">
        <v>11</v>
      </c>
      <c r="C56" s="31" t="s">
        <v>221</v>
      </c>
      <c r="E56" s="26">
        <v>11</v>
      </c>
      <c r="G56" s="274">
        <f>SUM(G45:G54)</f>
        <v>6682.7122410285965</v>
      </c>
      <c r="H56" s="160">
        <f>SUM(H45:H54)</f>
        <v>841973407.79</v>
      </c>
      <c r="I56" s="45">
        <f>SUM(I45:I54)</f>
        <v>6883.524477813636</v>
      </c>
      <c r="J56" s="46">
        <f>SUM(J45:J54)</f>
        <v>933052931.96</v>
      </c>
      <c r="K56" s="49"/>
      <c r="L56" s="45">
        <f>SUM(L45:L54)</f>
        <v>6920.866384951482</v>
      </c>
      <c r="M56" s="46">
        <f>SUM(M45:M54)</f>
        <v>951103576</v>
      </c>
    </row>
    <row r="57" spans="1:13" ht="12">
      <c r="A57" s="30"/>
      <c r="E57" s="30"/>
      <c r="F57" s="40" t="s">
        <v>1</v>
      </c>
      <c r="G57" s="41"/>
      <c r="H57" s="42"/>
      <c r="I57" s="41" t="s">
        <v>1</v>
      </c>
      <c r="J57" s="42"/>
      <c r="K57" s="51"/>
      <c r="L57" s="41"/>
      <c r="M57" s="42"/>
    </row>
    <row r="58" spans="1:13" ht="12">
      <c r="A58" s="30"/>
      <c r="E58" s="30"/>
      <c r="F58" s="40"/>
      <c r="G58" s="41"/>
      <c r="H58" s="42"/>
      <c r="I58" s="36"/>
      <c r="J58" s="42"/>
      <c r="K58" s="51"/>
      <c r="L58" s="36"/>
      <c r="M58" s="42"/>
    </row>
    <row r="59" spans="1:13" ht="12">
      <c r="A59" s="26">
        <v>12</v>
      </c>
      <c r="C59" s="31" t="s">
        <v>17</v>
      </c>
      <c r="E59" s="26">
        <v>12</v>
      </c>
      <c r="G59" s="274"/>
      <c r="H59" s="160"/>
      <c r="I59" s="67"/>
      <c r="J59" s="46"/>
      <c r="K59" s="49"/>
      <c r="L59" s="45"/>
      <c r="M59" s="46"/>
    </row>
    <row r="60" spans="1:14" ht="12">
      <c r="A60" s="30">
        <v>13</v>
      </c>
      <c r="C60" s="31" t="s">
        <v>196</v>
      </c>
      <c r="D60" s="48" t="s">
        <v>218</v>
      </c>
      <c r="E60" s="30">
        <v>13</v>
      </c>
      <c r="G60" s="274">
        <f>UCB!G56+UCCS!G58+DDC!G57+AMC!G58+SYSTEM!G61</f>
        <v>0</v>
      </c>
      <c r="H60" s="121">
        <f>UCB!H56+UCCS!H58+DDC!H57+AMC!H58+SYSTEM!H61</f>
        <v>8511345</v>
      </c>
      <c r="I60" s="274">
        <f>UCB!I56+UCCS!I58+DDC!I57+AMC!I58+SYSTEM!I61</f>
        <v>0</v>
      </c>
      <c r="J60" s="160">
        <f>UCB!J56+UCCS!J58+DDC!J57+AMC!J58+SYSTEM!J61</f>
        <v>17997300</v>
      </c>
      <c r="K60" s="274"/>
      <c r="L60" s="274">
        <f>UCB!L56+UCCS!L58+DDC!L57+AMC!L58+SYSTEM!L61</f>
        <v>0</v>
      </c>
      <c r="M60" s="160">
        <f>UCB!M56+UCCS!M58+DDC!M57+AMC!M58+SYSTEM!M61</f>
        <v>17150000</v>
      </c>
      <c r="N60" s="28"/>
    </row>
    <row r="61" spans="1:14" ht="12">
      <c r="A61" s="30">
        <v>14</v>
      </c>
      <c r="C61" s="31" t="s">
        <v>197</v>
      </c>
      <c r="D61" s="48" t="s">
        <v>219</v>
      </c>
      <c r="E61" s="30">
        <v>14</v>
      </c>
      <c r="G61" s="274">
        <f>UCB!G57+UCCS!G59+DDC!G58+AMC!G59+SYSTEM!G62</f>
        <v>0</v>
      </c>
      <c r="H61" s="121">
        <f>UCB!H57+UCCS!H59+DDC!H58+AMC!H59+SYSTEM!H62</f>
        <v>121334100</v>
      </c>
      <c r="I61" s="274">
        <f>UCB!I57+UCCS!I59+DDC!I58+AMC!I59+SYSTEM!I62</f>
        <v>0</v>
      </c>
      <c r="J61" s="160">
        <f>UCB!J57+UCCS!J59+DDC!J58+AMC!J59+SYSTEM!J62</f>
        <v>101940267.66</v>
      </c>
      <c r="K61" s="274"/>
      <c r="L61" s="274">
        <f>UCB!L57+UCCS!L59+DDC!L58+AMC!L59+SYSTEM!L62</f>
        <v>0</v>
      </c>
      <c r="M61" s="160">
        <f>UCB!M57+UCCS!M59+DDC!M58+AMC!M59+SYSTEM!M62</f>
        <v>75349732</v>
      </c>
      <c r="N61" s="28"/>
    </row>
    <row r="62" spans="1:13" ht="12">
      <c r="A62" s="30">
        <v>15</v>
      </c>
      <c r="C62" s="31" t="s">
        <v>215</v>
      </c>
      <c r="D62" s="48"/>
      <c r="E62" s="30">
        <v>15</v>
      </c>
      <c r="G62" s="274">
        <f>UCB!G58+UCCS!G60+DDC!G59+AMC!G60+SYSTEM!G63</f>
        <v>0</v>
      </c>
      <c r="H62" s="121">
        <f>UCB!H58+UCCS!H60+DDC!H59+AMC!H60+SYSTEM!H63</f>
        <v>73634091.5</v>
      </c>
      <c r="I62" s="274">
        <f>UCB!I58+UCCS!I60+DDC!I59+AMC!I60+SYSTEM!I63</f>
        <v>0</v>
      </c>
      <c r="J62" s="160">
        <f>UCB!J58+UCCS!J60+DDC!J59+AMC!J60+SYSTEM!J63</f>
        <v>57163715</v>
      </c>
      <c r="K62" s="274"/>
      <c r="L62" s="274">
        <f>UCB!L58+UCCS!L60+DDC!L59+AMC!L60+SYSTEM!L63</f>
        <v>0</v>
      </c>
      <c r="M62" s="160">
        <f>UCB!M58+UCCS!M60+DDC!M59+AMC!M60+SYSTEM!M63</f>
        <v>53841950</v>
      </c>
    </row>
    <row r="63" spans="1:17" ht="12">
      <c r="A63" s="30">
        <v>16</v>
      </c>
      <c r="C63" s="31" t="s">
        <v>214</v>
      </c>
      <c r="D63" s="48"/>
      <c r="E63" s="30">
        <v>16</v>
      </c>
      <c r="G63" s="274">
        <f>UCB!G59+UCCS!G61+DDC!G60+AMC!G61+SYSTEM!G64</f>
        <v>27996.73</v>
      </c>
      <c r="H63" s="121">
        <f>UCB!H59+UCCS!H61+DDC!H60+AMC!H61+SYSTEM!H64</f>
        <v>176419382.23000002</v>
      </c>
      <c r="I63" s="274">
        <f>UCB!I59+UCCS!I61+DDC!I60+AMC!I61+SYSTEM!I64</f>
        <v>28396.449999999997</v>
      </c>
      <c r="J63" s="160">
        <f>UCB!J59+UCCS!J61+DDC!J60+AMC!J61+SYSTEM!J64</f>
        <v>192746197.01</v>
      </c>
      <c r="K63" s="274"/>
      <c r="L63" s="274">
        <f>UCB!L59+UCCS!L61+DDC!L60+AMC!L61+SYSTEM!L64</f>
        <v>28994.6</v>
      </c>
      <c r="M63" s="160">
        <f>UCB!M59+UCCS!M61+DDC!M60+AMC!M61+SYSTEM!M64</f>
        <v>207117558</v>
      </c>
      <c r="Q63" s="28"/>
    </row>
    <row r="64" spans="1:256" ht="12">
      <c r="A64" s="48">
        <v>17</v>
      </c>
      <c r="B64" s="48"/>
      <c r="C64" s="52" t="s">
        <v>216</v>
      </c>
      <c r="D64" s="48"/>
      <c r="E64" s="48">
        <v>17</v>
      </c>
      <c r="F64" s="48"/>
      <c r="G64" s="274">
        <f>UCB!G60+UCCS!G62+DDC!G61+AMC!G62+SYSTEM!G65</f>
        <v>35559.399999999994</v>
      </c>
      <c r="H64" s="121">
        <f>UCB!H60+UCCS!H62+DDC!H61+AMC!H62+SYSTEM!H65</f>
        <v>250053473.73000002</v>
      </c>
      <c r="I64" s="274">
        <f>UCB!I60+UCCS!I62+DDC!I61+AMC!I62+SYSTEM!I65</f>
        <v>37098.65</v>
      </c>
      <c r="J64" s="160">
        <f>UCB!J60+UCCS!J62+DDC!J61+AMC!J62+SYSTEM!J65</f>
        <v>249909912.01</v>
      </c>
      <c r="K64" s="274"/>
      <c r="L64" s="274">
        <f>UCB!L60+UCCS!L62+DDC!L61+AMC!L62+SYSTEM!L65</f>
        <v>29450.120000000003</v>
      </c>
      <c r="M64" s="160">
        <f>UCB!M60+UCCS!M62+DDC!M61+AMC!M62+SYSTEM!M65</f>
        <v>260959508</v>
      </c>
      <c r="N64" s="48"/>
      <c r="O64" s="52"/>
      <c r="P64" s="48"/>
      <c r="Q64" s="52"/>
      <c r="R64" s="48"/>
      <c r="S64" s="52"/>
      <c r="T64" s="48"/>
      <c r="U64" s="52"/>
      <c r="V64" s="48"/>
      <c r="W64" s="52"/>
      <c r="X64" s="48"/>
      <c r="Y64" s="52"/>
      <c r="Z64" s="48"/>
      <c r="AA64" s="52"/>
      <c r="AB64" s="48"/>
      <c r="AC64" s="52"/>
      <c r="AD64" s="48"/>
      <c r="AE64" s="52"/>
      <c r="AF64" s="48"/>
      <c r="AG64" s="52"/>
      <c r="AH64" s="48"/>
      <c r="AI64" s="52"/>
      <c r="AJ64" s="48"/>
      <c r="AK64" s="52"/>
      <c r="AL64" s="48"/>
      <c r="AM64" s="52"/>
      <c r="AN64" s="48"/>
      <c r="AO64" s="52"/>
      <c r="AP64" s="48"/>
      <c r="AQ64" s="52"/>
      <c r="AR64" s="48"/>
      <c r="AS64" s="52"/>
      <c r="AT64" s="48"/>
      <c r="AU64" s="52"/>
      <c r="AV64" s="48"/>
      <c r="AW64" s="52"/>
      <c r="AX64" s="48"/>
      <c r="AY64" s="52"/>
      <c r="AZ64" s="48"/>
      <c r="BA64" s="52"/>
      <c r="BB64" s="48"/>
      <c r="BC64" s="52"/>
      <c r="BD64" s="48"/>
      <c r="BE64" s="52"/>
      <c r="BF64" s="48"/>
      <c r="BG64" s="52"/>
      <c r="BH64" s="48"/>
      <c r="BI64" s="52"/>
      <c r="BJ64" s="48"/>
      <c r="BK64" s="52"/>
      <c r="BL64" s="48"/>
      <c r="BM64" s="52"/>
      <c r="BN64" s="48"/>
      <c r="BO64" s="52"/>
      <c r="BP64" s="48"/>
      <c r="BQ64" s="52"/>
      <c r="BR64" s="48"/>
      <c r="BS64" s="52"/>
      <c r="BT64" s="48"/>
      <c r="BU64" s="52"/>
      <c r="BV64" s="48"/>
      <c r="BW64" s="52"/>
      <c r="BX64" s="48"/>
      <c r="BY64" s="52"/>
      <c r="BZ64" s="48"/>
      <c r="CA64" s="52"/>
      <c r="CB64" s="48"/>
      <c r="CC64" s="52"/>
      <c r="CD64" s="48"/>
      <c r="CE64" s="52"/>
      <c r="CF64" s="48"/>
      <c r="CG64" s="52"/>
      <c r="CH64" s="48"/>
      <c r="CI64" s="52"/>
      <c r="CJ64" s="48"/>
      <c r="CK64" s="52"/>
      <c r="CL64" s="48"/>
      <c r="CM64" s="52"/>
      <c r="CN64" s="48"/>
      <c r="CO64" s="52"/>
      <c r="CP64" s="48"/>
      <c r="CQ64" s="52"/>
      <c r="CR64" s="48"/>
      <c r="CS64" s="52"/>
      <c r="CT64" s="48"/>
      <c r="CU64" s="52"/>
      <c r="CV64" s="48"/>
      <c r="CW64" s="52"/>
      <c r="CX64" s="48"/>
      <c r="CY64" s="52"/>
      <c r="CZ64" s="48"/>
      <c r="DA64" s="52"/>
      <c r="DB64" s="48"/>
      <c r="DC64" s="52"/>
      <c r="DD64" s="48"/>
      <c r="DE64" s="52"/>
      <c r="DF64" s="48"/>
      <c r="DG64" s="52"/>
      <c r="DH64" s="48"/>
      <c r="DI64" s="52"/>
      <c r="DJ64" s="48"/>
      <c r="DK64" s="52"/>
      <c r="DL64" s="48"/>
      <c r="DM64" s="52"/>
      <c r="DN64" s="48"/>
      <c r="DO64" s="52"/>
      <c r="DP64" s="48"/>
      <c r="DQ64" s="52"/>
      <c r="DR64" s="48"/>
      <c r="DS64" s="52"/>
      <c r="DT64" s="48"/>
      <c r="DU64" s="52"/>
      <c r="DV64" s="48"/>
      <c r="DW64" s="52"/>
      <c r="DX64" s="48"/>
      <c r="DY64" s="52"/>
      <c r="DZ64" s="48"/>
      <c r="EA64" s="52"/>
      <c r="EB64" s="48"/>
      <c r="EC64" s="52"/>
      <c r="ED64" s="48"/>
      <c r="EE64" s="52"/>
      <c r="EF64" s="48"/>
      <c r="EG64" s="52"/>
      <c r="EH64" s="48"/>
      <c r="EI64" s="52"/>
      <c r="EJ64" s="48"/>
      <c r="EK64" s="52"/>
      <c r="EL64" s="48"/>
      <c r="EM64" s="52"/>
      <c r="EN64" s="48"/>
      <c r="EO64" s="52"/>
      <c r="EP64" s="48"/>
      <c r="EQ64" s="52"/>
      <c r="ER64" s="48"/>
      <c r="ES64" s="52"/>
      <c r="ET64" s="48"/>
      <c r="EU64" s="52"/>
      <c r="EV64" s="48"/>
      <c r="EW64" s="52"/>
      <c r="EX64" s="48"/>
      <c r="EY64" s="52"/>
      <c r="EZ64" s="48"/>
      <c r="FA64" s="52"/>
      <c r="FB64" s="48"/>
      <c r="FC64" s="52"/>
      <c r="FD64" s="48"/>
      <c r="FE64" s="52"/>
      <c r="FF64" s="48"/>
      <c r="FG64" s="52"/>
      <c r="FH64" s="48"/>
      <c r="FI64" s="52"/>
      <c r="FJ64" s="48"/>
      <c r="FK64" s="52"/>
      <c r="FL64" s="48"/>
      <c r="FM64" s="52"/>
      <c r="FN64" s="48"/>
      <c r="FO64" s="52"/>
      <c r="FP64" s="48"/>
      <c r="FQ64" s="52"/>
      <c r="FR64" s="48"/>
      <c r="FS64" s="52"/>
      <c r="FT64" s="48"/>
      <c r="FU64" s="52"/>
      <c r="FV64" s="48"/>
      <c r="FW64" s="52"/>
      <c r="FX64" s="48"/>
      <c r="FY64" s="52"/>
      <c r="FZ64" s="48"/>
      <c r="GA64" s="52"/>
      <c r="GB64" s="48"/>
      <c r="GC64" s="52"/>
      <c r="GD64" s="48"/>
      <c r="GE64" s="52"/>
      <c r="GF64" s="48"/>
      <c r="GG64" s="52"/>
      <c r="GH64" s="48"/>
      <c r="GI64" s="52"/>
      <c r="GJ64" s="48"/>
      <c r="GK64" s="52"/>
      <c r="GL64" s="48"/>
      <c r="GM64" s="52"/>
      <c r="GN64" s="48"/>
      <c r="GO64" s="52"/>
      <c r="GP64" s="48"/>
      <c r="GQ64" s="52"/>
      <c r="GR64" s="48"/>
      <c r="GS64" s="52"/>
      <c r="GT64" s="48"/>
      <c r="GU64" s="52"/>
      <c r="GV64" s="48"/>
      <c r="GW64" s="52"/>
      <c r="GX64" s="48"/>
      <c r="GY64" s="52"/>
      <c r="GZ64" s="48"/>
      <c r="HA64" s="52"/>
      <c r="HB64" s="48"/>
      <c r="HC64" s="52"/>
      <c r="HD64" s="48"/>
      <c r="HE64" s="52"/>
      <c r="HF64" s="48"/>
      <c r="HG64" s="52"/>
      <c r="HH64" s="48"/>
      <c r="HI64" s="52"/>
      <c r="HJ64" s="48"/>
      <c r="HK64" s="52"/>
      <c r="HL64" s="48"/>
      <c r="HM64" s="52"/>
      <c r="HN64" s="48"/>
      <c r="HO64" s="52"/>
      <c r="HP64" s="48"/>
      <c r="HQ64" s="52"/>
      <c r="HR64" s="48"/>
      <c r="HS64" s="52"/>
      <c r="HT64" s="48"/>
      <c r="HU64" s="52"/>
      <c r="HV64" s="48"/>
      <c r="HW64" s="52"/>
      <c r="HX64" s="48"/>
      <c r="HY64" s="52"/>
      <c r="HZ64" s="48"/>
      <c r="IA64" s="52"/>
      <c r="IB64" s="48"/>
      <c r="IC64" s="52"/>
      <c r="ID64" s="48"/>
      <c r="IE64" s="52"/>
      <c r="IF64" s="48"/>
      <c r="IG64" s="52"/>
      <c r="IH64" s="48"/>
      <c r="II64" s="52"/>
      <c r="IJ64" s="48"/>
      <c r="IK64" s="52"/>
      <c r="IL64" s="48"/>
      <c r="IM64" s="52"/>
      <c r="IN64" s="48"/>
      <c r="IO64" s="52"/>
      <c r="IP64" s="48"/>
      <c r="IQ64" s="52"/>
      <c r="IR64" s="48"/>
      <c r="IS64" s="52"/>
      <c r="IT64" s="48"/>
      <c r="IU64" s="52"/>
      <c r="IV64" s="48"/>
    </row>
    <row r="65" spans="1:13" ht="12">
      <c r="A65" s="30">
        <v>18</v>
      </c>
      <c r="C65" s="31" t="s">
        <v>217</v>
      </c>
      <c r="D65" s="48"/>
      <c r="E65" s="30">
        <v>18</v>
      </c>
      <c r="G65" s="274">
        <f>UCB!G61+UCCS!G63+DDC!G62+AMC!G63+SYSTEM!G66</f>
        <v>6723.9</v>
      </c>
      <c r="H65" s="121">
        <f>UCB!H61+UCCS!H63+DDC!H62+AMC!H63+SYSTEM!H66</f>
        <v>77740401.67</v>
      </c>
      <c r="I65" s="274">
        <f>UCB!I61+UCCS!I63+DDC!I62+AMC!I63+SYSTEM!I66</f>
        <v>6782.4400000000005</v>
      </c>
      <c r="J65" s="160">
        <f>UCB!J61+UCCS!J63+DDC!J62+AMC!J63+SYSTEM!J66</f>
        <v>83646415.19</v>
      </c>
      <c r="K65" s="274"/>
      <c r="L65" s="274">
        <f>UCB!L61+UCCS!L63+DDC!L62+AMC!L63+SYSTEM!L66</f>
        <v>6696.64</v>
      </c>
      <c r="M65" s="160">
        <f>UCB!M61+UCCS!M63+DDC!M62+AMC!M63+SYSTEM!M66</f>
        <v>88953514</v>
      </c>
    </row>
    <row r="66" spans="1:13" ht="12">
      <c r="A66" s="30">
        <v>19</v>
      </c>
      <c r="C66" s="31" t="s">
        <v>182</v>
      </c>
      <c r="D66" s="48"/>
      <c r="E66" s="30">
        <v>19</v>
      </c>
      <c r="G66" s="274">
        <f>UCB!G62+UCCS!G64+DDC!G63+AMC!G64+SYSTEM!G67</f>
        <v>9912.57</v>
      </c>
      <c r="H66" s="121">
        <f>UCB!H62+UCCS!H64+DDC!H63+AMC!H64+SYSTEM!H67</f>
        <v>236246456.86</v>
      </c>
      <c r="I66" s="274">
        <f>UCB!I62+UCCS!I64+DDC!I63+AMC!I64+SYSTEM!I67</f>
        <v>10931.45</v>
      </c>
      <c r="J66" s="160">
        <f>UCB!J62+UCCS!J64+DDC!J63+AMC!J64+SYSTEM!J67</f>
        <v>272305684.67</v>
      </c>
      <c r="K66" s="274"/>
      <c r="L66" s="274">
        <f>UCB!L62+UCCS!L64+DDC!L63+AMC!L64+SYSTEM!L67</f>
        <v>10713.72</v>
      </c>
      <c r="M66" s="160">
        <f>UCB!M62+UCCS!M64+DDC!M63+AMC!M64+SYSTEM!M67</f>
        <v>278343247</v>
      </c>
    </row>
    <row r="67" spans="1:13" ht="12">
      <c r="A67" s="30">
        <v>20</v>
      </c>
      <c r="C67" s="31" t="s">
        <v>159</v>
      </c>
      <c r="D67" s="48"/>
      <c r="E67" s="30">
        <v>20</v>
      </c>
      <c r="G67" s="274">
        <f>UCB!G63+UCCS!G65+DDC!G64+AMC!G65+SYSTEM!G68</f>
        <v>44633.2</v>
      </c>
      <c r="H67" s="121">
        <f>UCB!H63+UCCS!H65+DDC!H64+AMC!H65+SYSTEM!H68</f>
        <v>564040332.26</v>
      </c>
      <c r="I67" s="274">
        <f>UCB!I63+UCCS!I65+DDC!I64+AMC!I65+SYSTEM!I68</f>
        <v>46545.34</v>
      </c>
      <c r="J67" s="160">
        <f>UCB!J63+UCCS!J65+DDC!J64+AMC!J65+SYSTEM!J68</f>
        <v>605862011.87</v>
      </c>
      <c r="K67" s="274"/>
      <c r="L67" s="274">
        <f>UCB!L63+UCCS!L65+DDC!L64+AMC!L65+SYSTEM!L68</f>
        <v>46860.48</v>
      </c>
      <c r="M67" s="160">
        <f>UCB!M63+UCCS!M65+DDC!M64+AMC!M65+SYSTEM!M68</f>
        <v>628256269</v>
      </c>
    </row>
    <row r="68" spans="1:13" ht="12">
      <c r="A68" s="175" t="s">
        <v>577</v>
      </c>
      <c r="B68" s="174"/>
      <c r="C68" s="31" t="s">
        <v>578</v>
      </c>
      <c r="D68" s="175" t="s">
        <v>295</v>
      </c>
      <c r="E68" s="175" t="s">
        <v>577</v>
      </c>
      <c r="G68" s="274">
        <f>UCB!G64+UCCS!G66+DDC!G65+AMC!G66+SYSTEM!G69</f>
        <v>0</v>
      </c>
      <c r="H68" s="121">
        <f>UCB!H64+UCCS!H66+DDC!H65+AMC!H66+SYSTEM!H69</f>
        <v>5636999</v>
      </c>
      <c r="I68" s="274">
        <f>UCB!I64+UCCS!I66+DDC!I65+AMC!I66+SYSTEM!I69</f>
        <v>0</v>
      </c>
      <c r="J68" s="160">
        <f>UCB!J64+UCCS!J66+DDC!J65+AMC!J66+SYSTEM!J69</f>
        <v>14942728.4</v>
      </c>
      <c r="K68" s="274"/>
      <c r="L68" s="274">
        <f>UCB!L64+UCCS!L66+DDC!L65+AMC!L66+SYSTEM!L69</f>
        <v>0</v>
      </c>
      <c r="M68" s="160">
        <f>UCB!M64+UCCS!M66+DDC!M65+AMC!M66+SYSTEM!M69</f>
        <v>28914608</v>
      </c>
    </row>
    <row r="69" spans="1:15" ht="12">
      <c r="A69" s="175" t="s">
        <v>579</v>
      </c>
      <c r="B69" s="174"/>
      <c r="C69" s="31" t="s">
        <v>580</v>
      </c>
      <c r="D69" s="169" t="s">
        <v>660</v>
      </c>
      <c r="E69" s="175" t="s">
        <v>579</v>
      </c>
      <c r="G69" s="274">
        <f>UCB!G65+UCCS!G67+DDC!G66+AMC!G67+SYSTEM!G70</f>
        <v>0</v>
      </c>
      <c r="H69" s="121">
        <f>UCB!H65+UCCS!H67+DDC!H66+AMC!H67+SYSTEM!H70</f>
        <v>0</v>
      </c>
      <c r="I69" s="274">
        <f>UCB!I65+UCCS!I67+DDC!I66+AMC!I67+SYSTEM!I70</f>
        <v>0</v>
      </c>
      <c r="J69" s="160">
        <f>UCB!J65+UCCS!J67+DDC!J66+AMC!J67+SYSTEM!J70</f>
        <v>49995466</v>
      </c>
      <c r="K69" s="274"/>
      <c r="L69" s="274">
        <f>UCB!L65+UCCS!L67+DDC!L66+AMC!L67+SYSTEM!L70</f>
        <v>0</v>
      </c>
      <c r="M69" s="160">
        <f>UCB!M65+UCCS!M67+DDC!M66+AMC!M67+SYSTEM!M70</f>
        <v>79908298</v>
      </c>
      <c r="N69" s="28">
        <f>M69-J69</f>
        <v>29912832</v>
      </c>
      <c r="O69" s="28"/>
    </row>
    <row r="70" spans="1:13" ht="12">
      <c r="A70" s="30">
        <v>22</v>
      </c>
      <c r="C70" s="53"/>
      <c r="E70" s="30">
        <v>22</v>
      </c>
      <c r="F70" s="40" t="s">
        <v>1</v>
      </c>
      <c r="G70" s="40"/>
      <c r="H70" s="42"/>
      <c r="I70" s="41"/>
      <c r="J70" s="42"/>
      <c r="K70" s="51"/>
      <c r="L70" s="41"/>
      <c r="M70" s="42"/>
    </row>
    <row r="71" spans="1:14" ht="12">
      <c r="A71" s="30">
        <v>23</v>
      </c>
      <c r="C71" s="26" t="s">
        <v>186</v>
      </c>
      <c r="D71" s="54"/>
      <c r="E71" s="30">
        <v>23</v>
      </c>
      <c r="F71" s="55"/>
      <c r="G71" s="56"/>
      <c r="H71" s="46">
        <f>UCB!H67+UCCS!H69+DDC!H68+AMC!H69+SYSTEM!H72</f>
        <v>699522776.26</v>
      </c>
      <c r="I71" s="46"/>
      <c r="J71" s="46">
        <f>UCB!J67+UCCS!J69+DDC!J68+AMC!J69+SYSTEM!J72</f>
        <v>790737773.93</v>
      </c>
      <c r="K71" s="46"/>
      <c r="L71" s="46"/>
      <c r="M71" s="46">
        <f>UCB!M67+UCCS!M69+DDC!M68+AMC!M69+SYSTEM!M72</f>
        <v>829578907</v>
      </c>
      <c r="N71" s="46"/>
    </row>
    <row r="72" spans="1:12" ht="12">
      <c r="A72" s="30">
        <v>24</v>
      </c>
      <c r="C72" s="53"/>
      <c r="D72" s="31"/>
      <c r="E72" s="30">
        <v>24</v>
      </c>
      <c r="H72" s="46"/>
      <c r="L72" s="28"/>
    </row>
    <row r="73" spans="1:13" ht="12">
      <c r="A73" s="30">
        <v>25</v>
      </c>
      <c r="C73" s="31" t="s">
        <v>190</v>
      </c>
      <c r="D73" s="48"/>
      <c r="E73" s="30">
        <v>25</v>
      </c>
      <c r="G73" s="49"/>
      <c r="H73" s="46">
        <f>UCB!H69+UCCS!H71+DDC!H70+AMC!H71+SYSTEM!H74</f>
        <v>142450632.2</v>
      </c>
      <c r="I73" s="46"/>
      <c r="J73" s="46">
        <f>UCB!J69+UCCS!J71+DDC!J70+AMC!J71+SYSTEM!J74</f>
        <v>142315153.88</v>
      </c>
      <c r="K73" s="46"/>
      <c r="L73" s="46"/>
      <c r="M73" s="46">
        <f>UCB!M69+UCCS!M71+DDC!M70+AMC!M71+SYSTEM!M74</f>
        <v>121524669</v>
      </c>
    </row>
    <row r="74" spans="1:13" ht="12">
      <c r="A74" s="26">
        <v>26</v>
      </c>
      <c r="E74" s="26">
        <v>26</v>
      </c>
      <c r="F74" s="40" t="s">
        <v>1</v>
      </c>
      <c r="G74" s="40"/>
      <c r="H74" s="42"/>
      <c r="I74" s="41"/>
      <c r="J74" s="42"/>
      <c r="K74" s="51"/>
      <c r="L74" s="41"/>
      <c r="M74" s="42"/>
    </row>
    <row r="75" spans="1:13" ht="15" customHeight="1">
      <c r="A75" s="30">
        <v>27</v>
      </c>
      <c r="C75" s="31" t="s">
        <v>222</v>
      </c>
      <c r="E75" s="30">
        <v>27</v>
      </c>
      <c r="F75" s="24"/>
      <c r="G75" s="50"/>
      <c r="H75" s="46">
        <f>SUM(H71,H73)</f>
        <v>841973408.46</v>
      </c>
      <c r="I75" s="50"/>
      <c r="J75" s="46">
        <f>SUM(J71,J73)</f>
        <v>933052927.81</v>
      </c>
      <c r="K75" s="50"/>
      <c r="L75" s="50"/>
      <c r="M75" s="46">
        <f>SUM(M71,M73)</f>
        <v>951103576</v>
      </c>
    </row>
    <row r="76" spans="6:13" ht="12">
      <c r="F76" s="40"/>
      <c r="G76" s="40"/>
      <c r="H76" s="40"/>
      <c r="I76" s="41"/>
      <c r="J76" s="42"/>
      <c r="K76" s="51"/>
      <c r="L76" s="41"/>
      <c r="M76" s="42"/>
    </row>
    <row r="77" spans="1:13" ht="12">
      <c r="A77" s="57"/>
      <c r="B77" s="57"/>
      <c r="C77" s="57" t="s">
        <v>90</v>
      </c>
      <c r="D77" s="58"/>
      <c r="E77" s="57"/>
      <c r="F77" s="59"/>
      <c r="G77" s="59"/>
      <c r="H77" s="59"/>
      <c r="I77" s="60"/>
      <c r="J77" s="61"/>
      <c r="K77" s="62"/>
      <c r="L77" s="60"/>
      <c r="M77" s="63"/>
    </row>
    <row r="78" spans="1:6" s="161" customFormat="1" ht="12">
      <c r="A78" s="169" t="s">
        <v>573</v>
      </c>
      <c r="B78" s="169"/>
      <c r="E78" s="184"/>
      <c r="F78" s="184"/>
    </row>
    <row r="79" s="161" customFormat="1" ht="12">
      <c r="H79" s="192"/>
    </row>
    <row r="80" ht="12">
      <c r="A80" s="65"/>
    </row>
    <row r="81" spans="1:13" ht="12">
      <c r="A81" s="38"/>
      <c r="B81" s="65"/>
      <c r="C81" s="65"/>
      <c r="D81" s="65"/>
      <c r="E81" s="70"/>
      <c r="F81" s="65"/>
      <c r="G81" s="65"/>
      <c r="H81" s="65"/>
      <c r="I81" s="71"/>
      <c r="J81" s="72"/>
      <c r="K81" s="65"/>
      <c r="L81" s="71"/>
      <c r="M81" s="37" t="s">
        <v>243</v>
      </c>
    </row>
    <row r="82" spans="1:13" ht="12">
      <c r="A82" s="400" t="s">
        <v>248</v>
      </c>
      <c r="B82" s="400"/>
      <c r="C82" s="400"/>
      <c r="D82" s="400"/>
      <c r="E82" s="400"/>
      <c r="F82" s="400"/>
      <c r="G82" s="400"/>
      <c r="H82" s="400"/>
      <c r="I82" s="400"/>
      <c r="J82" s="400"/>
      <c r="K82" s="400"/>
      <c r="L82" s="400"/>
      <c r="M82" s="400"/>
    </row>
    <row r="83" spans="1:13" ht="12">
      <c r="A83" s="38" t="str">
        <f>$A$40</f>
        <v>NAME: </v>
      </c>
      <c r="C83" s="26" t="s">
        <v>550</v>
      </c>
      <c r="J83" s="74"/>
      <c r="L83" s="36"/>
      <c r="M83" s="39" t="str">
        <f>$M$3</f>
        <v>Date: 10/1/2008</v>
      </c>
    </row>
    <row r="84" spans="1:13" ht="12">
      <c r="A84" s="40" t="s">
        <v>1</v>
      </c>
      <c r="B84" s="40" t="s">
        <v>1</v>
      </c>
      <c r="C84" s="40" t="s">
        <v>1</v>
      </c>
      <c r="D84" s="40" t="s">
        <v>1</v>
      </c>
      <c r="E84" s="40" t="s">
        <v>1</v>
      </c>
      <c r="F84" s="40" t="s">
        <v>1</v>
      </c>
      <c r="G84" s="40"/>
      <c r="H84" s="40"/>
      <c r="I84" s="41" t="s">
        <v>1</v>
      </c>
      <c r="J84" s="42" t="s">
        <v>1</v>
      </c>
      <c r="K84" s="40" t="s">
        <v>1</v>
      </c>
      <c r="L84" s="41" t="s">
        <v>1</v>
      </c>
      <c r="M84" s="42" t="s">
        <v>1</v>
      </c>
    </row>
    <row r="85" spans="1:13" ht="12">
      <c r="A85" s="43" t="s">
        <v>2</v>
      </c>
      <c r="E85" s="43" t="s">
        <v>2</v>
      </c>
      <c r="F85" s="44"/>
      <c r="G85" s="44"/>
      <c r="H85" s="151" t="s">
        <v>240</v>
      </c>
      <c r="I85" s="170"/>
      <c r="J85" s="173" t="s">
        <v>247</v>
      </c>
      <c r="K85" s="161"/>
      <c r="L85" s="170"/>
      <c r="M85" s="173" t="s">
        <v>576</v>
      </c>
    </row>
    <row r="86" spans="1:13" ht="12">
      <c r="A86" s="43" t="s">
        <v>4</v>
      </c>
      <c r="C86" s="47" t="s">
        <v>20</v>
      </c>
      <c r="E86" s="43" t="s">
        <v>4</v>
      </c>
      <c r="F86" s="44"/>
      <c r="G86" s="44"/>
      <c r="H86" s="151" t="s">
        <v>7</v>
      </c>
      <c r="I86" s="172"/>
      <c r="J86" s="173" t="s">
        <v>7</v>
      </c>
      <c r="K86" s="161"/>
      <c r="L86" s="164"/>
      <c r="M86" s="173" t="s">
        <v>8</v>
      </c>
    </row>
    <row r="87" spans="1:13" ht="12">
      <c r="A87" s="40" t="s">
        <v>1</v>
      </c>
      <c r="B87" s="40" t="s">
        <v>1</v>
      </c>
      <c r="C87" s="40" t="s">
        <v>1</v>
      </c>
      <c r="D87" s="40" t="s">
        <v>1</v>
      </c>
      <c r="E87" s="40" t="s">
        <v>1</v>
      </c>
      <c r="F87" s="40" t="s">
        <v>1</v>
      </c>
      <c r="G87" s="40"/>
      <c r="H87" s="40"/>
      <c r="I87" s="41" t="s">
        <v>1</v>
      </c>
      <c r="J87" s="42" t="s">
        <v>1</v>
      </c>
      <c r="K87" s="40" t="s">
        <v>1</v>
      </c>
      <c r="L87" s="41" t="s">
        <v>1</v>
      </c>
      <c r="M87" s="42" t="s">
        <v>1</v>
      </c>
    </row>
    <row r="88" spans="1:13" ht="12">
      <c r="A88" s="26">
        <v>1</v>
      </c>
      <c r="C88" s="26" t="s">
        <v>192</v>
      </c>
      <c r="E88" s="26">
        <v>1</v>
      </c>
      <c r="H88" s="248">
        <f>UCB!H57+UCCS!H59+DDC!H58+AMC!H59</f>
        <v>121334100</v>
      </c>
      <c r="I88" s="248"/>
      <c r="J88" s="248">
        <f>UCB!J57+UCCS!J59+DDC!J58+AMC!J59</f>
        <v>101940267.66</v>
      </c>
      <c r="K88" s="248"/>
      <c r="L88" s="248"/>
      <c r="M88" s="248">
        <f>UCB!M57+UCCS!M59+DDC!M58+AMC!M59</f>
        <v>75349732</v>
      </c>
    </row>
    <row r="92" spans="8:13" ht="12">
      <c r="H92" s="25"/>
      <c r="I92" s="12"/>
      <c r="J92" s="25"/>
      <c r="K92" s="4"/>
      <c r="L92" s="12"/>
      <c r="M92" s="25"/>
    </row>
    <row r="93" spans="8:13" ht="12">
      <c r="H93" s="25"/>
      <c r="I93" s="12"/>
      <c r="J93" s="25"/>
      <c r="K93" s="4"/>
      <c r="L93" s="12"/>
      <c r="M93" s="25"/>
    </row>
    <row r="94" spans="8:13" ht="12">
      <c r="H94" s="25"/>
      <c r="I94" s="12"/>
      <c r="J94" s="25"/>
      <c r="K94" s="4"/>
      <c r="L94" s="12"/>
      <c r="M94" s="25"/>
    </row>
    <row r="95" spans="8:13" ht="12">
      <c r="H95" s="4"/>
      <c r="I95" s="12"/>
      <c r="J95" s="25"/>
      <c r="K95" s="4"/>
      <c r="L95" s="12"/>
      <c r="M95" s="25"/>
    </row>
    <row r="96" spans="5:13" ht="12">
      <c r="E96" s="69"/>
      <c r="H96" s="4"/>
      <c r="I96" s="12"/>
      <c r="J96" s="25"/>
      <c r="K96" s="4"/>
      <c r="L96" s="12"/>
      <c r="M96" s="25"/>
    </row>
    <row r="97" spans="5:13" ht="12">
      <c r="E97" s="69"/>
      <c r="H97" s="25"/>
      <c r="I97" s="12"/>
      <c r="J97" s="25"/>
      <c r="K97" s="4"/>
      <c r="L97" s="12"/>
      <c r="M97" s="25"/>
    </row>
    <row r="98" spans="5:10" ht="12">
      <c r="E98" s="69"/>
      <c r="J98" s="271"/>
    </row>
    <row r="99" ht="12">
      <c r="E99" s="69"/>
    </row>
    <row r="100" ht="12">
      <c r="E100" s="69"/>
    </row>
    <row r="101" ht="12">
      <c r="E101" s="69"/>
    </row>
    <row r="102" ht="12">
      <c r="E102" s="69"/>
    </row>
    <row r="103" ht="12">
      <c r="E103" s="69"/>
    </row>
    <row r="104" ht="12">
      <c r="E104" s="69"/>
    </row>
    <row r="105" ht="12">
      <c r="E105" s="69"/>
    </row>
    <row r="106" ht="12">
      <c r="E106" s="69"/>
    </row>
    <row r="107" ht="12">
      <c r="E107" s="69"/>
    </row>
    <row r="108" ht="12">
      <c r="E108" s="69"/>
    </row>
    <row r="109" ht="12">
      <c r="E109" s="69"/>
    </row>
    <row r="110" spans="3:5" ht="12">
      <c r="C110" s="26" t="s">
        <v>191</v>
      </c>
      <c r="E110" s="69"/>
    </row>
    <row r="111" ht="12">
      <c r="E111" s="69"/>
    </row>
    <row r="112" spans="2:6" ht="12.75">
      <c r="B112" s="75"/>
      <c r="C112" s="76"/>
      <c r="D112" s="77"/>
      <c r="E112" s="77"/>
      <c r="F112" s="77"/>
    </row>
    <row r="113" spans="2:6" ht="12.75">
      <c r="B113" s="75"/>
      <c r="C113" s="76"/>
      <c r="D113" s="77"/>
      <c r="E113" s="77"/>
      <c r="F113" s="77"/>
    </row>
    <row r="114" ht="12">
      <c r="E114" s="69"/>
    </row>
    <row r="115" ht="12">
      <c r="E115" s="69"/>
    </row>
    <row r="116" ht="12">
      <c r="E116" s="69"/>
    </row>
    <row r="117" ht="12">
      <c r="E117" s="69"/>
    </row>
    <row r="118" ht="12">
      <c r="E118" s="69"/>
    </row>
    <row r="119" ht="12">
      <c r="E119" s="69"/>
    </row>
    <row r="120" ht="12">
      <c r="E120" s="69"/>
    </row>
    <row r="121" ht="12">
      <c r="E121" s="69"/>
    </row>
    <row r="122" ht="12">
      <c r="E122" s="69"/>
    </row>
    <row r="123" ht="12">
      <c r="E123" s="69"/>
    </row>
    <row r="124" ht="12">
      <c r="E124" s="69"/>
    </row>
  </sheetData>
  <sheetProtection/>
  <mergeCells count="7">
    <mergeCell ref="A39:M39"/>
    <mergeCell ref="A82:M82"/>
    <mergeCell ref="A5:M5"/>
    <mergeCell ref="A20:M20"/>
    <mergeCell ref="A36:M36"/>
    <mergeCell ref="C8:L8"/>
    <mergeCell ref="C9:L9"/>
  </mergeCells>
  <printOptions/>
  <pageMargins left="0.75" right="0.75" top="1" bottom="1" header="0.5" footer="0.24"/>
  <pageSetup fitToHeight="2" horizontalDpi="600" verticalDpi="600" orientation="landscape" scale="70" r:id="rId1"/>
  <rowBreaks count="2" manualBreakCount="2">
    <brk id="37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58"/>
  <sheetViews>
    <sheetView showGridLines="0" zoomScale="75" zoomScaleNormal="75" zoomScaleSheetLayoutView="75" zoomScalePageLayoutView="0" workbookViewId="0" topLeftCell="A1">
      <selection activeCell="S4" sqref="S4"/>
    </sheetView>
  </sheetViews>
  <sheetFormatPr defaultColWidth="9.625" defaultRowHeight="12.75"/>
  <cols>
    <col min="1" max="1" width="7.625" style="161" customWidth="1"/>
    <col min="2" max="2" width="1.875" style="161" customWidth="1"/>
    <col min="3" max="3" width="33.00390625" style="161" customWidth="1"/>
    <col min="4" max="4" width="24.125" style="161" customWidth="1"/>
    <col min="5" max="6" width="8.125" style="161" customWidth="1"/>
    <col min="7" max="7" width="10.625" style="161" customWidth="1"/>
    <col min="8" max="8" width="13.625" style="161" customWidth="1"/>
    <col min="9" max="9" width="10.625" style="161" customWidth="1"/>
    <col min="10" max="10" width="13.625" style="161" customWidth="1"/>
    <col min="11" max="12" width="8.75390625" style="161" customWidth="1"/>
    <col min="13" max="13" width="13.625" style="161" customWidth="1"/>
    <col min="14" max="14" width="13.75390625" style="161" hidden="1" customWidth="1"/>
    <col min="15" max="15" width="11.50390625" style="161" hidden="1" customWidth="1"/>
    <col min="16" max="16" width="0" style="161" hidden="1" customWidth="1"/>
    <col min="17" max="16384" width="9.625" style="161" customWidth="1"/>
  </cols>
  <sheetData>
    <row r="1" spans="11:16" s="26" customFormat="1" ht="12">
      <c r="K1" s="27"/>
      <c r="L1" s="27"/>
      <c r="M1" s="28"/>
      <c r="O1" s="27"/>
      <c r="P1" s="28"/>
    </row>
    <row r="2" spans="11:15" s="26" customFormat="1" ht="12">
      <c r="K2" s="27"/>
      <c r="L2" s="27"/>
      <c r="M2" s="28"/>
      <c r="O2" s="27"/>
    </row>
    <row r="3" spans="11:15" s="26" customFormat="1" ht="12">
      <c r="K3" s="27"/>
      <c r="L3" s="27"/>
      <c r="M3" s="29" t="s">
        <v>146</v>
      </c>
      <c r="O3" s="27"/>
    </row>
    <row r="4" spans="11:16" s="26" customFormat="1" ht="12">
      <c r="K4" s="27"/>
      <c r="L4" s="27"/>
      <c r="M4" s="270" t="s">
        <v>623</v>
      </c>
      <c r="O4" s="27"/>
      <c r="P4" s="28"/>
    </row>
    <row r="5" spans="1:16" s="26" customFormat="1" ht="45">
      <c r="A5" s="194" t="s">
        <v>145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1:16" s="26" customFormat="1" ht="12">
      <c r="K6" s="27"/>
      <c r="L6" s="27"/>
      <c r="M6" s="28"/>
      <c r="O6" s="27"/>
      <c r="P6" s="28"/>
    </row>
    <row r="7" spans="11:16" s="26" customFormat="1" ht="12">
      <c r="K7" s="27"/>
      <c r="L7" s="27"/>
      <c r="M7" s="28"/>
      <c r="O7" s="27"/>
      <c r="P7" s="28"/>
    </row>
    <row r="8" spans="1:16" s="64" customFormat="1" ht="33">
      <c r="A8" s="261" t="s">
        <v>245</v>
      </c>
      <c r="B8" s="261"/>
      <c r="C8" s="404" t="s">
        <v>574</v>
      </c>
      <c r="D8" s="404"/>
      <c r="E8" s="404"/>
      <c r="F8" s="404"/>
      <c r="G8" s="404"/>
      <c r="H8" s="404"/>
      <c r="I8" s="404"/>
      <c r="J8" s="404"/>
      <c r="K8" s="404"/>
      <c r="L8" s="404"/>
      <c r="M8" s="261"/>
      <c r="N8" s="261"/>
      <c r="O8" s="261"/>
      <c r="P8" s="261"/>
    </row>
    <row r="9" spans="1:16" s="64" customFormat="1" ht="33">
      <c r="A9" s="261" t="s">
        <v>246</v>
      </c>
      <c r="B9" s="261"/>
      <c r="C9" s="404" t="s">
        <v>575</v>
      </c>
      <c r="D9" s="404"/>
      <c r="E9" s="404"/>
      <c r="F9" s="404"/>
      <c r="G9" s="404"/>
      <c r="H9" s="404"/>
      <c r="I9" s="404"/>
      <c r="J9" s="404"/>
      <c r="K9" s="404"/>
      <c r="L9" s="404"/>
      <c r="M9" s="261"/>
      <c r="N9" s="261"/>
      <c r="O9" s="261"/>
      <c r="P9" s="261"/>
    </row>
    <row r="10" spans="11:16" s="26" customFormat="1" ht="12">
      <c r="K10" s="27"/>
      <c r="L10" s="27"/>
      <c r="M10" s="28"/>
      <c r="O10" s="27"/>
      <c r="P10" s="28"/>
    </row>
    <row r="11" spans="11:16" s="26" customFormat="1" ht="12">
      <c r="K11" s="27"/>
      <c r="L11" s="27"/>
      <c r="M11" s="28"/>
      <c r="O11" s="27"/>
      <c r="P11" s="28"/>
    </row>
    <row r="12" spans="11:16" s="26" customFormat="1" ht="12">
      <c r="K12" s="27"/>
      <c r="L12" s="27"/>
      <c r="M12" s="28"/>
      <c r="O12" s="27"/>
      <c r="P12" s="28"/>
    </row>
    <row r="13" spans="11:16" s="26" customFormat="1" ht="12">
      <c r="K13" s="27"/>
      <c r="L13" s="27"/>
      <c r="M13" s="28"/>
      <c r="O13" s="27"/>
      <c r="P13" s="28"/>
    </row>
    <row r="14" spans="11:16" s="26" customFormat="1" ht="12">
      <c r="K14" s="27"/>
      <c r="L14" s="27"/>
      <c r="M14" s="28"/>
      <c r="O14" s="27"/>
      <c r="P14" s="28"/>
    </row>
    <row r="15" spans="11:16" s="26" customFormat="1" ht="12">
      <c r="K15" s="27"/>
      <c r="L15" s="27"/>
      <c r="M15" s="28"/>
      <c r="O15" s="27"/>
      <c r="P15" s="28"/>
    </row>
    <row r="16" spans="11:16" s="26" customFormat="1" ht="12">
      <c r="K16" s="27"/>
      <c r="L16" s="27"/>
      <c r="M16" s="28"/>
      <c r="O16" s="27"/>
      <c r="P16" s="28"/>
    </row>
    <row r="17" spans="11:16" s="26" customFormat="1" ht="12">
      <c r="K17" s="27"/>
      <c r="L17" s="27"/>
      <c r="M17" s="28"/>
      <c r="O17" s="27"/>
      <c r="P17" s="28"/>
    </row>
    <row r="18" spans="11:16" s="26" customFormat="1" ht="12">
      <c r="K18" s="27"/>
      <c r="L18" s="27"/>
      <c r="M18" s="28"/>
      <c r="O18" s="27"/>
      <c r="P18" s="28"/>
    </row>
    <row r="19" spans="11:16" s="26" customFormat="1" ht="12">
      <c r="K19" s="27"/>
      <c r="L19" s="27"/>
      <c r="M19" s="28"/>
      <c r="O19" s="27"/>
      <c r="P19" s="28"/>
    </row>
    <row r="20" spans="1:16" s="26" customFormat="1" ht="45">
      <c r="A20" s="402" t="s">
        <v>548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262"/>
      <c r="O20" s="262"/>
      <c r="P20" s="262"/>
    </row>
    <row r="21" spans="11:16" s="26" customFormat="1" ht="12">
      <c r="K21" s="27"/>
      <c r="L21" s="27"/>
      <c r="M21" s="28"/>
      <c r="O21" s="27"/>
      <c r="P21" s="28"/>
    </row>
    <row r="22" spans="11:16" s="26" customFormat="1" ht="12">
      <c r="K22" s="27"/>
      <c r="L22" s="27"/>
      <c r="M22" s="28"/>
      <c r="O22" s="27"/>
      <c r="P22" s="28"/>
    </row>
    <row r="23" spans="11:16" s="26" customFormat="1" ht="12">
      <c r="K23" s="27"/>
      <c r="L23" s="27"/>
      <c r="M23" s="28"/>
      <c r="O23" s="27"/>
      <c r="P23" s="28"/>
    </row>
    <row r="24" spans="11:16" s="26" customFormat="1" ht="12">
      <c r="K24" s="27"/>
      <c r="L24" s="27"/>
      <c r="M24" s="28"/>
      <c r="O24" s="27"/>
      <c r="P24" s="28"/>
    </row>
    <row r="25" spans="11:16" s="26" customFormat="1" ht="12">
      <c r="K25" s="27"/>
      <c r="L25" s="27"/>
      <c r="M25" s="28"/>
      <c r="O25" s="27"/>
      <c r="P25" s="28"/>
    </row>
    <row r="26" spans="11:16" s="26" customFormat="1" ht="12">
      <c r="K26" s="27"/>
      <c r="L26" s="27"/>
      <c r="M26" s="28"/>
      <c r="O26" s="27"/>
      <c r="P26" s="28"/>
    </row>
    <row r="27" spans="11:16" s="26" customFormat="1" ht="12">
      <c r="K27" s="27"/>
      <c r="L27" s="27"/>
      <c r="M27" s="28"/>
      <c r="O27" s="27"/>
      <c r="P27" s="28"/>
    </row>
    <row r="28" spans="11:16" s="26" customFormat="1" ht="12">
      <c r="K28" s="27"/>
      <c r="L28" s="27"/>
      <c r="M28" s="28"/>
      <c r="O28" s="27"/>
      <c r="P28" s="28"/>
    </row>
    <row r="29" spans="11:16" s="26" customFormat="1" ht="12">
      <c r="K29" s="27"/>
      <c r="L29" s="27"/>
      <c r="M29" s="28"/>
      <c r="O29" s="27"/>
      <c r="P29" s="28"/>
    </row>
    <row r="30" spans="11:16" s="26" customFormat="1" ht="12">
      <c r="K30" s="27"/>
      <c r="L30" s="27"/>
      <c r="M30" s="28"/>
      <c r="O30" s="27"/>
      <c r="P30" s="28"/>
    </row>
    <row r="31" spans="11:16" s="26" customFormat="1" ht="12">
      <c r="K31" s="27"/>
      <c r="L31" s="27"/>
      <c r="M31" s="28"/>
      <c r="O31" s="27"/>
      <c r="P31" s="28"/>
    </row>
    <row r="32" spans="11:16" s="26" customFormat="1" ht="12">
      <c r="K32" s="27"/>
      <c r="L32" s="27"/>
      <c r="M32" s="28"/>
      <c r="O32" s="27"/>
      <c r="P32" s="28"/>
    </row>
    <row r="33" spans="3:18" s="26" customFormat="1" ht="27">
      <c r="C33" s="277" t="s">
        <v>664</v>
      </c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</row>
    <row r="34" spans="11:16" s="26" customFormat="1" ht="12">
      <c r="K34" s="27"/>
      <c r="L34" s="27"/>
      <c r="M34" s="28"/>
      <c r="O34" s="27"/>
      <c r="P34" s="28"/>
    </row>
    <row r="35" spans="1:13" ht="12">
      <c r="A35" s="223" t="s">
        <v>273</v>
      </c>
      <c r="B35" s="223"/>
      <c r="G35" s="162"/>
      <c r="I35" s="162"/>
      <c r="M35" s="163" t="s">
        <v>18</v>
      </c>
    </row>
    <row r="36" spans="1:13" ht="12">
      <c r="A36" s="406" t="s">
        <v>19</v>
      </c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</row>
    <row r="37" spans="1:13" ht="12">
      <c r="A37" s="223" t="s">
        <v>274</v>
      </c>
      <c r="B37" s="223"/>
      <c r="G37" s="162"/>
      <c r="I37" s="162"/>
      <c r="K37" s="165"/>
      <c r="L37" s="165"/>
      <c r="M37" s="264" t="str">
        <f>M4</f>
        <v>Date: 10/1/2009</v>
      </c>
    </row>
    <row r="38" spans="1:13" ht="12">
      <c r="A38" s="166" t="s">
        <v>1</v>
      </c>
      <c r="B38" s="166"/>
      <c r="C38" s="166" t="s">
        <v>1</v>
      </c>
      <c r="D38" s="166" t="s">
        <v>1</v>
      </c>
      <c r="E38" s="166" t="s">
        <v>1</v>
      </c>
      <c r="F38" s="166"/>
      <c r="G38" s="167" t="s">
        <v>1</v>
      </c>
      <c r="H38" s="166" t="s">
        <v>1</v>
      </c>
      <c r="I38" s="167" t="s">
        <v>1</v>
      </c>
      <c r="J38" s="166" t="s">
        <v>1</v>
      </c>
      <c r="K38" s="166" t="s">
        <v>1</v>
      </c>
      <c r="L38" s="166"/>
      <c r="M38" s="166" t="s">
        <v>1</v>
      </c>
    </row>
    <row r="39" spans="1:13" ht="12">
      <c r="A39" s="168" t="s">
        <v>2</v>
      </c>
      <c r="B39" s="168"/>
      <c r="C39" s="169" t="s">
        <v>3</v>
      </c>
      <c r="E39" s="168" t="s">
        <v>2</v>
      </c>
      <c r="F39" s="168"/>
      <c r="G39" s="170"/>
      <c r="H39" s="151" t="s">
        <v>240</v>
      </c>
      <c r="I39" s="170"/>
      <c r="J39" s="173" t="s">
        <v>247</v>
      </c>
      <c r="L39" s="170"/>
      <c r="M39" s="173" t="s">
        <v>576</v>
      </c>
    </row>
    <row r="40" spans="1:13" ht="12">
      <c r="A40" s="168" t="s">
        <v>4</v>
      </c>
      <c r="B40" s="168"/>
      <c r="C40" s="171" t="s">
        <v>5</v>
      </c>
      <c r="E40" s="168" t="s">
        <v>4</v>
      </c>
      <c r="F40" s="168"/>
      <c r="G40" s="170" t="s">
        <v>6</v>
      </c>
      <c r="H40" s="151" t="s">
        <v>7</v>
      </c>
      <c r="I40" s="172" t="s">
        <v>6</v>
      </c>
      <c r="J40" s="173" t="s">
        <v>7</v>
      </c>
      <c r="L40" s="164" t="s">
        <v>6</v>
      </c>
      <c r="M40" s="173" t="s">
        <v>8</v>
      </c>
    </row>
    <row r="41" spans="1:13" ht="12">
      <c r="A41" s="166" t="s">
        <v>1</v>
      </c>
      <c r="B41" s="166"/>
      <c r="C41" s="166" t="s">
        <v>1</v>
      </c>
      <c r="D41" s="166" t="s">
        <v>1</v>
      </c>
      <c r="E41" s="166" t="s">
        <v>1</v>
      </c>
      <c r="F41" s="166"/>
      <c r="G41" s="109" t="s">
        <v>1</v>
      </c>
      <c r="H41" s="40" t="s">
        <v>1</v>
      </c>
      <c r="I41" s="167" t="s">
        <v>1</v>
      </c>
      <c r="J41" s="166" t="s">
        <v>1</v>
      </c>
      <c r="K41" s="166" t="s">
        <v>1</v>
      </c>
      <c r="L41" s="166" t="s">
        <v>1</v>
      </c>
      <c r="M41" s="166" t="s">
        <v>1</v>
      </c>
    </row>
    <row r="42" spans="1:13" ht="12">
      <c r="A42" s="174">
        <v>1</v>
      </c>
      <c r="B42" s="174"/>
      <c r="C42" s="169" t="s">
        <v>9</v>
      </c>
      <c r="D42" s="175" t="s">
        <v>275</v>
      </c>
      <c r="E42" s="174">
        <v>1</v>
      </c>
      <c r="F42" s="174"/>
      <c r="G42" s="162">
        <v>2132.9</v>
      </c>
      <c r="H42" s="165">
        <v>225028994.87</v>
      </c>
      <c r="I42" s="162">
        <v>2166.3</v>
      </c>
      <c r="J42" s="165">
        <v>246345909.39</v>
      </c>
      <c r="L42" s="162">
        <v>2213</v>
      </c>
      <c r="M42" s="165">
        <v>256343291</v>
      </c>
    </row>
    <row r="43" spans="1:13" ht="12">
      <c r="A43" s="174">
        <v>2</v>
      </c>
      <c r="B43" s="174"/>
      <c r="C43" s="169" t="s">
        <v>10</v>
      </c>
      <c r="D43" s="175" t="s">
        <v>276</v>
      </c>
      <c r="E43" s="174">
        <v>2</v>
      </c>
      <c r="F43" s="174"/>
      <c r="G43" s="162">
        <v>48.900000000000006</v>
      </c>
      <c r="H43" s="165">
        <v>8024212.56</v>
      </c>
      <c r="I43" s="162">
        <v>45.7</v>
      </c>
      <c r="J43" s="165">
        <v>8198818.78</v>
      </c>
      <c r="L43" s="162">
        <v>47.800000000000004</v>
      </c>
      <c r="M43" s="165">
        <v>8575280</v>
      </c>
    </row>
    <row r="44" spans="1:13" ht="12">
      <c r="A44" s="174">
        <v>3</v>
      </c>
      <c r="B44" s="174"/>
      <c r="C44" s="169" t="s">
        <v>11</v>
      </c>
      <c r="D44" s="175" t="s">
        <v>277</v>
      </c>
      <c r="E44" s="174">
        <v>3</v>
      </c>
      <c r="F44" s="174"/>
      <c r="G44" s="162">
        <v>8.399999999999999</v>
      </c>
      <c r="H44" s="165">
        <v>791944.8099999999</v>
      </c>
      <c r="I44" s="162">
        <v>8.3</v>
      </c>
      <c r="J44" s="165">
        <v>912569.4100000001</v>
      </c>
      <c r="L44" s="162">
        <v>8.4</v>
      </c>
      <c r="M44" s="165">
        <v>937780</v>
      </c>
    </row>
    <row r="45" spans="1:13" ht="12">
      <c r="A45" s="174">
        <v>4</v>
      </c>
      <c r="B45" s="174"/>
      <c r="C45" s="169" t="s">
        <v>12</v>
      </c>
      <c r="D45" s="175" t="s">
        <v>278</v>
      </c>
      <c r="E45" s="174">
        <v>4</v>
      </c>
      <c r="F45" s="174"/>
      <c r="G45" s="162">
        <v>553.1</v>
      </c>
      <c r="H45" s="165">
        <v>55439874.69999999</v>
      </c>
      <c r="I45" s="162">
        <v>572.9</v>
      </c>
      <c r="J45" s="165">
        <v>61420085.66</v>
      </c>
      <c r="L45" s="162">
        <v>576</v>
      </c>
      <c r="M45" s="165">
        <v>62124933</v>
      </c>
    </row>
    <row r="46" spans="1:13" ht="12">
      <c r="A46" s="174">
        <v>5</v>
      </c>
      <c r="B46" s="174"/>
      <c r="C46" s="169" t="s">
        <v>13</v>
      </c>
      <c r="D46" s="175" t="s">
        <v>279</v>
      </c>
      <c r="E46" s="174">
        <v>5</v>
      </c>
      <c r="F46" s="174"/>
      <c r="G46" s="162">
        <v>221</v>
      </c>
      <c r="H46" s="165">
        <v>20441151.399999995</v>
      </c>
      <c r="I46" s="162">
        <v>217.3</v>
      </c>
      <c r="J46" s="165">
        <v>21740665.78</v>
      </c>
      <c r="L46" s="162">
        <v>218.39999999999998</v>
      </c>
      <c r="M46" s="165">
        <v>22446142</v>
      </c>
    </row>
    <row r="47" spans="1:13" ht="12">
      <c r="A47" s="174">
        <v>6</v>
      </c>
      <c r="B47" s="174"/>
      <c r="C47" s="169" t="s">
        <v>14</v>
      </c>
      <c r="D47" s="175" t="s">
        <v>280</v>
      </c>
      <c r="E47" s="174">
        <v>6</v>
      </c>
      <c r="F47" s="174"/>
      <c r="G47" s="162">
        <v>369.5</v>
      </c>
      <c r="H47" s="165">
        <v>30509075.78</v>
      </c>
      <c r="I47" s="162">
        <v>380.88</v>
      </c>
      <c r="J47" s="165">
        <v>33292426.040000003</v>
      </c>
      <c r="L47" s="162">
        <v>357.71000000000004</v>
      </c>
      <c r="M47" s="165">
        <v>33514488</v>
      </c>
    </row>
    <row r="48" spans="1:13" ht="12">
      <c r="A48" s="174">
        <v>7</v>
      </c>
      <c r="B48" s="174"/>
      <c r="C48" s="169" t="s">
        <v>59</v>
      </c>
      <c r="D48" s="175" t="s">
        <v>281</v>
      </c>
      <c r="E48" s="174">
        <v>7</v>
      </c>
      <c r="F48" s="174"/>
      <c r="G48" s="162">
        <v>409.70000000000005</v>
      </c>
      <c r="H48" s="165">
        <v>42622900.16</v>
      </c>
      <c r="I48" s="162">
        <v>412.20000000000005</v>
      </c>
      <c r="J48" s="165">
        <v>50124506.99</v>
      </c>
      <c r="L48" s="162">
        <v>410.8</v>
      </c>
      <c r="M48" s="165">
        <v>53351766</v>
      </c>
    </row>
    <row r="49" spans="1:13" ht="12">
      <c r="A49" s="174">
        <v>8</v>
      </c>
      <c r="B49" s="174"/>
      <c r="C49" s="169" t="s">
        <v>282</v>
      </c>
      <c r="D49" s="175" t="s">
        <v>283</v>
      </c>
      <c r="E49" s="174">
        <v>8</v>
      </c>
      <c r="F49" s="174"/>
      <c r="G49" s="162">
        <v>0</v>
      </c>
      <c r="H49" s="165">
        <v>30120682.11</v>
      </c>
      <c r="I49" s="162">
        <v>0</v>
      </c>
      <c r="J49" s="165">
        <v>35746154.85</v>
      </c>
      <c r="L49" s="162">
        <v>0</v>
      </c>
      <c r="M49" s="165">
        <v>38225361</v>
      </c>
    </row>
    <row r="50" spans="1:13" ht="12">
      <c r="A50" s="174">
        <v>9</v>
      </c>
      <c r="B50" s="174"/>
      <c r="C50" s="169" t="s">
        <v>89</v>
      </c>
      <c r="D50" s="175" t="s">
        <v>284</v>
      </c>
      <c r="E50" s="174">
        <v>9</v>
      </c>
      <c r="F50" s="174"/>
      <c r="G50" s="162">
        <v>0</v>
      </c>
      <c r="H50" s="165">
        <v>0</v>
      </c>
      <c r="I50" s="162">
        <v>0</v>
      </c>
      <c r="J50" s="165">
        <v>0</v>
      </c>
      <c r="L50" s="162">
        <v>0</v>
      </c>
      <c r="M50" s="165">
        <v>0</v>
      </c>
    </row>
    <row r="51" spans="1:13" ht="12">
      <c r="A51" s="174">
        <v>10</v>
      </c>
      <c r="B51" s="174"/>
      <c r="C51" s="169" t="s">
        <v>16</v>
      </c>
      <c r="D51" s="175" t="s">
        <v>285</v>
      </c>
      <c r="E51" s="174">
        <v>10</v>
      </c>
      <c r="F51" s="174"/>
      <c r="G51" s="162">
        <v>0</v>
      </c>
      <c r="H51" s="165">
        <v>59050334.39999999</v>
      </c>
      <c r="I51" s="162">
        <v>0</v>
      </c>
      <c r="J51" s="165">
        <v>70101942.1</v>
      </c>
      <c r="L51" s="162">
        <v>0</v>
      </c>
      <c r="M51" s="165">
        <v>63386635</v>
      </c>
    </row>
    <row r="52" spans="1:13" ht="12">
      <c r="A52" s="166"/>
      <c r="B52" s="166"/>
      <c r="C52" s="166"/>
      <c r="D52" s="166"/>
      <c r="E52" s="166"/>
      <c r="F52" s="166"/>
      <c r="G52" s="109" t="s">
        <v>1</v>
      </c>
      <c r="H52" s="176" t="s">
        <v>1</v>
      </c>
      <c r="I52" s="167" t="s">
        <v>1</v>
      </c>
      <c r="J52" s="177" t="s">
        <v>1</v>
      </c>
      <c r="K52" s="167"/>
      <c r="L52" s="167" t="s">
        <v>1</v>
      </c>
      <c r="M52" s="177" t="s">
        <v>1</v>
      </c>
    </row>
    <row r="53" spans="1:15" ht="12">
      <c r="A53" s="161">
        <v>11</v>
      </c>
      <c r="C53" s="31" t="s">
        <v>221</v>
      </c>
      <c r="D53" s="26"/>
      <c r="E53" s="26">
        <v>11</v>
      </c>
      <c r="F53" s="26"/>
      <c r="G53" s="162">
        <v>3743.5</v>
      </c>
      <c r="H53" s="165">
        <v>472029170.78999996</v>
      </c>
      <c r="I53" s="162">
        <v>3803.580000000001</v>
      </c>
      <c r="J53" s="165">
        <f>SUM(J42:J51)</f>
        <v>527883079</v>
      </c>
      <c r="K53" s="165"/>
      <c r="L53" s="165">
        <f>SUM(L42:L51)</f>
        <v>3832.1100000000006</v>
      </c>
      <c r="M53" s="165">
        <f>SUM(M42:M51)</f>
        <v>538905676</v>
      </c>
      <c r="N53" s="165">
        <f>SUM(N42:N51)</f>
        <v>0</v>
      </c>
      <c r="O53" s="165">
        <f>SUM(O42:O51)</f>
        <v>0</v>
      </c>
    </row>
    <row r="54" spans="1:13" ht="12">
      <c r="A54" s="166"/>
      <c r="B54" s="166"/>
      <c r="C54" s="166"/>
      <c r="D54" s="166"/>
      <c r="E54" s="166"/>
      <c r="F54" s="166"/>
      <c r="G54" s="109" t="s">
        <v>1</v>
      </c>
      <c r="H54" s="176" t="s">
        <v>1</v>
      </c>
      <c r="I54" s="167" t="s">
        <v>1</v>
      </c>
      <c r="J54" s="177" t="s">
        <v>1</v>
      </c>
      <c r="K54" s="167" t="s">
        <v>1</v>
      </c>
      <c r="L54" s="167" t="s">
        <v>1</v>
      </c>
      <c r="M54" s="177" t="s">
        <v>1</v>
      </c>
    </row>
    <row r="55" spans="1:13" ht="12">
      <c r="A55" s="161">
        <v>12</v>
      </c>
      <c r="C55" s="169" t="s">
        <v>286</v>
      </c>
      <c r="E55" s="161">
        <v>12</v>
      </c>
      <c r="G55" s="24"/>
      <c r="H55" s="78"/>
      <c r="I55" s="178"/>
      <c r="J55" s="165"/>
      <c r="L55" s="178"/>
      <c r="M55" s="165"/>
    </row>
    <row r="56" spans="1:14" ht="12">
      <c r="A56" s="174">
        <v>13</v>
      </c>
      <c r="B56" s="174"/>
      <c r="C56" s="169" t="s">
        <v>196</v>
      </c>
      <c r="D56" s="175" t="s">
        <v>287</v>
      </c>
      <c r="E56" s="174">
        <v>13</v>
      </c>
      <c r="F56" s="174"/>
      <c r="G56" s="66">
        <v>0</v>
      </c>
      <c r="H56" s="67">
        <v>0</v>
      </c>
      <c r="I56" s="66">
        <v>0</v>
      </c>
      <c r="J56" s="67">
        <v>0</v>
      </c>
      <c r="K56" s="49"/>
      <c r="L56" s="66">
        <v>0</v>
      </c>
      <c r="M56" s="67">
        <v>0</v>
      </c>
      <c r="N56" s="165"/>
    </row>
    <row r="57" spans="1:16" ht="12">
      <c r="A57" s="174">
        <v>14</v>
      </c>
      <c r="B57" s="174"/>
      <c r="C57" s="169" t="s">
        <v>197</v>
      </c>
      <c r="D57" s="175" t="s">
        <v>288</v>
      </c>
      <c r="E57" s="174">
        <v>14</v>
      </c>
      <c r="F57" s="174"/>
      <c r="G57" s="66">
        <v>0</v>
      </c>
      <c r="H57" s="165">
        <v>37509194</v>
      </c>
      <c r="I57" s="179"/>
      <c r="J57" s="165">
        <v>33274713</v>
      </c>
      <c r="K57" s="165"/>
      <c r="L57" s="179"/>
      <c r="M57" s="165">
        <v>20498036</v>
      </c>
      <c r="N57" s="165">
        <v>30951834</v>
      </c>
      <c r="O57" s="180"/>
      <c r="P57" s="180">
        <f>M57+M58+M65</f>
        <v>86283006</v>
      </c>
    </row>
    <row r="58" spans="1:16" ht="12">
      <c r="A58" s="174">
        <v>15</v>
      </c>
      <c r="B58" s="174"/>
      <c r="C58" s="169" t="s">
        <v>215</v>
      </c>
      <c r="D58" s="169"/>
      <c r="E58" s="174">
        <v>15</v>
      </c>
      <c r="F58" s="174"/>
      <c r="G58" s="66">
        <v>0</v>
      </c>
      <c r="H58" s="165">
        <v>41910175.5</v>
      </c>
      <c r="I58" s="66"/>
      <c r="J58" s="165">
        <v>30670450</v>
      </c>
      <c r="L58" s="66"/>
      <c r="M58" s="165">
        <v>30082152</v>
      </c>
      <c r="N58" s="165">
        <v>32993329</v>
      </c>
      <c r="O58" s="180">
        <f>N58-M58</f>
        <v>2911177</v>
      </c>
      <c r="P58" s="180"/>
    </row>
    <row r="59" spans="1:15" ht="12">
      <c r="A59" s="174">
        <v>16</v>
      </c>
      <c r="B59" s="174"/>
      <c r="C59" s="169" t="s">
        <v>214</v>
      </c>
      <c r="D59" s="175"/>
      <c r="E59" s="174">
        <v>16</v>
      </c>
      <c r="F59" s="174"/>
      <c r="G59" s="55">
        <f>G271</f>
        <v>16034.43</v>
      </c>
      <c r="H59" s="180">
        <f>H60-H58</f>
        <v>104647616.23000002</v>
      </c>
      <c r="I59" s="55">
        <f>I271</f>
        <v>15917.029999999999</v>
      </c>
      <c r="J59" s="180">
        <f>J60-J58</f>
        <v>113519999.00999999</v>
      </c>
      <c r="K59" s="180">
        <f>K60-K58</f>
        <v>0</v>
      </c>
      <c r="L59" s="180">
        <f>L60-L58</f>
        <v>16011</v>
      </c>
      <c r="M59" s="180">
        <f>M60-M58</f>
        <v>121793742</v>
      </c>
      <c r="N59" s="180">
        <v>121793742</v>
      </c>
      <c r="O59" s="180">
        <f aca="true" t="shared" si="0" ref="O59:O65">N59-M59</f>
        <v>0</v>
      </c>
    </row>
    <row r="60" spans="1:15" ht="12">
      <c r="A60" s="174">
        <v>17</v>
      </c>
      <c r="B60" s="174"/>
      <c r="C60" s="169" t="s">
        <v>289</v>
      </c>
      <c r="D60" s="175" t="s">
        <v>290</v>
      </c>
      <c r="E60" s="174">
        <v>17</v>
      </c>
      <c r="F60" s="174"/>
      <c r="G60" s="55">
        <f>G279</f>
        <v>23597.1</v>
      </c>
      <c r="H60" s="165">
        <f>H271</f>
        <v>146557791.73000002</v>
      </c>
      <c r="I60" s="55">
        <f>I279</f>
        <v>24184.23</v>
      </c>
      <c r="J60" s="165">
        <f>J271</f>
        <v>144190449.01</v>
      </c>
      <c r="K60" s="165">
        <f>K271</f>
        <v>0</v>
      </c>
      <c r="L60" s="165">
        <f>L271</f>
        <v>16011</v>
      </c>
      <c r="M60" s="165">
        <f>M271</f>
        <v>151875894</v>
      </c>
      <c r="N60" s="165">
        <v>154787071</v>
      </c>
      <c r="O60" s="180">
        <f t="shared" si="0"/>
        <v>2911177</v>
      </c>
    </row>
    <row r="61" spans="1:15" ht="12">
      <c r="A61" s="174">
        <v>18</v>
      </c>
      <c r="B61" s="174"/>
      <c r="C61" s="169" t="s">
        <v>217</v>
      </c>
      <c r="D61" s="175" t="s">
        <v>291</v>
      </c>
      <c r="E61" s="174">
        <v>18</v>
      </c>
      <c r="F61" s="174"/>
      <c r="G61" s="55">
        <f aca="true" t="shared" si="1" ref="G61:M61">G270</f>
        <v>1750.8</v>
      </c>
      <c r="H61" s="165">
        <f t="shared" si="1"/>
        <v>22729795.669999998</v>
      </c>
      <c r="I61" s="55">
        <f t="shared" si="1"/>
        <v>1826.6399999999999</v>
      </c>
      <c r="J61" s="165">
        <f t="shared" si="1"/>
        <v>25990745.189999998</v>
      </c>
      <c r="K61" s="165">
        <f t="shared" si="1"/>
        <v>0</v>
      </c>
      <c r="L61" s="165">
        <f t="shared" si="1"/>
        <v>1842</v>
      </c>
      <c r="M61" s="165">
        <f t="shared" si="1"/>
        <v>27489124</v>
      </c>
      <c r="N61" s="165">
        <v>27489124</v>
      </c>
      <c r="O61" s="180">
        <f t="shared" si="0"/>
        <v>0</v>
      </c>
    </row>
    <row r="62" spans="1:15" ht="12">
      <c r="A62" s="174">
        <v>19</v>
      </c>
      <c r="B62" s="174"/>
      <c r="C62" s="169" t="s">
        <v>292</v>
      </c>
      <c r="D62" s="175" t="s">
        <v>293</v>
      </c>
      <c r="E62" s="174">
        <v>19</v>
      </c>
      <c r="F62" s="174"/>
      <c r="G62" s="55">
        <f>UCB!G277</f>
        <v>8317.17</v>
      </c>
      <c r="H62" s="165">
        <f>H277</f>
        <v>203349237.86</v>
      </c>
      <c r="I62" s="55">
        <f>UCB!I277</f>
        <v>9071.400000000001</v>
      </c>
      <c r="J62" s="165">
        <f>J277</f>
        <v>233122602.67000002</v>
      </c>
      <c r="K62" s="165">
        <f>K277</f>
        <v>0</v>
      </c>
      <c r="L62" s="165">
        <f>L277</f>
        <v>8764</v>
      </c>
      <c r="M62" s="165">
        <f>M277</f>
        <v>235744911</v>
      </c>
      <c r="N62" s="165">
        <v>235744911</v>
      </c>
      <c r="O62" s="180">
        <f t="shared" si="0"/>
        <v>0</v>
      </c>
    </row>
    <row r="63" spans="1:15" ht="12">
      <c r="A63" s="174">
        <v>20</v>
      </c>
      <c r="B63" s="174"/>
      <c r="C63" s="169" t="s">
        <v>159</v>
      </c>
      <c r="D63" s="175" t="s">
        <v>294</v>
      </c>
      <c r="E63" s="174">
        <v>20</v>
      </c>
      <c r="F63" s="174"/>
      <c r="G63" s="55">
        <f aca="true" t="shared" si="2" ref="G63:M63">G281</f>
        <v>26102.399999999998</v>
      </c>
      <c r="H63" s="165">
        <f t="shared" si="2"/>
        <v>372636825.26000005</v>
      </c>
      <c r="I63" s="55">
        <f t="shared" si="2"/>
        <v>26815.07</v>
      </c>
      <c r="J63" s="165">
        <f t="shared" si="2"/>
        <v>403303796.87</v>
      </c>
      <c r="K63" s="165">
        <f t="shared" si="2"/>
        <v>0</v>
      </c>
      <c r="L63" s="165">
        <f t="shared" si="2"/>
        <v>26617</v>
      </c>
      <c r="M63" s="165">
        <f t="shared" si="2"/>
        <v>415109929</v>
      </c>
      <c r="N63" s="165">
        <v>418021106</v>
      </c>
      <c r="O63" s="180">
        <f t="shared" si="0"/>
        <v>2911177</v>
      </c>
    </row>
    <row r="64" spans="1:15" ht="12">
      <c r="A64" s="175" t="s">
        <v>577</v>
      </c>
      <c r="B64" s="174"/>
      <c r="C64" s="31" t="s">
        <v>578</v>
      </c>
      <c r="D64" s="175" t="s">
        <v>295</v>
      </c>
      <c r="E64" s="175" t="s">
        <v>577</v>
      </c>
      <c r="F64" s="174"/>
      <c r="G64" s="55"/>
      <c r="H64" s="165">
        <f>H325-H296</f>
        <v>1166234</v>
      </c>
      <c r="I64" s="179"/>
      <c r="J64" s="165">
        <f>J325-J296</f>
        <v>3144806</v>
      </c>
      <c r="K64" s="165">
        <f>K325-K296</f>
        <v>0</v>
      </c>
      <c r="L64" s="165">
        <f>L325-L296</f>
        <v>0</v>
      </c>
      <c r="M64" s="165">
        <f>M325-M296</f>
        <v>12512651</v>
      </c>
      <c r="N64" s="165">
        <v>12512651</v>
      </c>
      <c r="O64" s="180">
        <f t="shared" si="0"/>
        <v>0</v>
      </c>
    </row>
    <row r="65" spans="1:15" ht="12">
      <c r="A65" s="175" t="s">
        <v>579</v>
      </c>
      <c r="B65" s="174"/>
      <c r="C65" s="31" t="s">
        <v>580</v>
      </c>
      <c r="D65" s="169" t="s">
        <v>660</v>
      </c>
      <c r="E65" s="175" t="s">
        <v>579</v>
      </c>
      <c r="F65" s="174"/>
      <c r="G65" s="55"/>
      <c r="H65" s="165">
        <f>H296</f>
        <v>0</v>
      </c>
      <c r="I65" s="179"/>
      <c r="J65" s="165">
        <f>J296</f>
        <v>22337843</v>
      </c>
      <c r="K65" s="165">
        <f>K296</f>
        <v>0</v>
      </c>
      <c r="L65" s="165">
        <f>L296</f>
        <v>0</v>
      </c>
      <c r="M65" s="165">
        <f>M296</f>
        <v>35702818</v>
      </c>
      <c r="N65" s="165">
        <v>22337843</v>
      </c>
      <c r="O65" s="180">
        <f t="shared" si="0"/>
        <v>-13364975</v>
      </c>
    </row>
    <row r="66" spans="1:13" ht="12">
      <c r="A66" s="174">
        <v>22</v>
      </c>
      <c r="B66" s="174"/>
      <c r="C66" s="166"/>
      <c r="D66" s="166"/>
      <c r="E66" s="175">
        <v>22</v>
      </c>
      <c r="F66" s="175"/>
      <c r="G66" s="109" t="s">
        <v>1</v>
      </c>
      <c r="H66" s="176" t="s">
        <v>1</v>
      </c>
      <c r="I66" s="167" t="s">
        <v>1</v>
      </c>
      <c r="J66" s="177" t="s">
        <v>1</v>
      </c>
      <c r="K66" s="167" t="s">
        <v>1</v>
      </c>
      <c r="L66" s="167" t="s">
        <v>1</v>
      </c>
      <c r="M66" s="177" t="s">
        <v>1</v>
      </c>
    </row>
    <row r="67" spans="1:13" ht="12">
      <c r="A67" s="174">
        <v>23</v>
      </c>
      <c r="B67" s="174"/>
      <c r="C67" s="26" t="s">
        <v>296</v>
      </c>
      <c r="D67" s="181"/>
      <c r="E67" s="174">
        <v>23</v>
      </c>
      <c r="F67" s="174"/>
      <c r="G67" s="182"/>
      <c r="H67" s="165">
        <f>H57+H58+H59+H61+H62+H64</f>
        <v>411312253.26</v>
      </c>
      <c r="I67" s="165"/>
      <c r="J67" s="165">
        <f>J57+J63+J64+J65</f>
        <v>462061158.87</v>
      </c>
      <c r="K67" s="165"/>
      <c r="L67" s="165"/>
      <c r="M67" s="165">
        <f>M57+M63+M64+M65</f>
        <v>483823434</v>
      </c>
    </row>
    <row r="68" spans="1:13" ht="12">
      <c r="A68" s="174">
        <v>24</v>
      </c>
      <c r="B68" s="174"/>
      <c r="C68" s="53"/>
      <c r="D68" s="169"/>
      <c r="E68" s="174">
        <v>24</v>
      </c>
      <c r="F68" s="174"/>
      <c r="G68" s="55"/>
      <c r="H68" s="78"/>
      <c r="J68" s="165"/>
      <c r="M68" s="165"/>
    </row>
    <row r="69" spans="1:13" ht="12">
      <c r="A69" s="174">
        <v>25</v>
      </c>
      <c r="B69" s="174"/>
      <c r="C69" s="31" t="s">
        <v>297</v>
      </c>
      <c r="D69" s="175" t="s">
        <v>298</v>
      </c>
      <c r="E69" s="174">
        <v>25</v>
      </c>
      <c r="F69" s="174"/>
      <c r="G69" s="26"/>
      <c r="H69" s="165">
        <f>H364</f>
        <v>60716918.2</v>
      </c>
      <c r="J69" s="165">
        <f>J364</f>
        <v>65821919.230000004</v>
      </c>
      <c r="M69" s="165">
        <f>M364</f>
        <v>55082242</v>
      </c>
    </row>
    <row r="70" spans="1:13" ht="12">
      <c r="A70" s="174">
        <v>26</v>
      </c>
      <c r="B70" s="174"/>
      <c r="C70" s="166"/>
      <c r="D70" s="166"/>
      <c r="E70" s="175">
        <v>26</v>
      </c>
      <c r="F70" s="175"/>
      <c r="G70" s="51" t="s">
        <v>1</v>
      </c>
      <c r="H70" s="176" t="s">
        <v>1</v>
      </c>
      <c r="I70" s="183" t="s">
        <v>1</v>
      </c>
      <c r="J70" s="177" t="s">
        <v>1</v>
      </c>
      <c r="K70" s="183" t="s">
        <v>1</v>
      </c>
      <c r="L70" s="183" t="s">
        <v>1</v>
      </c>
      <c r="M70" s="177" t="s">
        <v>1</v>
      </c>
    </row>
    <row r="71" spans="1:13" ht="12">
      <c r="A71" s="174">
        <v>27</v>
      </c>
      <c r="B71" s="174"/>
      <c r="C71" s="169" t="s">
        <v>454</v>
      </c>
      <c r="E71" s="174">
        <v>27</v>
      </c>
      <c r="F71" s="174"/>
      <c r="G71" s="24"/>
      <c r="H71" s="165">
        <f>SUM(H67:H69)</f>
        <v>472029171.46</v>
      </c>
      <c r="I71" s="178"/>
      <c r="J71" s="165">
        <f>SUM(J67:J69)</f>
        <v>527883078.1</v>
      </c>
      <c r="K71" s="178"/>
      <c r="L71" s="178"/>
      <c r="M71" s="165">
        <f>SUM(M67:M69)</f>
        <v>538905676</v>
      </c>
    </row>
    <row r="72" spans="1:13" ht="12">
      <c r="A72" s="166"/>
      <c r="B72" s="166"/>
      <c r="C72" s="166"/>
      <c r="D72" s="166"/>
      <c r="E72" s="166"/>
      <c r="F72" s="166"/>
      <c r="G72" s="51" t="s">
        <v>1</v>
      </c>
      <c r="H72" s="176" t="s">
        <v>1</v>
      </c>
      <c r="I72" s="183" t="s">
        <v>1</v>
      </c>
      <c r="J72" s="177" t="s">
        <v>1</v>
      </c>
      <c r="K72" s="183" t="s">
        <v>1</v>
      </c>
      <c r="L72" s="183" t="s">
        <v>1</v>
      </c>
      <c r="M72" s="177" t="s">
        <v>1</v>
      </c>
    </row>
    <row r="73" spans="1:13" ht="12">
      <c r="A73" s="386"/>
      <c r="B73" s="386"/>
      <c r="C73" s="386" t="s">
        <v>90</v>
      </c>
      <c r="D73" s="388"/>
      <c r="E73" s="386"/>
      <c r="F73" s="386"/>
      <c r="G73" s="389"/>
      <c r="H73" s="390">
        <v>47938593.11</v>
      </c>
      <c r="I73" s="389"/>
      <c r="J73" s="390">
        <v>55559038.89</v>
      </c>
      <c r="K73" s="389"/>
      <c r="L73" s="389"/>
      <c r="M73" s="390">
        <v>60181097</v>
      </c>
    </row>
    <row r="74" spans="5:13" ht="12">
      <c r="E74" s="184"/>
      <c r="F74" s="184"/>
      <c r="G74" s="178"/>
      <c r="H74" s="165"/>
      <c r="I74" s="178"/>
      <c r="J74" s="165"/>
      <c r="K74" s="178"/>
      <c r="L74" s="178"/>
      <c r="M74" s="180"/>
    </row>
    <row r="75" spans="1:13" ht="12">
      <c r="A75" s="223" t="s">
        <v>299</v>
      </c>
      <c r="B75" s="223"/>
      <c r="E75" s="184"/>
      <c r="F75" s="184"/>
      <c r="G75" s="178"/>
      <c r="H75" s="165"/>
      <c r="I75" s="178"/>
      <c r="J75" s="165"/>
      <c r="K75" s="178"/>
      <c r="L75" s="178"/>
      <c r="M75" s="163" t="s">
        <v>116</v>
      </c>
    </row>
    <row r="76" spans="1:13" ht="12">
      <c r="A76" s="411" t="s">
        <v>300</v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</row>
    <row r="77" spans="1:13" ht="12">
      <c r="A77" s="223" t="s">
        <v>274</v>
      </c>
      <c r="B77" s="223"/>
      <c r="J77" s="165"/>
      <c r="K77" s="178"/>
      <c r="L77" s="178"/>
      <c r="M77" s="264" t="str">
        <f>M4</f>
        <v>Date: 10/1/2009</v>
      </c>
    </row>
    <row r="78" spans="1:13" ht="12">
      <c r="A78" s="166" t="s">
        <v>1</v>
      </c>
      <c r="B78" s="166"/>
      <c r="C78" s="166" t="s">
        <v>1</v>
      </c>
      <c r="D78" s="166" t="s">
        <v>1</v>
      </c>
      <c r="E78" s="166" t="s">
        <v>1</v>
      </c>
      <c r="F78" s="166"/>
      <c r="G78" s="166" t="s">
        <v>1</v>
      </c>
      <c r="H78" s="166" t="s">
        <v>1</v>
      </c>
      <c r="I78" s="166" t="s">
        <v>1</v>
      </c>
      <c r="J78" s="166" t="s">
        <v>1</v>
      </c>
      <c r="K78" s="166" t="s">
        <v>1</v>
      </c>
      <c r="L78" s="166"/>
      <c r="M78" s="166" t="s">
        <v>1</v>
      </c>
    </row>
    <row r="79" spans="1:13" ht="12">
      <c r="A79" s="168" t="s">
        <v>2</v>
      </c>
      <c r="B79" s="168"/>
      <c r="E79" s="168" t="s">
        <v>2</v>
      </c>
      <c r="F79" s="168"/>
      <c r="G79" s="178"/>
      <c r="H79" s="151" t="s">
        <v>240</v>
      </c>
      <c r="I79" s="162"/>
      <c r="J79" s="173" t="s">
        <v>247</v>
      </c>
      <c r="K79" s="162"/>
      <c r="L79" s="162"/>
      <c r="M79" s="173" t="s">
        <v>576</v>
      </c>
    </row>
    <row r="80" spans="1:13" ht="12">
      <c r="A80" s="168" t="s">
        <v>4</v>
      </c>
      <c r="B80" s="168"/>
      <c r="E80" s="168" t="s">
        <v>4</v>
      </c>
      <c r="F80" s="168"/>
      <c r="G80" s="178"/>
      <c r="H80" s="151" t="s">
        <v>7</v>
      </c>
      <c r="I80" s="178"/>
      <c r="J80" s="173" t="s">
        <v>7</v>
      </c>
      <c r="K80" s="178"/>
      <c r="L80" s="178"/>
      <c r="M80" s="173" t="s">
        <v>8</v>
      </c>
    </row>
    <row r="81" spans="1:13" ht="12">
      <c r="A81" s="166" t="s">
        <v>1</v>
      </c>
      <c r="B81" s="166"/>
      <c r="C81" s="166" t="s">
        <v>1</v>
      </c>
      <c r="D81" s="166" t="s">
        <v>1</v>
      </c>
      <c r="E81" s="166" t="s">
        <v>1</v>
      </c>
      <c r="F81" s="166"/>
      <c r="G81" s="166" t="s">
        <v>1</v>
      </c>
      <c r="H81" s="40" t="s">
        <v>1</v>
      </c>
      <c r="I81" s="166" t="s">
        <v>1</v>
      </c>
      <c r="J81" s="166" t="s">
        <v>1</v>
      </c>
      <c r="K81" s="166"/>
      <c r="L81" s="166" t="s">
        <v>1</v>
      </c>
      <c r="M81" s="166" t="s">
        <v>1</v>
      </c>
    </row>
    <row r="82" spans="1:13" ht="12">
      <c r="A82" s="174">
        <v>1</v>
      </c>
      <c r="B82" s="174"/>
      <c r="C82" s="169" t="s">
        <v>118</v>
      </c>
      <c r="E82" s="174">
        <v>1</v>
      </c>
      <c r="F82" s="174"/>
      <c r="G82" s="178"/>
      <c r="H82" s="78"/>
      <c r="I82" s="178"/>
      <c r="J82" s="165"/>
      <c r="K82" s="178"/>
      <c r="L82" s="178"/>
      <c r="M82" s="165"/>
    </row>
    <row r="83" spans="1:13" ht="12">
      <c r="A83" s="175" t="s">
        <v>301</v>
      </c>
      <c r="B83" s="175"/>
      <c r="C83" s="169" t="s">
        <v>659</v>
      </c>
      <c r="E83" s="175" t="s">
        <v>301</v>
      </c>
      <c r="F83" s="175"/>
      <c r="G83" s="178"/>
      <c r="H83" s="78"/>
      <c r="I83" s="178"/>
      <c r="J83" s="165"/>
      <c r="K83" s="178"/>
      <c r="L83" s="178"/>
      <c r="M83" s="165"/>
    </row>
    <row r="84" spans="1:13" ht="12">
      <c r="A84" s="175" t="s">
        <v>302</v>
      </c>
      <c r="B84" s="175"/>
      <c r="C84" s="169" t="s">
        <v>303</v>
      </c>
      <c r="E84" s="175" t="s">
        <v>302</v>
      </c>
      <c r="F84" s="175"/>
      <c r="G84" s="178"/>
      <c r="H84" s="78"/>
      <c r="I84" s="178"/>
      <c r="J84" s="165"/>
      <c r="K84" s="178"/>
      <c r="L84" s="178"/>
      <c r="M84" s="165"/>
    </row>
    <row r="85" spans="1:13" ht="12">
      <c r="A85" s="175" t="s">
        <v>304</v>
      </c>
      <c r="B85" s="175"/>
      <c r="C85" s="169" t="s">
        <v>305</v>
      </c>
      <c r="E85" s="175" t="s">
        <v>304</v>
      </c>
      <c r="F85" s="175"/>
      <c r="G85" s="178"/>
      <c r="H85" s="185">
        <v>16034.43</v>
      </c>
      <c r="I85" s="179"/>
      <c r="J85" s="185">
        <v>15917.029999999999</v>
      </c>
      <c r="K85" s="185"/>
      <c r="L85" s="185"/>
      <c r="M85" s="185">
        <v>16011</v>
      </c>
    </row>
    <row r="86" spans="1:13" ht="12">
      <c r="A86" s="174">
        <v>3</v>
      </c>
      <c r="B86" s="174"/>
      <c r="C86" s="169" t="s">
        <v>119</v>
      </c>
      <c r="E86" s="174">
        <v>3</v>
      </c>
      <c r="F86" s="174"/>
      <c r="G86" s="178"/>
      <c r="H86" s="185">
        <v>1750.8</v>
      </c>
      <c r="I86" s="179"/>
      <c r="J86" s="185">
        <v>1826.6399999999999</v>
      </c>
      <c r="K86" s="179"/>
      <c r="L86" s="179"/>
      <c r="M86" s="185">
        <v>1842</v>
      </c>
    </row>
    <row r="87" spans="1:13" ht="12">
      <c r="A87" s="174">
        <v>4</v>
      </c>
      <c r="B87" s="174"/>
      <c r="C87" s="169" t="s">
        <v>120</v>
      </c>
      <c r="E87" s="174">
        <v>4</v>
      </c>
      <c r="F87" s="174"/>
      <c r="G87" s="178"/>
      <c r="H87" s="185">
        <v>17785.23</v>
      </c>
      <c r="I87" s="179"/>
      <c r="J87" s="185">
        <v>17743.67</v>
      </c>
      <c r="K87" s="179"/>
      <c r="L87" s="179"/>
      <c r="M87" s="185">
        <v>17853</v>
      </c>
    </row>
    <row r="88" spans="1:13" ht="12">
      <c r="A88" s="174">
        <v>5</v>
      </c>
      <c r="B88" s="174"/>
      <c r="E88" s="174">
        <v>5</v>
      </c>
      <c r="F88" s="174"/>
      <c r="G88" s="178"/>
      <c r="H88" s="185"/>
      <c r="I88" s="179"/>
      <c r="J88" s="185"/>
      <c r="K88" s="179"/>
      <c r="L88" s="179"/>
      <c r="M88" s="185"/>
    </row>
    <row r="89" spans="1:13" ht="12">
      <c r="A89" s="174">
        <v>6</v>
      </c>
      <c r="B89" s="174"/>
      <c r="C89" s="169" t="s">
        <v>121</v>
      </c>
      <c r="E89" s="174">
        <v>6</v>
      </c>
      <c r="F89" s="174"/>
      <c r="G89" s="178"/>
      <c r="H89" s="185">
        <v>7562.67</v>
      </c>
      <c r="I89" s="179"/>
      <c r="J89" s="185">
        <v>8267.2</v>
      </c>
      <c r="K89" s="179"/>
      <c r="L89" s="179"/>
      <c r="M89" s="185">
        <v>7933</v>
      </c>
    </row>
    <row r="90" spans="1:13" ht="12">
      <c r="A90" s="174">
        <v>7</v>
      </c>
      <c r="B90" s="174"/>
      <c r="C90" s="169" t="s">
        <v>122</v>
      </c>
      <c r="E90" s="174">
        <v>7</v>
      </c>
      <c r="F90" s="174"/>
      <c r="G90" s="178"/>
      <c r="H90" s="185">
        <v>754.5</v>
      </c>
      <c r="I90" s="179"/>
      <c r="J90" s="185">
        <v>804.2</v>
      </c>
      <c r="K90" s="179"/>
      <c r="L90" s="179"/>
      <c r="M90" s="185">
        <v>831</v>
      </c>
    </row>
    <row r="91" spans="1:13" ht="12">
      <c r="A91" s="174">
        <v>8</v>
      </c>
      <c r="B91" s="174"/>
      <c r="C91" s="169" t="s">
        <v>123</v>
      </c>
      <c r="E91" s="174">
        <v>8</v>
      </c>
      <c r="F91" s="174"/>
      <c r="G91" s="178"/>
      <c r="H91" s="185">
        <v>8317.17</v>
      </c>
      <c r="I91" s="179"/>
      <c r="J91" s="185">
        <v>9071.400000000001</v>
      </c>
      <c r="K91" s="179"/>
      <c r="L91" s="179"/>
      <c r="M91" s="185">
        <v>8764</v>
      </c>
    </row>
    <row r="92" spans="1:13" ht="12">
      <c r="A92" s="174">
        <v>9</v>
      </c>
      <c r="B92" s="174"/>
      <c r="E92" s="174">
        <v>9</v>
      </c>
      <c r="F92" s="174"/>
      <c r="G92" s="178"/>
      <c r="H92" s="186"/>
      <c r="I92" s="179"/>
      <c r="J92" s="186"/>
      <c r="K92" s="179"/>
      <c r="L92" s="179"/>
      <c r="M92" s="186"/>
    </row>
    <row r="93" spans="1:13" ht="12">
      <c r="A93" s="174">
        <v>10</v>
      </c>
      <c r="B93" s="174"/>
      <c r="C93" s="169" t="s">
        <v>124</v>
      </c>
      <c r="E93" s="174">
        <v>10</v>
      </c>
      <c r="F93" s="174"/>
      <c r="G93" s="178"/>
      <c r="H93" s="185">
        <v>23597.1</v>
      </c>
      <c r="I93" s="179"/>
      <c r="J93" s="185">
        <v>24184.23</v>
      </c>
      <c r="K93" s="179"/>
      <c r="L93" s="179"/>
      <c r="M93" s="185">
        <v>23944</v>
      </c>
    </row>
    <row r="94" spans="1:13" ht="12">
      <c r="A94" s="174">
        <v>11</v>
      </c>
      <c r="B94" s="174"/>
      <c r="C94" s="169" t="s">
        <v>125</v>
      </c>
      <c r="E94" s="174">
        <v>11</v>
      </c>
      <c r="F94" s="174"/>
      <c r="G94" s="178"/>
      <c r="H94" s="185">
        <v>2505.3</v>
      </c>
      <c r="I94" s="179"/>
      <c r="J94" s="185">
        <v>2630.84</v>
      </c>
      <c r="K94" s="179"/>
      <c r="L94" s="179"/>
      <c r="M94" s="185">
        <v>2673</v>
      </c>
    </row>
    <row r="95" spans="1:13" ht="12">
      <c r="A95" s="174">
        <v>12</v>
      </c>
      <c r="B95" s="174"/>
      <c r="C95" s="169" t="s">
        <v>126</v>
      </c>
      <c r="E95" s="174">
        <v>12</v>
      </c>
      <c r="F95" s="174"/>
      <c r="G95" s="178"/>
      <c r="H95" s="185">
        <v>26102.399999999998</v>
      </c>
      <c r="I95" s="179"/>
      <c r="J95" s="185">
        <v>26815.07</v>
      </c>
      <c r="K95" s="179"/>
      <c r="L95" s="179"/>
      <c r="M95" s="185">
        <v>26617</v>
      </c>
    </row>
    <row r="96" spans="1:13" ht="12">
      <c r="A96" s="174">
        <v>13</v>
      </c>
      <c r="B96" s="174"/>
      <c r="E96" s="174">
        <v>13</v>
      </c>
      <c r="F96" s="174"/>
      <c r="G96" s="178"/>
      <c r="H96" s="78"/>
      <c r="I96" s="178"/>
      <c r="J96" s="165"/>
      <c r="K96" s="178"/>
      <c r="L96" s="178"/>
      <c r="M96" s="165"/>
    </row>
    <row r="97" spans="1:13" ht="12">
      <c r="A97" s="174">
        <v>14</v>
      </c>
      <c r="B97" s="174"/>
      <c r="C97" s="169" t="s">
        <v>127</v>
      </c>
      <c r="E97" s="174">
        <v>14</v>
      </c>
      <c r="F97" s="174"/>
      <c r="G97" s="178"/>
      <c r="H97" s="78"/>
      <c r="I97" s="178"/>
      <c r="J97" s="165"/>
      <c r="K97" s="178"/>
      <c r="L97" s="178"/>
      <c r="M97" s="165"/>
    </row>
    <row r="98" spans="1:13" ht="12">
      <c r="A98" s="174">
        <v>15</v>
      </c>
      <c r="B98" s="174"/>
      <c r="C98" s="169" t="s">
        <v>306</v>
      </c>
      <c r="E98" s="174">
        <v>15</v>
      </c>
      <c r="F98" s="174"/>
      <c r="G98" s="178"/>
      <c r="H98" s="78">
        <f>(H71-H356)/H95</f>
        <v>15970.957431500552</v>
      </c>
      <c r="I98" s="78"/>
      <c r="J98" s="78">
        <f>(J71-J356)/J95</f>
        <v>17434.607288737265</v>
      </c>
      <c r="K98" s="78"/>
      <c r="L98" s="78"/>
      <c r="M98" s="78">
        <f>(M71-M356)/M95</f>
        <v>18357.316865161363</v>
      </c>
    </row>
    <row r="99" spans="1:13" ht="12">
      <c r="A99" s="175">
        <v>16</v>
      </c>
      <c r="B99" s="175"/>
      <c r="C99" s="169" t="s">
        <v>307</v>
      </c>
      <c r="E99" s="175">
        <v>16</v>
      </c>
      <c r="F99" s="175"/>
      <c r="G99" s="178"/>
      <c r="H99" s="78">
        <v>2670</v>
      </c>
      <c r="I99" s="178"/>
      <c r="J99" s="165">
        <v>2040</v>
      </c>
      <c r="K99" s="178"/>
      <c r="L99" s="178"/>
      <c r="M99" s="165">
        <v>2040</v>
      </c>
    </row>
    <row r="100" spans="1:13" ht="12">
      <c r="A100" s="174">
        <v>17</v>
      </c>
      <c r="B100" s="174"/>
      <c r="E100" s="174">
        <v>17</v>
      </c>
      <c r="F100" s="174"/>
      <c r="G100" s="178"/>
      <c r="H100" s="78"/>
      <c r="I100" s="178"/>
      <c r="J100" s="165"/>
      <c r="K100" s="178"/>
      <c r="L100" s="178"/>
      <c r="M100" s="165"/>
    </row>
    <row r="101" spans="1:13" ht="12">
      <c r="A101" s="174">
        <v>18</v>
      </c>
      <c r="B101" s="174"/>
      <c r="C101" s="169" t="s">
        <v>308</v>
      </c>
      <c r="E101" s="174">
        <v>18</v>
      </c>
      <c r="F101" s="174"/>
      <c r="G101" s="178"/>
      <c r="H101" s="78"/>
      <c r="I101" s="178"/>
      <c r="J101" s="165"/>
      <c r="K101" s="178"/>
      <c r="L101" s="178"/>
      <c r="M101" s="165"/>
    </row>
    <row r="102" spans="1:13" ht="12">
      <c r="A102" s="174">
        <v>19</v>
      </c>
      <c r="B102" s="174"/>
      <c r="C102" s="169" t="s">
        <v>129</v>
      </c>
      <c r="E102" s="174">
        <v>19</v>
      </c>
      <c r="F102" s="174"/>
      <c r="G102" s="178"/>
      <c r="H102" s="162">
        <v>1767.3000000000002</v>
      </c>
      <c r="I102" s="265"/>
      <c r="J102" s="162">
        <v>1787.7</v>
      </c>
      <c r="K102" s="265"/>
      <c r="L102" s="265"/>
      <c r="M102" s="162">
        <v>1819.8000000000002</v>
      </c>
    </row>
    <row r="103" spans="1:13" ht="12">
      <c r="A103" s="174">
        <v>20</v>
      </c>
      <c r="B103" s="174"/>
      <c r="C103" s="169" t="s">
        <v>130</v>
      </c>
      <c r="E103" s="174">
        <v>20</v>
      </c>
      <c r="F103" s="174"/>
      <c r="G103" s="178"/>
      <c r="H103" s="162">
        <v>1347.2</v>
      </c>
      <c r="I103" s="265"/>
      <c r="J103" s="162">
        <v>1353.7</v>
      </c>
      <c r="K103" s="265"/>
      <c r="L103" s="265"/>
      <c r="M103" s="162">
        <v>1377.9</v>
      </c>
    </row>
    <row r="104" spans="1:13" ht="12">
      <c r="A104" s="174">
        <v>21</v>
      </c>
      <c r="B104" s="174"/>
      <c r="C104" s="169" t="s">
        <v>131</v>
      </c>
      <c r="E104" s="174">
        <v>21</v>
      </c>
      <c r="F104" s="174"/>
      <c r="G104" s="178"/>
      <c r="H104" s="162">
        <v>420.1</v>
      </c>
      <c r="I104" s="265"/>
      <c r="J104" s="162">
        <v>434</v>
      </c>
      <c r="K104" s="265"/>
      <c r="L104" s="265"/>
      <c r="M104" s="162">
        <v>441.9</v>
      </c>
    </row>
    <row r="105" spans="1:13" ht="12">
      <c r="A105" s="174">
        <v>22</v>
      </c>
      <c r="B105" s="174"/>
      <c r="E105" s="174">
        <v>22</v>
      </c>
      <c r="F105" s="174"/>
      <c r="G105" s="178"/>
      <c r="H105" s="210"/>
      <c r="I105" s="265"/>
      <c r="J105" s="210"/>
      <c r="K105" s="265"/>
      <c r="L105" s="265"/>
      <c r="M105" s="210"/>
    </row>
    <row r="106" spans="1:13" ht="12">
      <c r="A106" s="174">
        <v>23</v>
      </c>
      <c r="B106" s="174"/>
      <c r="C106" s="169" t="s">
        <v>132</v>
      </c>
      <c r="E106" s="174">
        <v>23</v>
      </c>
      <c r="F106" s="174"/>
      <c r="G106" s="178"/>
      <c r="H106" s="210"/>
      <c r="I106" s="265"/>
      <c r="J106" s="210"/>
      <c r="K106" s="265"/>
      <c r="L106" s="265"/>
      <c r="M106" s="210"/>
    </row>
    <row r="107" spans="1:13" ht="12">
      <c r="A107" s="174">
        <v>24</v>
      </c>
      <c r="B107" s="174"/>
      <c r="C107" s="169" t="s">
        <v>133</v>
      </c>
      <c r="E107" s="174">
        <v>24</v>
      </c>
      <c r="F107" s="174"/>
      <c r="G107" s="178"/>
      <c r="H107" s="165">
        <v>103114.43057205905</v>
      </c>
      <c r="I107" s="178"/>
      <c r="J107" s="165">
        <v>111296.77647815629</v>
      </c>
      <c r="K107" s="178"/>
      <c r="L107" s="178"/>
      <c r="M107" s="165">
        <v>112198.72128805362</v>
      </c>
    </row>
    <row r="108" spans="1:13" ht="12">
      <c r="A108" s="174">
        <v>25</v>
      </c>
      <c r="B108" s="174"/>
      <c r="C108" s="169" t="s">
        <v>134</v>
      </c>
      <c r="E108" s="174">
        <v>25</v>
      </c>
      <c r="F108" s="174"/>
      <c r="G108" s="178"/>
      <c r="H108" s="165">
        <v>114402.39239904987</v>
      </c>
      <c r="I108" s="178"/>
      <c r="J108" s="165">
        <v>123931.72783482308</v>
      </c>
      <c r="K108" s="178"/>
      <c r="L108" s="178"/>
      <c r="M108" s="165">
        <v>124039.8055011249</v>
      </c>
    </row>
    <row r="109" spans="1:13" ht="12">
      <c r="A109" s="174">
        <v>26</v>
      </c>
      <c r="B109" s="174"/>
      <c r="C109" s="169" t="s">
        <v>135</v>
      </c>
      <c r="E109" s="174">
        <v>26</v>
      </c>
      <c r="F109" s="174"/>
      <c r="G109" s="178"/>
      <c r="H109" s="165">
        <v>66915.56798381337</v>
      </c>
      <c r="I109" s="178"/>
      <c r="J109" s="165">
        <v>71886.79110599078</v>
      </c>
      <c r="K109" s="178"/>
      <c r="L109" s="178"/>
      <c r="M109" s="165">
        <v>75276.72550350758</v>
      </c>
    </row>
    <row r="110" spans="1:12" ht="12">
      <c r="A110" s="174">
        <v>27</v>
      </c>
      <c r="B110" s="174"/>
      <c r="E110" s="174">
        <v>27</v>
      </c>
      <c r="F110" s="174"/>
      <c r="G110" s="178"/>
      <c r="H110" s="26"/>
      <c r="I110" s="178"/>
      <c r="K110" s="178"/>
      <c r="L110" s="178"/>
    </row>
    <row r="111" spans="1:13" ht="12">
      <c r="A111" s="174">
        <v>28</v>
      </c>
      <c r="B111" s="174"/>
      <c r="C111" s="169" t="s">
        <v>309</v>
      </c>
      <c r="E111" s="174">
        <v>28</v>
      </c>
      <c r="F111" s="174"/>
      <c r="G111" s="178"/>
      <c r="H111" s="87">
        <v>3743.5</v>
      </c>
      <c r="I111" s="162"/>
      <c r="J111" s="162">
        <v>3803.580000000001</v>
      </c>
      <c r="K111" s="162"/>
      <c r="L111" s="162"/>
      <c r="M111" s="162">
        <v>3832.1100000000006</v>
      </c>
    </row>
    <row r="112" spans="1:13" ht="12">
      <c r="A112" s="174">
        <v>29</v>
      </c>
      <c r="B112" s="174"/>
      <c r="C112" s="169"/>
      <c r="E112" s="174">
        <v>29</v>
      </c>
      <c r="F112" s="174"/>
      <c r="G112" s="178"/>
      <c r="H112" s="87"/>
      <c r="I112" s="162"/>
      <c r="J112" s="162"/>
      <c r="K112" s="162"/>
      <c r="L112" s="162"/>
      <c r="M112" s="162"/>
    </row>
    <row r="113" spans="1:5" ht="12">
      <c r="A113" s="161">
        <v>30</v>
      </c>
      <c r="E113" s="161">
        <v>30</v>
      </c>
    </row>
    <row r="114" spans="5:12" ht="12">
      <c r="E114" s="184"/>
      <c r="F114" s="184"/>
      <c r="G114" s="178"/>
      <c r="H114" s="165"/>
      <c r="I114" s="178"/>
      <c r="J114" s="165"/>
      <c r="K114" s="178"/>
      <c r="L114" s="178"/>
    </row>
    <row r="115" spans="1:13" ht="12">
      <c r="A115" s="223" t="s">
        <v>299</v>
      </c>
      <c r="B115" s="223"/>
      <c r="E115" s="184"/>
      <c r="F115" s="184"/>
      <c r="G115" s="178"/>
      <c r="H115" s="165"/>
      <c r="I115" s="178"/>
      <c r="J115" s="165"/>
      <c r="K115" s="178"/>
      <c r="L115" s="178"/>
      <c r="M115" s="163" t="s">
        <v>137</v>
      </c>
    </row>
    <row r="116" spans="1:13" ht="12">
      <c r="A116" s="411" t="s">
        <v>310</v>
      </c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</row>
    <row r="117" spans="1:13" ht="12">
      <c r="A117" s="223" t="s">
        <v>274</v>
      </c>
      <c r="B117" s="223"/>
      <c r="J117" s="165"/>
      <c r="K117" s="178"/>
      <c r="L117" s="178"/>
      <c r="M117" s="264" t="str">
        <f>M4</f>
        <v>Date: 10/1/2009</v>
      </c>
    </row>
    <row r="118" spans="1:13" ht="12">
      <c r="A118" s="166" t="s">
        <v>1</v>
      </c>
      <c r="B118" s="166"/>
      <c r="C118" s="166" t="s">
        <v>1</v>
      </c>
      <c r="D118" s="166" t="s">
        <v>1</v>
      </c>
      <c r="E118" s="166" t="s">
        <v>1</v>
      </c>
      <c r="F118" s="166"/>
      <c r="G118" s="166" t="s">
        <v>1</v>
      </c>
      <c r="H118" s="166" t="s">
        <v>1</v>
      </c>
      <c r="I118" s="166" t="s">
        <v>1</v>
      </c>
      <c r="J118" s="166" t="s">
        <v>1</v>
      </c>
      <c r="K118" s="166" t="s">
        <v>1</v>
      </c>
      <c r="L118" s="166"/>
      <c r="M118" s="166" t="s">
        <v>1</v>
      </c>
    </row>
    <row r="119" spans="1:13" ht="12">
      <c r="A119" s="168" t="s">
        <v>2</v>
      </c>
      <c r="B119" s="168"/>
      <c r="E119" s="168" t="s">
        <v>2</v>
      </c>
      <c r="F119" s="168"/>
      <c r="G119" s="178"/>
      <c r="H119" s="151" t="s">
        <v>240</v>
      </c>
      <c r="I119" s="162"/>
      <c r="J119" s="151" t="s">
        <v>247</v>
      </c>
      <c r="K119" s="151"/>
      <c r="M119" s="173" t="s">
        <v>576</v>
      </c>
    </row>
    <row r="120" spans="1:13" ht="12">
      <c r="A120" s="168" t="s">
        <v>4</v>
      </c>
      <c r="B120" s="168"/>
      <c r="C120" s="169" t="s">
        <v>0</v>
      </c>
      <c r="E120" s="168" t="s">
        <v>4</v>
      </c>
      <c r="F120" s="168"/>
      <c r="G120" s="178"/>
      <c r="H120" s="151" t="s">
        <v>7</v>
      </c>
      <c r="I120" s="178"/>
      <c r="J120" s="151" t="s">
        <v>7</v>
      </c>
      <c r="K120" s="151"/>
      <c r="M120" s="173" t="s">
        <v>8</v>
      </c>
    </row>
    <row r="121" spans="1:13" ht="12">
      <c r="A121" s="166" t="s">
        <v>1</v>
      </c>
      <c r="B121" s="166"/>
      <c r="C121" s="166" t="s">
        <v>1</v>
      </c>
      <c r="D121" s="166" t="s">
        <v>1</v>
      </c>
      <c r="E121" s="166" t="s">
        <v>1</v>
      </c>
      <c r="F121" s="166"/>
      <c r="G121" s="166" t="s">
        <v>1</v>
      </c>
      <c r="H121" s="40" t="s">
        <v>1</v>
      </c>
      <c r="I121" s="166" t="s">
        <v>1</v>
      </c>
      <c r="J121" s="166" t="s">
        <v>1</v>
      </c>
      <c r="K121" s="166"/>
      <c r="M121" s="166" t="s">
        <v>1</v>
      </c>
    </row>
    <row r="122" spans="1:13" ht="12">
      <c r="A122" s="174">
        <v>1</v>
      </c>
      <c r="B122" s="174"/>
      <c r="C122" s="169" t="s">
        <v>311</v>
      </c>
      <c r="E122" s="184">
        <v>1</v>
      </c>
      <c r="F122" s="184"/>
      <c r="G122" s="178"/>
      <c r="H122" s="151"/>
      <c r="I122" s="178"/>
      <c r="J122" s="188"/>
      <c r="K122" s="188"/>
      <c r="M122" s="164"/>
    </row>
    <row r="123" spans="1:13" ht="12">
      <c r="A123" s="174">
        <f aca="true" t="shared" si="3" ref="A123:A148">(A122+1)</f>
        <v>2</v>
      </c>
      <c r="B123" s="174"/>
      <c r="C123" s="169" t="s">
        <v>139</v>
      </c>
      <c r="E123" s="184">
        <v>2</v>
      </c>
      <c r="F123" s="184"/>
      <c r="G123" s="178"/>
      <c r="H123" s="189">
        <f>2709*2</f>
        <v>5418</v>
      </c>
      <c r="I123" s="179"/>
      <c r="J123" s="189">
        <f>2961*2</f>
        <v>5922</v>
      </c>
      <c r="K123" s="189"/>
      <c r="M123" s="189">
        <f>3223*2</f>
        <v>6446</v>
      </c>
    </row>
    <row r="124" spans="1:13" ht="12">
      <c r="A124" s="174">
        <f t="shared" si="3"/>
        <v>3</v>
      </c>
      <c r="B124" s="174"/>
      <c r="C124" s="169" t="s">
        <v>140</v>
      </c>
      <c r="E124" s="184">
        <v>3</v>
      </c>
      <c r="F124" s="184"/>
      <c r="G124" s="178"/>
      <c r="H124" s="189"/>
      <c r="I124" s="179"/>
      <c r="J124" s="189"/>
      <c r="K124" s="189"/>
      <c r="M124" s="189"/>
    </row>
    <row r="125" spans="1:13" ht="12">
      <c r="A125" s="174">
        <f t="shared" si="3"/>
        <v>4</v>
      </c>
      <c r="B125" s="174"/>
      <c r="C125" s="169" t="s">
        <v>312</v>
      </c>
      <c r="E125" s="184">
        <v>4</v>
      </c>
      <c r="F125" s="184"/>
      <c r="G125" s="178"/>
      <c r="H125" s="189">
        <f>4316*2</f>
        <v>8632</v>
      </c>
      <c r="I125" s="179"/>
      <c r="J125" s="189">
        <f>4725*2</f>
        <v>9450</v>
      </c>
      <c r="K125" s="189"/>
      <c r="M125" s="189">
        <f>5148*2</f>
        <v>10296</v>
      </c>
    </row>
    <row r="126" spans="1:13" ht="12">
      <c r="A126" s="174">
        <f t="shared" si="3"/>
        <v>5</v>
      </c>
      <c r="B126" s="174"/>
      <c r="C126" s="161" t="s">
        <v>313</v>
      </c>
      <c r="E126" s="184">
        <v>5</v>
      </c>
      <c r="F126" s="184"/>
      <c r="G126" s="178"/>
      <c r="H126" s="189">
        <f>3749*2</f>
        <v>7498</v>
      </c>
      <c r="I126" s="179"/>
      <c r="J126" s="189">
        <f>4106*2</f>
        <v>8212</v>
      </c>
      <c r="K126" s="189"/>
      <c r="M126" s="189">
        <f>4466*2</f>
        <v>8932</v>
      </c>
    </row>
    <row r="127" spans="1:13" ht="12">
      <c r="A127" s="174">
        <f t="shared" si="3"/>
        <v>6</v>
      </c>
      <c r="B127" s="174"/>
      <c r="C127" s="169" t="s">
        <v>314</v>
      </c>
      <c r="E127" s="184">
        <v>6</v>
      </c>
      <c r="F127" s="184"/>
      <c r="G127" s="178"/>
      <c r="H127" s="189">
        <f>2814*2</f>
        <v>5628</v>
      </c>
      <c r="I127" s="179"/>
      <c r="J127" s="189">
        <f>3077*2</f>
        <v>6154</v>
      </c>
      <c r="K127" s="189"/>
      <c r="M127" s="189">
        <f>3344*2</f>
        <v>6688</v>
      </c>
    </row>
    <row r="128" spans="1:13" ht="12">
      <c r="A128" s="174">
        <f t="shared" si="3"/>
        <v>7</v>
      </c>
      <c r="B128" s="174"/>
      <c r="C128" s="169" t="s">
        <v>0</v>
      </c>
      <c r="E128" s="184">
        <v>7</v>
      </c>
      <c r="F128" s="184"/>
      <c r="G128" s="178"/>
      <c r="H128" s="189"/>
      <c r="I128" s="179"/>
      <c r="J128" s="189"/>
      <c r="K128" s="189"/>
      <c r="M128" s="189"/>
    </row>
    <row r="129" spans="1:13" ht="12">
      <c r="A129" s="174">
        <f t="shared" si="3"/>
        <v>8</v>
      </c>
      <c r="B129" s="174"/>
      <c r="E129" s="184">
        <v>8</v>
      </c>
      <c r="F129" s="184"/>
      <c r="G129" s="178"/>
      <c r="H129" s="189"/>
      <c r="I129" s="178"/>
      <c r="J129" s="189"/>
      <c r="K129" s="189"/>
      <c r="M129" s="189"/>
    </row>
    <row r="130" spans="1:13" ht="12">
      <c r="A130" s="174">
        <f t="shared" si="3"/>
        <v>9</v>
      </c>
      <c r="B130" s="174"/>
      <c r="C130" s="169" t="s">
        <v>315</v>
      </c>
      <c r="E130" s="184">
        <v>9</v>
      </c>
      <c r="F130" s="184"/>
      <c r="G130" s="178"/>
      <c r="H130" s="189">
        <f>(335.03+7+67.24+28.5+10+7.4+53.44+100)*2</f>
        <v>1217.2199999999998</v>
      </c>
      <c r="I130" s="178"/>
      <c r="J130" s="189">
        <f>(348.24+7+67.24+28.5+10+9+58+150)*2</f>
        <v>1355.96</v>
      </c>
      <c r="K130" s="189"/>
      <c r="M130" s="189">
        <f>(349.32+28.5+10+200+9+72+67.24+7)*2</f>
        <v>1486.12</v>
      </c>
    </row>
    <row r="131" spans="1:13" ht="12">
      <c r="A131" s="174">
        <f t="shared" si="3"/>
        <v>10</v>
      </c>
      <c r="B131" s="174"/>
      <c r="C131" s="169" t="s">
        <v>0</v>
      </c>
      <c r="E131" s="184">
        <v>10</v>
      </c>
      <c r="F131" s="184"/>
      <c r="G131" s="178"/>
      <c r="H131" s="189"/>
      <c r="I131" s="178"/>
      <c r="J131" s="189"/>
      <c r="K131" s="189"/>
      <c r="M131" s="189"/>
    </row>
    <row r="132" spans="1:13" ht="12">
      <c r="A132" s="174">
        <f t="shared" si="3"/>
        <v>11</v>
      </c>
      <c r="B132" s="174"/>
      <c r="C132" s="169" t="s">
        <v>141</v>
      </c>
      <c r="E132" s="184">
        <v>11</v>
      </c>
      <c r="F132" s="184"/>
      <c r="G132" s="178"/>
      <c r="H132" s="189"/>
      <c r="I132" s="178"/>
      <c r="J132" s="189"/>
      <c r="K132" s="189"/>
      <c r="M132" s="189"/>
    </row>
    <row r="133" spans="1:13" ht="12">
      <c r="A133" s="174">
        <f t="shared" si="3"/>
        <v>12</v>
      </c>
      <c r="B133" s="174"/>
      <c r="C133" s="169" t="s">
        <v>139</v>
      </c>
      <c r="E133" s="184">
        <v>12</v>
      </c>
      <c r="F133" s="184"/>
      <c r="G133" s="178"/>
      <c r="H133" s="189">
        <f>3515*2</f>
        <v>7030</v>
      </c>
      <c r="I133" s="178"/>
      <c r="J133" s="189">
        <f>3789*2</f>
        <v>7578</v>
      </c>
      <c r="K133" s="189"/>
      <c r="M133" s="189">
        <f>4095*2</f>
        <v>8190</v>
      </c>
    </row>
    <row r="134" spans="1:13" ht="12">
      <c r="A134" s="174">
        <f t="shared" si="3"/>
        <v>13</v>
      </c>
      <c r="B134" s="174"/>
      <c r="C134" s="169" t="s">
        <v>140</v>
      </c>
      <c r="E134" s="184">
        <v>13</v>
      </c>
      <c r="F134" s="184"/>
      <c r="G134" s="178"/>
      <c r="H134" s="189"/>
      <c r="I134" s="178"/>
      <c r="J134" s="189"/>
      <c r="K134" s="189"/>
      <c r="M134" s="189"/>
    </row>
    <row r="135" spans="1:13" ht="12">
      <c r="A135" s="174">
        <f t="shared" si="3"/>
        <v>14</v>
      </c>
      <c r="B135" s="174"/>
      <c r="C135" s="169" t="s">
        <v>312</v>
      </c>
      <c r="E135" s="184">
        <v>14</v>
      </c>
      <c r="F135" s="184"/>
      <c r="G135" s="178"/>
      <c r="H135" s="189">
        <f>5046*2</f>
        <v>10092</v>
      </c>
      <c r="I135" s="384"/>
      <c r="J135" s="189">
        <f>5436*2</f>
        <v>10872</v>
      </c>
      <c r="K135" s="189"/>
      <c r="M135" s="189">
        <f>5868*2</f>
        <v>11736</v>
      </c>
    </row>
    <row r="136" spans="1:13" ht="12">
      <c r="A136" s="174">
        <f t="shared" si="3"/>
        <v>15</v>
      </c>
      <c r="B136" s="174"/>
      <c r="C136" s="169" t="s">
        <v>316</v>
      </c>
      <c r="E136" s="184">
        <v>15</v>
      </c>
      <c r="F136" s="184"/>
      <c r="G136" s="178"/>
      <c r="H136" s="189">
        <f>5239*2</f>
        <v>10478</v>
      </c>
      <c r="I136" s="384"/>
      <c r="J136" s="189">
        <f>6262*2</f>
        <v>12524</v>
      </c>
      <c r="K136" s="189"/>
      <c r="M136" s="189">
        <f>6768*2</f>
        <v>13536</v>
      </c>
    </row>
    <row r="137" spans="1:13" ht="12">
      <c r="A137" s="174">
        <f t="shared" si="3"/>
        <v>16</v>
      </c>
      <c r="B137" s="174"/>
      <c r="C137" s="161" t="s">
        <v>317</v>
      </c>
      <c r="E137" s="184">
        <v>16</v>
      </c>
      <c r="F137" s="184"/>
      <c r="G137" s="178"/>
      <c r="J137" s="189">
        <f>5643*2</f>
        <v>11286</v>
      </c>
      <c r="K137" s="189"/>
      <c r="M137" s="189">
        <f>6093*2</f>
        <v>12186</v>
      </c>
    </row>
    <row r="138" spans="1:13" ht="12">
      <c r="A138" s="174">
        <f t="shared" si="3"/>
        <v>17</v>
      </c>
      <c r="B138" s="174"/>
      <c r="C138" s="169" t="s">
        <v>313</v>
      </c>
      <c r="E138" s="184">
        <v>17</v>
      </c>
      <c r="F138" s="184"/>
      <c r="G138" s="178"/>
      <c r="H138" s="189">
        <f>4438*2</f>
        <v>8876</v>
      </c>
      <c r="I138" s="384"/>
      <c r="J138" s="189">
        <f>4779*2</f>
        <v>9558</v>
      </c>
      <c r="K138" s="189"/>
      <c r="M138" s="189">
        <f>5355*2</f>
        <v>10710</v>
      </c>
    </row>
    <row r="139" spans="1:13" ht="12">
      <c r="A139" s="174">
        <f t="shared" si="3"/>
        <v>18</v>
      </c>
      <c r="B139" s="174"/>
      <c r="C139" s="169" t="s">
        <v>0</v>
      </c>
      <c r="E139" s="184">
        <v>18</v>
      </c>
      <c r="F139" s="184"/>
      <c r="G139" s="178"/>
      <c r="H139" s="189"/>
      <c r="I139" s="384"/>
      <c r="J139" s="189"/>
      <c r="K139" s="189"/>
      <c r="M139" s="189"/>
    </row>
    <row r="140" spans="1:13" ht="12">
      <c r="A140" s="174">
        <f t="shared" si="3"/>
        <v>19</v>
      </c>
      <c r="B140" s="174"/>
      <c r="C140" s="161" t="s">
        <v>142</v>
      </c>
      <c r="E140" s="184">
        <v>19</v>
      </c>
      <c r="F140" s="184"/>
      <c r="G140" s="178"/>
      <c r="H140" s="189"/>
      <c r="J140" s="189"/>
      <c r="K140" s="189"/>
      <c r="M140" s="189"/>
    </row>
    <row r="141" spans="1:13" ht="12">
      <c r="A141" s="174">
        <f t="shared" si="3"/>
        <v>20</v>
      </c>
      <c r="B141" s="174"/>
      <c r="C141" s="169" t="s">
        <v>139</v>
      </c>
      <c r="E141" s="184">
        <v>20</v>
      </c>
      <c r="F141" s="184"/>
      <c r="G141" s="178"/>
      <c r="H141" s="190"/>
      <c r="I141" s="178"/>
      <c r="J141" s="190"/>
      <c r="K141" s="190"/>
      <c r="M141" s="190"/>
    </row>
    <row r="142" spans="1:13" ht="12">
      <c r="A142" s="174">
        <f t="shared" si="3"/>
        <v>21</v>
      </c>
      <c r="B142" s="174"/>
      <c r="C142" s="169" t="s">
        <v>140</v>
      </c>
      <c r="E142" s="184">
        <v>21</v>
      </c>
      <c r="F142" s="184"/>
      <c r="G142" s="178"/>
      <c r="H142" s="190"/>
      <c r="I142" s="178"/>
      <c r="J142" s="190"/>
      <c r="K142" s="190"/>
      <c r="M142" s="190"/>
    </row>
    <row r="143" spans="1:13" ht="12">
      <c r="A143" s="174">
        <f t="shared" si="3"/>
        <v>22</v>
      </c>
      <c r="B143" s="174"/>
      <c r="C143" s="169" t="s">
        <v>318</v>
      </c>
      <c r="E143" s="184">
        <v>22</v>
      </c>
      <c r="F143" s="184"/>
      <c r="G143" s="178"/>
      <c r="H143" s="190">
        <f>8511*2</f>
        <v>17022</v>
      </c>
      <c r="I143" s="384"/>
      <c r="J143" s="190">
        <f>10170*2</f>
        <v>20340</v>
      </c>
      <c r="K143" s="190"/>
      <c r="M143" s="190">
        <f>11781*2</f>
        <v>23562</v>
      </c>
    </row>
    <row r="144" spans="1:13" ht="12">
      <c r="A144" s="174">
        <f t="shared" si="3"/>
        <v>23</v>
      </c>
      <c r="B144" s="174"/>
      <c r="C144" s="169" t="s">
        <v>319</v>
      </c>
      <c r="E144" s="184">
        <v>23</v>
      </c>
      <c r="F144" s="184"/>
      <c r="G144" s="178"/>
      <c r="H144" s="190">
        <f>8205*2</f>
        <v>16410</v>
      </c>
      <c r="I144" s="178"/>
      <c r="J144" s="190">
        <f>9162*2</f>
        <v>18324</v>
      </c>
      <c r="K144" s="190"/>
      <c r="M144" s="190">
        <f>10980*2</f>
        <v>21960</v>
      </c>
    </row>
    <row r="145" spans="1:13" ht="12">
      <c r="A145" s="174">
        <f t="shared" si="3"/>
        <v>24</v>
      </c>
      <c r="B145" s="174"/>
      <c r="C145" s="169" t="s">
        <v>320</v>
      </c>
      <c r="E145" s="184">
        <v>24</v>
      </c>
      <c r="F145" s="184"/>
      <c r="G145" s="178"/>
      <c r="H145" s="190"/>
      <c r="I145" s="178"/>
      <c r="J145" s="190">
        <f>8838*2</f>
        <v>17676</v>
      </c>
      <c r="K145" s="190"/>
      <c r="M145" s="190">
        <f>9891*2</f>
        <v>19782</v>
      </c>
    </row>
    <row r="146" spans="1:13" ht="12">
      <c r="A146" s="174">
        <f t="shared" si="3"/>
        <v>25</v>
      </c>
      <c r="B146" s="174"/>
      <c r="E146" s="184">
        <v>25</v>
      </c>
      <c r="F146" s="184"/>
      <c r="G146" s="178"/>
      <c r="J146" s="189"/>
      <c r="K146" s="189"/>
      <c r="M146" s="189"/>
    </row>
    <row r="147" spans="1:13" ht="12">
      <c r="A147" s="174">
        <f t="shared" si="3"/>
        <v>26</v>
      </c>
      <c r="B147" s="174"/>
      <c r="C147" s="161" t="s">
        <v>321</v>
      </c>
      <c r="E147" s="184">
        <v>26</v>
      </c>
      <c r="F147" s="184"/>
      <c r="G147" s="178"/>
      <c r="H147" s="189">
        <f>(335.03+7+67.24+28.5+10+7.4+53.44+100+4.5)*2</f>
        <v>1226.2199999999998</v>
      </c>
      <c r="I147" s="178"/>
      <c r="J147" s="189">
        <f>(348.24+7+67.24+28.5+10+9+58+150+4.5)*2</f>
        <v>1364.96</v>
      </c>
      <c r="K147" s="189"/>
      <c r="M147" s="189">
        <f>(349.32+28.5+10+200+9+72+67.24+7+4.5)*2</f>
        <v>1495.12</v>
      </c>
    </row>
    <row r="148" spans="1:13" ht="12">
      <c r="A148" s="174">
        <f t="shared" si="3"/>
        <v>27</v>
      </c>
      <c r="B148" s="174"/>
      <c r="C148" s="169" t="s">
        <v>0</v>
      </c>
      <c r="E148" s="184">
        <v>27</v>
      </c>
      <c r="F148" s="184"/>
      <c r="G148" s="178"/>
      <c r="H148" s="28"/>
      <c r="I148" s="178"/>
      <c r="J148" s="190"/>
      <c r="K148" s="190"/>
      <c r="M148" s="190"/>
    </row>
    <row r="149" spans="1:13" ht="12">
      <c r="A149" s="174"/>
      <c r="B149" s="174"/>
      <c r="C149" s="169"/>
      <c r="E149" s="184"/>
      <c r="F149" s="184"/>
      <c r="G149" s="178"/>
      <c r="H149" s="74"/>
      <c r="I149" s="178"/>
      <c r="J149" s="191"/>
      <c r="K149" s="191"/>
      <c r="L149" s="190"/>
      <c r="M149" s="165"/>
    </row>
    <row r="150" spans="1:13" ht="12">
      <c r="A150" s="175" t="s">
        <v>656</v>
      </c>
      <c r="B150" s="175"/>
      <c r="C150" s="169" t="s">
        <v>657</v>
      </c>
      <c r="E150" s="184"/>
      <c r="F150" s="184"/>
      <c r="G150" s="178"/>
      <c r="H150" s="74"/>
      <c r="I150" s="178"/>
      <c r="J150" s="191"/>
      <c r="K150" s="191"/>
      <c r="L150" s="178"/>
      <c r="M150" s="165"/>
    </row>
    <row r="151" spans="1:13" ht="12">
      <c r="A151" s="174"/>
      <c r="B151" s="174"/>
      <c r="C151" s="169" t="s">
        <v>658</v>
      </c>
      <c r="E151" s="184"/>
      <c r="F151" s="184"/>
      <c r="G151" s="178"/>
      <c r="H151" s="165"/>
      <c r="I151" s="178"/>
      <c r="J151" s="165"/>
      <c r="K151" s="165"/>
      <c r="L151" s="178"/>
      <c r="M151" s="165"/>
    </row>
    <row r="152" spans="5:12" ht="12">
      <c r="E152" s="184"/>
      <c r="F152" s="184"/>
      <c r="G152" s="178"/>
      <c r="H152" s="165"/>
      <c r="I152" s="178"/>
      <c r="J152" s="165"/>
      <c r="K152" s="178"/>
      <c r="L152" s="178"/>
    </row>
    <row r="153" spans="1:13" ht="12">
      <c r="A153" s="223" t="s">
        <v>299</v>
      </c>
      <c r="B153" s="223"/>
      <c r="E153" s="184"/>
      <c r="F153" s="184"/>
      <c r="G153" s="178"/>
      <c r="H153" s="165"/>
      <c r="I153" s="178"/>
      <c r="J153" s="165"/>
      <c r="K153" s="178"/>
      <c r="L153" s="178"/>
      <c r="M153" s="163" t="s">
        <v>143</v>
      </c>
    </row>
    <row r="154" spans="1:13" ht="12">
      <c r="A154" s="411" t="s">
        <v>322</v>
      </c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</row>
    <row r="155" spans="1:13" ht="12">
      <c r="A155" s="223" t="s">
        <v>274</v>
      </c>
      <c r="B155" s="223"/>
      <c r="J155" s="165"/>
      <c r="K155" s="178"/>
      <c r="L155" s="178"/>
      <c r="M155" s="264" t="str">
        <f>M4</f>
        <v>Date: 10/1/2009</v>
      </c>
    </row>
    <row r="156" spans="1:13" ht="12">
      <c r="A156" s="166" t="s">
        <v>1</v>
      </c>
      <c r="B156" s="166"/>
      <c r="C156" s="166" t="s">
        <v>1</v>
      </c>
      <c r="D156" s="166" t="s">
        <v>1</v>
      </c>
      <c r="E156" s="166" t="s">
        <v>1</v>
      </c>
      <c r="F156" s="166"/>
      <c r="G156" s="166" t="s">
        <v>1</v>
      </c>
      <c r="H156" s="166" t="s">
        <v>1</v>
      </c>
      <c r="I156" s="166" t="s">
        <v>1</v>
      </c>
      <c r="J156" s="166" t="s">
        <v>1</v>
      </c>
      <c r="K156" s="166" t="s">
        <v>1</v>
      </c>
      <c r="L156" s="166"/>
      <c r="M156" s="166" t="s">
        <v>1</v>
      </c>
    </row>
    <row r="157" spans="1:13" ht="12">
      <c r="A157" s="168" t="s">
        <v>2</v>
      </c>
      <c r="B157" s="168"/>
      <c r="E157" s="168" t="s">
        <v>2</v>
      </c>
      <c r="F157" s="168"/>
      <c r="G157" s="178"/>
      <c r="H157" s="151" t="s">
        <v>240</v>
      </c>
      <c r="I157" s="162"/>
      <c r="J157" s="151" t="s">
        <v>247</v>
      </c>
      <c r="K157" s="151"/>
      <c r="M157" s="173" t="s">
        <v>576</v>
      </c>
    </row>
    <row r="158" spans="1:13" ht="12">
      <c r="A158" s="168" t="s">
        <v>4</v>
      </c>
      <c r="B158" s="168"/>
      <c r="C158" s="169" t="s">
        <v>0</v>
      </c>
      <c r="E158" s="168" t="s">
        <v>4</v>
      </c>
      <c r="F158" s="168"/>
      <c r="G158" s="178"/>
      <c r="H158" s="151" t="s">
        <v>7</v>
      </c>
      <c r="I158" s="178"/>
      <c r="J158" s="151" t="s">
        <v>7</v>
      </c>
      <c r="K158" s="151"/>
      <c r="M158" s="173" t="s">
        <v>8</v>
      </c>
    </row>
    <row r="159" spans="1:13" ht="12">
      <c r="A159" s="166" t="s">
        <v>1</v>
      </c>
      <c r="B159" s="166"/>
      <c r="C159" s="166" t="s">
        <v>1</v>
      </c>
      <c r="D159" s="166" t="s">
        <v>1</v>
      </c>
      <c r="E159" s="166" t="s">
        <v>1</v>
      </c>
      <c r="F159" s="166"/>
      <c r="G159" s="166" t="s">
        <v>1</v>
      </c>
      <c r="H159" s="40" t="s">
        <v>1</v>
      </c>
      <c r="I159" s="166" t="s">
        <v>1</v>
      </c>
      <c r="J159" s="166" t="s">
        <v>1</v>
      </c>
      <c r="K159" s="166"/>
      <c r="M159" s="166" t="s">
        <v>1</v>
      </c>
    </row>
    <row r="160" spans="1:13" ht="12">
      <c r="A160" s="174">
        <v>1</v>
      </c>
      <c r="B160" s="174"/>
      <c r="C160" s="169" t="s">
        <v>323</v>
      </c>
      <c r="E160" s="184">
        <v>1</v>
      </c>
      <c r="F160" s="184"/>
      <c r="G160" s="178"/>
      <c r="H160" s="78"/>
      <c r="I160" s="178"/>
      <c r="J160" s="165"/>
      <c r="K160" s="165"/>
      <c r="M160" s="178"/>
    </row>
    <row r="161" spans="1:13" ht="12">
      <c r="A161" s="174">
        <f aca="true" t="shared" si="4" ref="A161:A185">(A160+1)</f>
        <v>2</v>
      </c>
      <c r="B161" s="174"/>
      <c r="C161" s="169" t="s">
        <v>139</v>
      </c>
      <c r="E161" s="184">
        <v>2</v>
      </c>
      <c r="F161" s="184"/>
      <c r="G161" s="178"/>
      <c r="H161" s="189">
        <f>11790*2</f>
        <v>23580</v>
      </c>
      <c r="I161" s="179"/>
      <c r="J161" s="189">
        <f>12700*2</f>
        <v>25400</v>
      </c>
      <c r="K161" s="189"/>
      <c r="M161" s="189">
        <f>13350*2</f>
        <v>26700</v>
      </c>
    </row>
    <row r="162" spans="1:13" ht="12">
      <c r="A162" s="174">
        <f t="shared" si="4"/>
        <v>3</v>
      </c>
      <c r="B162" s="174"/>
      <c r="C162" s="169" t="s">
        <v>140</v>
      </c>
      <c r="E162" s="184">
        <v>3</v>
      </c>
      <c r="F162" s="184"/>
      <c r="G162" s="178"/>
      <c r="H162" s="189"/>
      <c r="I162" s="179"/>
      <c r="J162" s="189"/>
      <c r="K162" s="189"/>
      <c r="M162" s="189"/>
    </row>
    <row r="163" spans="1:13" ht="12">
      <c r="A163" s="174">
        <f t="shared" si="4"/>
        <v>4</v>
      </c>
      <c r="B163" s="174"/>
      <c r="C163" s="169" t="s">
        <v>312</v>
      </c>
      <c r="E163" s="184">
        <v>4</v>
      </c>
      <c r="F163" s="184"/>
      <c r="G163" s="178"/>
      <c r="H163" s="189">
        <f>13280*2</f>
        <v>26560</v>
      </c>
      <c r="I163" s="179"/>
      <c r="J163" s="189">
        <f>14300*2</f>
        <v>28600</v>
      </c>
      <c r="K163" s="189"/>
      <c r="M163" s="189">
        <f>15010*2</f>
        <v>30020</v>
      </c>
    </row>
    <row r="164" spans="1:13" ht="12">
      <c r="A164" s="174">
        <f t="shared" si="4"/>
        <v>5</v>
      </c>
      <c r="B164" s="174"/>
      <c r="C164" s="161" t="s">
        <v>313</v>
      </c>
      <c r="E164" s="184">
        <v>5</v>
      </c>
      <c r="F164" s="184"/>
      <c r="G164" s="178"/>
      <c r="H164" s="189">
        <f>12645*2</f>
        <v>25290</v>
      </c>
      <c r="I164" s="179"/>
      <c r="J164" s="189">
        <f>13620*2</f>
        <v>27240</v>
      </c>
      <c r="K164" s="189"/>
      <c r="M164" s="189">
        <f>14500*2</f>
        <v>29000</v>
      </c>
    </row>
    <row r="165" spans="1:13" ht="12">
      <c r="A165" s="174">
        <f t="shared" si="4"/>
        <v>6</v>
      </c>
      <c r="B165" s="174"/>
      <c r="C165" s="169" t="s">
        <v>314</v>
      </c>
      <c r="E165" s="184">
        <v>6</v>
      </c>
      <c r="F165" s="184"/>
      <c r="G165" s="178"/>
      <c r="H165" s="189">
        <f>11915*2</f>
        <v>23830</v>
      </c>
      <c r="I165" s="179"/>
      <c r="J165" s="189">
        <f>12830*2</f>
        <v>25660</v>
      </c>
      <c r="K165" s="189"/>
      <c r="M165" s="189">
        <f>13475*2</f>
        <v>26950</v>
      </c>
    </row>
    <row r="166" spans="1:13" ht="12">
      <c r="A166" s="174">
        <f t="shared" si="4"/>
        <v>7</v>
      </c>
      <c r="B166" s="174"/>
      <c r="C166" s="169" t="s">
        <v>0</v>
      </c>
      <c r="E166" s="184">
        <v>7</v>
      </c>
      <c r="F166" s="184"/>
      <c r="G166" s="178"/>
      <c r="H166" s="189"/>
      <c r="I166" s="179"/>
      <c r="J166" s="189"/>
      <c r="K166" s="189"/>
      <c r="M166" s="189"/>
    </row>
    <row r="167" spans="1:13" ht="12">
      <c r="A167" s="174">
        <f t="shared" si="4"/>
        <v>8</v>
      </c>
      <c r="B167" s="174"/>
      <c r="E167" s="184">
        <v>8</v>
      </c>
      <c r="F167" s="184"/>
      <c r="G167" s="178"/>
      <c r="H167" s="189"/>
      <c r="I167" s="178"/>
      <c r="J167" s="189"/>
      <c r="K167" s="189"/>
      <c r="M167" s="189"/>
    </row>
    <row r="168" spans="1:13" ht="12">
      <c r="A168" s="174">
        <f t="shared" si="4"/>
        <v>9</v>
      </c>
      <c r="B168" s="174"/>
      <c r="C168" s="169" t="s">
        <v>315</v>
      </c>
      <c r="E168" s="184">
        <v>9</v>
      </c>
      <c r="F168" s="184"/>
      <c r="G168" s="178"/>
      <c r="H168" s="189">
        <f>(335.03+7+67.24+28.5+10+7.4+53.44+100)*2</f>
        <v>1217.2199999999998</v>
      </c>
      <c r="I168" s="178"/>
      <c r="J168" s="189">
        <f>(348.24+7+67.24+28.5+10+9+58+150)*2</f>
        <v>1355.96</v>
      </c>
      <c r="K168" s="189"/>
      <c r="M168" s="189">
        <f>(349.32+28.5+10+200+9+72+67.24+7)*2</f>
        <v>1486.12</v>
      </c>
    </row>
    <row r="169" spans="1:13" ht="12">
      <c r="A169" s="174">
        <f t="shared" si="4"/>
        <v>10</v>
      </c>
      <c r="B169" s="174"/>
      <c r="C169" s="169" t="s">
        <v>0</v>
      </c>
      <c r="E169" s="184">
        <v>10</v>
      </c>
      <c r="F169" s="184"/>
      <c r="G169" s="178"/>
      <c r="H169" s="189"/>
      <c r="I169" s="178"/>
      <c r="J169" s="189"/>
      <c r="K169" s="189"/>
      <c r="M169" s="189"/>
    </row>
    <row r="170" spans="1:13" ht="12">
      <c r="A170" s="174">
        <f t="shared" si="4"/>
        <v>11</v>
      </c>
      <c r="B170" s="174"/>
      <c r="C170" s="169" t="s">
        <v>141</v>
      </c>
      <c r="E170" s="184">
        <v>11</v>
      </c>
      <c r="F170" s="184"/>
      <c r="G170" s="178"/>
      <c r="H170" s="189"/>
      <c r="I170" s="178"/>
      <c r="J170" s="189"/>
      <c r="K170" s="189"/>
      <c r="M170" s="189"/>
    </row>
    <row r="171" spans="1:13" ht="12">
      <c r="A171" s="174">
        <f t="shared" si="4"/>
        <v>12</v>
      </c>
      <c r="B171" s="174"/>
      <c r="C171" s="169" t="s">
        <v>139</v>
      </c>
      <c r="E171" s="184">
        <v>12</v>
      </c>
      <c r="F171" s="184"/>
      <c r="G171" s="178"/>
      <c r="H171" s="189">
        <f>10972*2</f>
        <v>21944</v>
      </c>
      <c r="I171" s="178"/>
      <c r="J171" s="189">
        <f>11385*2</f>
        <v>22770</v>
      </c>
      <c r="K171" s="189"/>
      <c r="M171" s="189">
        <f>11673*2</f>
        <v>23346</v>
      </c>
    </row>
    <row r="172" spans="1:13" ht="12">
      <c r="A172" s="174">
        <f t="shared" si="4"/>
        <v>13</v>
      </c>
      <c r="B172" s="174"/>
      <c r="C172" s="169" t="s">
        <v>140</v>
      </c>
      <c r="E172" s="184">
        <v>13</v>
      </c>
      <c r="F172" s="184"/>
      <c r="G172" s="178"/>
      <c r="H172" s="189"/>
      <c r="I172" s="178"/>
      <c r="J172" s="189"/>
      <c r="K172" s="189"/>
      <c r="M172" s="189"/>
    </row>
    <row r="173" spans="1:13" ht="12">
      <c r="A173" s="174">
        <f t="shared" si="4"/>
        <v>14</v>
      </c>
      <c r="B173" s="174"/>
      <c r="C173" s="169" t="s">
        <v>324</v>
      </c>
      <c r="E173" s="184">
        <v>14</v>
      </c>
      <c r="F173" s="184"/>
      <c r="G173" s="178"/>
      <c r="H173" s="189">
        <f>12317*2</f>
        <v>24634</v>
      </c>
      <c r="I173" s="384"/>
      <c r="J173" s="189">
        <f>12789*2</f>
        <v>25578</v>
      </c>
      <c r="K173" s="189"/>
      <c r="M173" s="189">
        <f>13113*2</f>
        <v>26226</v>
      </c>
    </row>
    <row r="174" spans="1:13" ht="12">
      <c r="A174" s="174">
        <f t="shared" si="4"/>
        <v>15</v>
      </c>
      <c r="B174" s="174"/>
      <c r="C174" s="161" t="s">
        <v>325</v>
      </c>
      <c r="E174" s="184">
        <v>15</v>
      </c>
      <c r="F174" s="184"/>
      <c r="G174" s="178"/>
      <c r="J174" s="189">
        <f>13000*2</f>
        <v>26000</v>
      </c>
      <c r="K174" s="189"/>
      <c r="M174" s="189">
        <f>13320*2</f>
        <v>26640</v>
      </c>
    </row>
    <row r="175" spans="1:13" ht="12">
      <c r="A175" s="174">
        <f t="shared" si="4"/>
        <v>16</v>
      </c>
      <c r="B175" s="174"/>
      <c r="C175" s="169" t="s">
        <v>313</v>
      </c>
      <c r="E175" s="184">
        <v>16</v>
      </c>
      <c r="F175" s="184"/>
      <c r="G175" s="178"/>
      <c r="H175" s="189">
        <f>11788*2</f>
        <v>23576</v>
      </c>
      <c r="I175" s="384"/>
      <c r="J175" s="189">
        <f>12240*2</f>
        <v>24480</v>
      </c>
      <c r="K175" s="189"/>
      <c r="M175" s="189">
        <f>12744*2</f>
        <v>25488</v>
      </c>
    </row>
    <row r="176" spans="1:13" ht="12">
      <c r="A176" s="174">
        <f t="shared" si="4"/>
        <v>17</v>
      </c>
      <c r="B176" s="174"/>
      <c r="C176" s="169" t="s">
        <v>314</v>
      </c>
      <c r="E176" s="184">
        <v>17</v>
      </c>
      <c r="F176" s="184"/>
      <c r="G176" s="178"/>
      <c r="H176" s="189">
        <f>11099*2</f>
        <v>22198</v>
      </c>
      <c r="I176" s="384"/>
      <c r="J176" s="189">
        <f>11520*2</f>
        <v>23040</v>
      </c>
      <c r="K176" s="189"/>
      <c r="M176" s="189">
        <f>11808*2</f>
        <v>23616</v>
      </c>
    </row>
    <row r="177" spans="1:13" ht="12">
      <c r="A177" s="174">
        <f t="shared" si="4"/>
        <v>18</v>
      </c>
      <c r="B177" s="174"/>
      <c r="E177" s="184">
        <v>18</v>
      </c>
      <c r="F177" s="184"/>
      <c r="G177" s="178"/>
      <c r="H177" s="189"/>
      <c r="J177" s="189"/>
      <c r="K177" s="189"/>
      <c r="M177" s="189"/>
    </row>
    <row r="178" spans="1:13" ht="12">
      <c r="A178" s="174">
        <f t="shared" si="4"/>
        <v>19</v>
      </c>
      <c r="B178" s="174"/>
      <c r="C178" s="161" t="s">
        <v>142</v>
      </c>
      <c r="E178" s="184">
        <v>19</v>
      </c>
      <c r="F178" s="184"/>
      <c r="G178" s="178"/>
      <c r="H178" s="189"/>
      <c r="I178" s="178"/>
      <c r="J178" s="189"/>
      <c r="K178" s="189"/>
      <c r="M178" s="189"/>
    </row>
    <row r="179" spans="1:13" ht="12">
      <c r="A179" s="174">
        <f t="shared" si="4"/>
        <v>20</v>
      </c>
      <c r="B179" s="174"/>
      <c r="C179" s="169" t="s">
        <v>139</v>
      </c>
      <c r="E179" s="184">
        <v>20</v>
      </c>
      <c r="F179" s="184"/>
      <c r="G179" s="178"/>
      <c r="H179" s="189"/>
      <c r="J179" s="189"/>
      <c r="K179" s="189"/>
      <c r="M179" s="189"/>
    </row>
    <row r="180" spans="1:13" ht="12">
      <c r="A180" s="174">
        <f t="shared" si="4"/>
        <v>21</v>
      </c>
      <c r="B180" s="174"/>
      <c r="C180" s="169" t="s">
        <v>140</v>
      </c>
      <c r="E180" s="184">
        <v>21</v>
      </c>
      <c r="F180" s="184"/>
      <c r="G180" s="178"/>
      <c r="H180" s="190"/>
      <c r="I180" s="178"/>
      <c r="J180" s="190"/>
      <c r="K180" s="190"/>
      <c r="M180" s="190"/>
    </row>
    <row r="181" spans="1:13" ht="12">
      <c r="A181" s="174">
        <f t="shared" si="4"/>
        <v>22</v>
      </c>
      <c r="B181" s="174"/>
      <c r="C181" s="169" t="s">
        <v>326</v>
      </c>
      <c r="E181" s="184">
        <v>22</v>
      </c>
      <c r="F181" s="184"/>
      <c r="G181" s="178"/>
      <c r="H181" s="190">
        <f>14853*2</f>
        <v>29706</v>
      </c>
      <c r="I181" s="384"/>
      <c r="J181" s="190">
        <f>15426*2</f>
        <v>30852</v>
      </c>
      <c r="K181" s="190"/>
      <c r="M181" s="190">
        <f>15813*2</f>
        <v>31626</v>
      </c>
    </row>
    <row r="182" spans="1:13" ht="12">
      <c r="A182" s="174">
        <f t="shared" si="4"/>
        <v>23</v>
      </c>
      <c r="B182" s="174"/>
      <c r="E182" s="184">
        <v>23</v>
      </c>
      <c r="F182" s="184"/>
      <c r="G182" s="178"/>
      <c r="H182" s="190"/>
      <c r="I182" s="178"/>
      <c r="J182" s="190"/>
      <c r="K182" s="190"/>
      <c r="M182" s="190"/>
    </row>
    <row r="183" spans="1:13" ht="12">
      <c r="A183" s="174">
        <f t="shared" si="4"/>
        <v>24</v>
      </c>
      <c r="B183" s="174"/>
      <c r="C183" s="169"/>
      <c r="E183" s="184">
        <v>24</v>
      </c>
      <c r="F183" s="184"/>
      <c r="G183" s="178"/>
      <c r="H183" s="190"/>
      <c r="I183" s="178"/>
      <c r="J183" s="190"/>
      <c r="K183" s="190"/>
      <c r="M183" s="190"/>
    </row>
    <row r="184" spans="1:13" ht="12">
      <c r="A184" s="174">
        <f t="shared" si="4"/>
        <v>25</v>
      </c>
      <c r="B184" s="174"/>
      <c r="C184" s="161" t="s">
        <v>321</v>
      </c>
      <c r="E184" s="184">
        <v>25</v>
      </c>
      <c r="F184" s="184"/>
      <c r="G184" s="178"/>
      <c r="H184" s="189">
        <f>(335.03+7+67.24+28.5+10+7.4+53.44+100+4.5)*2</f>
        <v>1226.2199999999998</v>
      </c>
      <c r="I184" s="178"/>
      <c r="J184" s="189">
        <f>(348.24+7+67.24+28.5+10+9+58+150+4.5)*2</f>
        <v>1364.96</v>
      </c>
      <c r="K184" s="189"/>
      <c r="M184" s="189">
        <f>(349.32+28.5+10+200+9+72+67.24+7+4.5)*2</f>
        <v>1495.12</v>
      </c>
    </row>
    <row r="185" spans="1:13" ht="12">
      <c r="A185" s="174">
        <f t="shared" si="4"/>
        <v>26</v>
      </c>
      <c r="B185" s="174"/>
      <c r="C185" s="169" t="s">
        <v>0</v>
      </c>
      <c r="E185" s="184">
        <v>26</v>
      </c>
      <c r="F185" s="184"/>
      <c r="G185" s="178"/>
      <c r="H185" s="74"/>
      <c r="I185" s="178"/>
      <c r="J185" s="191"/>
      <c r="K185" s="191"/>
      <c r="L185" s="190"/>
      <c r="M185" s="165"/>
    </row>
    <row r="186" spans="1:13" ht="12">
      <c r="A186" s="174"/>
      <c r="B186" s="174"/>
      <c r="C186" s="169" t="s">
        <v>0</v>
      </c>
      <c r="E186" s="184"/>
      <c r="F186" s="184"/>
      <c r="G186" s="178"/>
      <c r="H186" s="28"/>
      <c r="I186" s="178"/>
      <c r="J186" s="191"/>
      <c r="K186" s="191"/>
      <c r="L186" s="191"/>
      <c r="M186" s="165"/>
    </row>
    <row r="187" spans="11:12" ht="12">
      <c r="K187" s="192"/>
      <c r="L187" s="192"/>
    </row>
    <row r="188" spans="3:13" ht="12">
      <c r="C188" s="169" t="s">
        <v>299</v>
      </c>
      <c r="K188" s="192"/>
      <c r="L188" s="192"/>
      <c r="M188" s="175" t="s">
        <v>162</v>
      </c>
    </row>
    <row r="189" spans="1:13" ht="12">
      <c r="A189" s="410" t="s">
        <v>327</v>
      </c>
      <c r="B189" s="410"/>
      <c r="C189" s="410"/>
      <c r="D189" s="410"/>
      <c r="E189" s="410"/>
      <c r="F189" s="410"/>
      <c r="G189" s="410"/>
      <c r="H189" s="410"/>
      <c r="I189" s="410"/>
      <c r="J189" s="410"/>
      <c r="K189" s="410"/>
      <c r="L189" s="410"/>
      <c r="M189" s="410"/>
    </row>
    <row r="190" spans="3:13" ht="12">
      <c r="C190" s="223" t="s">
        <v>328</v>
      </c>
      <c r="D190" s="193"/>
      <c r="M190" s="264" t="str">
        <f>M4</f>
        <v>Date: 10/1/2009</v>
      </c>
    </row>
    <row r="191" spans="3:13" ht="12">
      <c r="C191" s="166" t="s">
        <v>1</v>
      </c>
      <c r="D191" s="166" t="s">
        <v>1</v>
      </c>
      <c r="G191" s="166" t="s">
        <v>1</v>
      </c>
      <c r="H191" s="166" t="s">
        <v>1</v>
      </c>
      <c r="I191" s="166" t="s">
        <v>1</v>
      </c>
      <c r="J191" s="166" t="s">
        <v>1</v>
      </c>
      <c r="K191" s="166" t="s">
        <v>1</v>
      </c>
      <c r="L191" s="166"/>
      <c r="M191" s="166"/>
    </row>
    <row r="192" spans="4:9" ht="12">
      <c r="D192" s="171" t="s">
        <v>240</v>
      </c>
      <c r="I192" s="171" t="s">
        <v>247</v>
      </c>
    </row>
    <row r="193" spans="4:9" ht="12">
      <c r="D193" s="171" t="s">
        <v>164</v>
      </c>
      <c r="I193" s="171" t="s">
        <v>164</v>
      </c>
    </row>
    <row r="194" spans="4:13" ht="12">
      <c r="D194" s="171" t="s">
        <v>21</v>
      </c>
      <c r="G194" s="171" t="s">
        <v>21</v>
      </c>
      <c r="H194" s="171" t="s">
        <v>165</v>
      </c>
      <c r="I194" s="171" t="s">
        <v>21</v>
      </c>
      <c r="J194" s="171" t="s">
        <v>21</v>
      </c>
      <c r="K194" s="171"/>
      <c r="L194" s="171" t="s">
        <v>165</v>
      </c>
      <c r="M194" s="171"/>
    </row>
    <row r="195" spans="3:13" ht="12">
      <c r="C195" s="171" t="s">
        <v>166</v>
      </c>
      <c r="D195" s="171" t="s">
        <v>167</v>
      </c>
      <c r="G195" s="171" t="s">
        <v>168</v>
      </c>
      <c r="H195" s="171" t="s">
        <v>169</v>
      </c>
      <c r="I195" s="171" t="s">
        <v>167</v>
      </c>
      <c r="J195" s="171" t="s">
        <v>168</v>
      </c>
      <c r="K195" s="171"/>
      <c r="L195" s="171" t="s">
        <v>169</v>
      </c>
      <c r="M195" s="171"/>
    </row>
    <row r="196" spans="3:13" ht="12">
      <c r="C196" s="166" t="s">
        <v>1</v>
      </c>
      <c r="D196" s="166" t="s">
        <v>1</v>
      </c>
      <c r="G196" s="166" t="s">
        <v>1</v>
      </c>
      <c r="H196" s="166" t="s">
        <v>1</v>
      </c>
      <c r="I196" s="166" t="s">
        <v>1</v>
      </c>
      <c r="J196" s="166" t="s">
        <v>1</v>
      </c>
      <c r="K196" s="166"/>
      <c r="L196" s="166" t="s">
        <v>1</v>
      </c>
      <c r="M196" s="166"/>
    </row>
    <row r="198" spans="3:12" ht="12">
      <c r="C198" s="169" t="s">
        <v>170</v>
      </c>
      <c r="D198" s="186"/>
      <c r="G198" s="186"/>
      <c r="H198" s="164">
        <v>0</v>
      </c>
      <c r="I198" s="186"/>
      <c r="J198" s="186"/>
      <c r="K198" s="186"/>
      <c r="L198" s="164">
        <v>0</v>
      </c>
    </row>
    <row r="199" spans="4:11" ht="12">
      <c r="D199" s="186"/>
      <c r="G199" s="186"/>
      <c r="I199" s="186"/>
      <c r="J199" s="186"/>
      <c r="K199" s="186"/>
    </row>
    <row r="200" spans="3:13" ht="12">
      <c r="C200" s="169" t="s">
        <v>171</v>
      </c>
      <c r="D200" s="185">
        <v>13827.3</v>
      </c>
      <c r="E200" s="185"/>
      <c r="F200" s="185"/>
      <c r="G200" s="185">
        <v>554.6</v>
      </c>
      <c r="H200" s="164">
        <v>24.93202307969708</v>
      </c>
      <c r="I200" s="185">
        <v>14190.2</v>
      </c>
      <c r="J200" s="185">
        <v>552.1</v>
      </c>
      <c r="K200" s="185"/>
      <c r="L200" s="164">
        <v>25.702227857272234</v>
      </c>
      <c r="M200" s="174"/>
    </row>
    <row r="201" spans="4:11" ht="12">
      <c r="D201" s="186"/>
      <c r="E201" s="186"/>
      <c r="F201" s="186"/>
      <c r="G201" s="186"/>
      <c r="I201" s="186"/>
      <c r="J201" s="186"/>
      <c r="K201" s="186"/>
    </row>
    <row r="202" spans="3:13" ht="12">
      <c r="C202" s="169" t="s">
        <v>172</v>
      </c>
      <c r="D202" s="185">
        <v>9701.6</v>
      </c>
      <c r="E202" s="185"/>
      <c r="F202" s="185"/>
      <c r="G202" s="185">
        <v>592.5</v>
      </c>
      <c r="H202" s="164">
        <v>16.374008438818567</v>
      </c>
      <c r="I202" s="185">
        <v>9925.8</v>
      </c>
      <c r="J202" s="185">
        <v>598.7</v>
      </c>
      <c r="K202" s="185"/>
      <c r="L202" s="164">
        <v>16.578920995490225</v>
      </c>
      <c r="M202" s="174"/>
    </row>
    <row r="203" spans="4:11" ht="12">
      <c r="D203" s="186"/>
      <c r="G203" s="186"/>
      <c r="I203" s="186"/>
      <c r="J203" s="186"/>
      <c r="K203" s="186"/>
    </row>
    <row r="204" spans="3:13" ht="12">
      <c r="C204" s="169" t="s">
        <v>173</v>
      </c>
      <c r="D204" s="185">
        <v>23528.9</v>
      </c>
      <c r="E204" s="174"/>
      <c r="F204" s="174"/>
      <c r="G204" s="185">
        <v>1147.1</v>
      </c>
      <c r="H204" s="164">
        <v>20.511638043762535</v>
      </c>
      <c r="I204" s="185">
        <v>24116</v>
      </c>
      <c r="J204" s="185">
        <v>1150.8000000000002</v>
      </c>
      <c r="K204" s="185"/>
      <c r="L204" s="164">
        <v>20.95585679527285</v>
      </c>
      <c r="M204" s="174"/>
    </row>
    <row r="205" spans="4:11" ht="12">
      <c r="D205" s="186"/>
      <c r="G205" s="186"/>
      <c r="I205" s="186"/>
      <c r="J205" s="186"/>
      <c r="K205" s="186"/>
    </row>
    <row r="206" spans="4:11" ht="12">
      <c r="D206" s="186"/>
      <c r="E206" s="186"/>
      <c r="F206" s="186"/>
      <c r="G206" s="186"/>
      <c r="I206" s="186"/>
      <c r="J206" s="186"/>
      <c r="K206" s="186"/>
    </row>
    <row r="207" spans="3:13" ht="12">
      <c r="C207" s="169" t="s">
        <v>174</v>
      </c>
      <c r="D207" s="186">
        <v>1548.8</v>
      </c>
      <c r="E207" s="186"/>
      <c r="F207" s="186"/>
      <c r="G207" s="186">
        <v>284.5</v>
      </c>
      <c r="H207" s="164">
        <v>5.443936731107206</v>
      </c>
      <c r="I207" s="186">
        <v>1610.2</v>
      </c>
      <c r="J207" s="186">
        <v>296.3</v>
      </c>
      <c r="K207" s="186"/>
      <c r="L207" s="164">
        <v>5.434357070536619</v>
      </c>
      <c r="M207" s="174"/>
    </row>
    <row r="208" spans="4:11" ht="12">
      <c r="D208" s="186"/>
      <c r="E208" s="186"/>
      <c r="F208" s="186"/>
      <c r="G208" s="186"/>
      <c r="I208" s="186"/>
      <c r="J208" s="186"/>
      <c r="K208" s="186"/>
    </row>
    <row r="209" spans="3:13" ht="12">
      <c r="C209" s="169" t="s">
        <v>175</v>
      </c>
      <c r="D209" s="186">
        <v>1024.7</v>
      </c>
      <c r="E209" s="186"/>
      <c r="F209" s="186"/>
      <c r="G209" s="186">
        <v>335.7</v>
      </c>
      <c r="H209" s="164">
        <v>3.0524277628835272</v>
      </c>
      <c r="I209" s="186">
        <v>1088.6</v>
      </c>
      <c r="J209" s="186">
        <v>340.6</v>
      </c>
      <c r="K209" s="186"/>
      <c r="L209" s="164">
        <v>3.1961244862008216</v>
      </c>
      <c r="M209" s="174"/>
    </row>
    <row r="210" spans="4:11" ht="12">
      <c r="D210" s="186"/>
      <c r="E210" s="186"/>
      <c r="F210" s="186"/>
      <c r="G210" s="186"/>
      <c r="I210" s="186"/>
      <c r="J210" s="186"/>
      <c r="K210" s="186"/>
    </row>
    <row r="211" spans="3:13" ht="12">
      <c r="C211" s="169" t="s">
        <v>176</v>
      </c>
      <c r="D211" s="186">
        <v>2573.5</v>
      </c>
      <c r="E211" s="186"/>
      <c r="F211" s="186"/>
      <c r="G211" s="186">
        <v>620.2</v>
      </c>
      <c r="H211" s="164">
        <v>4.149467913576266</v>
      </c>
      <c r="I211" s="186">
        <v>2698.8</v>
      </c>
      <c r="J211" s="186">
        <v>636.9000000000001</v>
      </c>
      <c r="K211" s="186"/>
      <c r="L211" s="164">
        <v>4.237399905793688</v>
      </c>
      <c r="M211" s="174"/>
    </row>
    <row r="212" spans="4:11" ht="12">
      <c r="D212" s="186"/>
      <c r="E212" s="186"/>
      <c r="F212" s="186"/>
      <c r="G212" s="186"/>
      <c r="I212" s="186"/>
      <c r="J212" s="186"/>
      <c r="K212" s="186"/>
    </row>
    <row r="213" spans="3:13" ht="12">
      <c r="C213" s="169" t="s">
        <v>177</v>
      </c>
      <c r="D213" s="185">
        <v>26102.4</v>
      </c>
      <c r="E213" s="186"/>
      <c r="F213" s="186"/>
      <c r="G213" s="185">
        <v>1767.3</v>
      </c>
      <c r="H213" s="164">
        <v>14.769648616533697</v>
      </c>
      <c r="I213" s="185">
        <v>26814.8</v>
      </c>
      <c r="J213" s="185">
        <v>1787.7000000000003</v>
      </c>
      <c r="K213" s="185"/>
      <c r="L213" s="164">
        <v>14.99960843541981</v>
      </c>
      <c r="M213" s="174"/>
    </row>
    <row r="214" spans="4:7" ht="12">
      <c r="D214" s="186"/>
      <c r="E214" s="186"/>
      <c r="F214" s="186"/>
      <c r="G214" s="186"/>
    </row>
    <row r="221" ht="12">
      <c r="C221" s="169" t="s">
        <v>178</v>
      </c>
    </row>
    <row r="222" ht="12">
      <c r="C222" s="169" t="s">
        <v>329</v>
      </c>
    </row>
    <row r="223" spans="5:12" ht="12">
      <c r="E223" s="184"/>
      <c r="F223" s="184"/>
      <c r="G223" s="178"/>
      <c r="H223" s="165"/>
      <c r="I223" s="178"/>
      <c r="J223" s="165"/>
      <c r="K223" s="178"/>
      <c r="L223" s="178"/>
    </row>
    <row r="224" spans="1:13" ht="12">
      <c r="A224" s="223" t="s">
        <v>299</v>
      </c>
      <c r="B224" s="223"/>
      <c r="E224" s="184"/>
      <c r="F224" s="184"/>
      <c r="G224" s="178"/>
      <c r="H224" s="165"/>
      <c r="I224" s="178"/>
      <c r="J224" s="165"/>
      <c r="K224" s="178"/>
      <c r="L224" s="178"/>
      <c r="M224" s="163" t="s">
        <v>60</v>
      </c>
    </row>
    <row r="225" spans="1:13" ht="12">
      <c r="A225" s="407" t="s">
        <v>330</v>
      </c>
      <c r="B225" s="407"/>
      <c r="C225" s="407"/>
      <c r="D225" s="407"/>
      <c r="E225" s="407"/>
      <c r="F225" s="407"/>
      <c r="G225" s="407"/>
      <c r="H225" s="407"/>
      <c r="I225" s="407"/>
      <c r="J225" s="407"/>
      <c r="K225" s="407"/>
      <c r="L225" s="407"/>
      <c r="M225" s="407"/>
    </row>
    <row r="226" spans="1:13" ht="12">
      <c r="A226" s="223" t="s">
        <v>274</v>
      </c>
      <c r="B226" s="223"/>
      <c r="G226" s="178"/>
      <c r="H226" s="165"/>
      <c r="I226" s="195"/>
      <c r="J226" s="196"/>
      <c r="K226" s="178"/>
      <c r="L226" s="178"/>
      <c r="M226" s="264" t="str">
        <f>M4</f>
        <v>Date: 10/1/2009</v>
      </c>
    </row>
    <row r="227" spans="1:13" ht="12">
      <c r="A227" s="166" t="s">
        <v>1</v>
      </c>
      <c r="B227" s="166"/>
      <c r="C227" s="166" t="s">
        <v>1</v>
      </c>
      <c r="D227" s="166" t="s">
        <v>1</v>
      </c>
      <c r="E227" s="166" t="s">
        <v>1</v>
      </c>
      <c r="F227" s="166"/>
      <c r="G227" s="166" t="s">
        <v>1</v>
      </c>
      <c r="H227" s="166" t="s">
        <v>1</v>
      </c>
      <c r="I227" s="166" t="s">
        <v>1</v>
      </c>
      <c r="J227" s="166" t="s">
        <v>1</v>
      </c>
      <c r="K227" s="166" t="s">
        <v>1</v>
      </c>
      <c r="L227" s="166"/>
      <c r="M227" s="166" t="s">
        <v>1</v>
      </c>
    </row>
    <row r="228" spans="1:13" ht="12">
      <c r="A228" s="168" t="s">
        <v>2</v>
      </c>
      <c r="B228" s="168"/>
      <c r="E228" s="168" t="s">
        <v>2</v>
      </c>
      <c r="F228" s="168"/>
      <c r="G228" s="151"/>
      <c r="H228" s="151" t="s">
        <v>240</v>
      </c>
      <c r="I228" s="151"/>
      <c r="J228" s="151" t="s">
        <v>247</v>
      </c>
      <c r="K228" s="151"/>
      <c r="L228" s="151"/>
      <c r="M228" s="151" t="s">
        <v>576</v>
      </c>
    </row>
    <row r="229" spans="1:13" ht="12">
      <c r="A229" s="168" t="s">
        <v>4</v>
      </c>
      <c r="B229" s="168"/>
      <c r="C229" s="171" t="s">
        <v>650</v>
      </c>
      <c r="E229" s="168" t="s">
        <v>4</v>
      </c>
      <c r="F229" s="168"/>
      <c r="G229" s="197" t="s">
        <v>21</v>
      </c>
      <c r="H229" s="151" t="s">
        <v>7</v>
      </c>
      <c r="I229" s="164" t="s">
        <v>21</v>
      </c>
      <c r="J229" s="173" t="s">
        <v>7</v>
      </c>
      <c r="K229" s="173"/>
      <c r="L229" s="164" t="s">
        <v>21</v>
      </c>
      <c r="M229" s="173" t="s">
        <v>8</v>
      </c>
    </row>
    <row r="230" spans="1:13" ht="12">
      <c r="A230" s="166" t="s">
        <v>1</v>
      </c>
      <c r="B230" s="166"/>
      <c r="C230" s="166" t="s">
        <v>1</v>
      </c>
      <c r="D230" s="166" t="s">
        <v>1</v>
      </c>
      <c r="E230" s="166" t="s">
        <v>1</v>
      </c>
      <c r="F230" s="166"/>
      <c r="G230" s="40" t="s">
        <v>1</v>
      </c>
      <c r="H230" s="40" t="s">
        <v>1</v>
      </c>
      <c r="I230" s="166" t="s">
        <v>1</v>
      </c>
      <c r="J230" s="166" t="s">
        <v>1</v>
      </c>
      <c r="K230" s="166"/>
      <c r="L230" s="166" t="s">
        <v>1</v>
      </c>
      <c r="M230" s="177" t="s">
        <v>1</v>
      </c>
    </row>
    <row r="231" spans="1:13" ht="12">
      <c r="A231" s="166"/>
      <c r="B231" s="166"/>
      <c r="C231" s="166"/>
      <c r="D231" s="166"/>
      <c r="E231" s="166"/>
      <c r="F231" s="166"/>
      <c r="G231" s="40"/>
      <c r="H231" s="40"/>
      <c r="I231" s="166"/>
      <c r="J231" s="166"/>
      <c r="K231" s="166"/>
      <c r="L231" s="166"/>
      <c r="M231" s="177"/>
    </row>
    <row r="232" spans="1:13" ht="12">
      <c r="A232" s="174">
        <v>1</v>
      </c>
      <c r="B232" s="174"/>
      <c r="C232" s="169" t="s">
        <v>61</v>
      </c>
      <c r="E232" s="174">
        <v>1</v>
      </c>
      <c r="F232" s="174"/>
      <c r="G232" s="87"/>
      <c r="H232" s="78"/>
      <c r="I232" s="162"/>
      <c r="J232" s="165"/>
      <c r="K232" s="165"/>
      <c r="L232" s="162"/>
      <c r="M232" s="165"/>
    </row>
    <row r="233" spans="1:13" ht="12">
      <c r="A233" s="174">
        <f aca="true" t="shared" si="5" ref="A233:A254">(A232+1)</f>
        <v>2</v>
      </c>
      <c r="B233" s="174"/>
      <c r="C233" s="169" t="s">
        <v>651</v>
      </c>
      <c r="D233" s="169" t="s">
        <v>332</v>
      </c>
      <c r="E233" s="174">
        <f aca="true" t="shared" si="6" ref="E233:E254">(E232+1)</f>
        <v>2</v>
      </c>
      <c r="F233" s="174"/>
      <c r="G233" s="209">
        <f>83.63</f>
        <v>83.63</v>
      </c>
      <c r="H233" s="210">
        <f>1141064.95</f>
        <v>1141064.95</v>
      </c>
      <c r="I233" s="209">
        <f>77</f>
        <v>77</v>
      </c>
      <c r="J233" s="210">
        <f>1164517.66+5933</f>
        <v>1170450.66</v>
      </c>
      <c r="K233" s="210"/>
      <c r="L233" s="209">
        <f>76.43</f>
        <v>76.43</v>
      </c>
      <c r="M233" s="210">
        <f>1072393</f>
        <v>1072393</v>
      </c>
    </row>
    <row r="234" spans="1:13" ht="12">
      <c r="A234" s="174">
        <f t="shared" si="5"/>
        <v>3</v>
      </c>
      <c r="B234" s="174"/>
      <c r="C234" s="383"/>
      <c r="D234" s="169" t="s">
        <v>333</v>
      </c>
      <c r="E234" s="174">
        <f t="shared" si="6"/>
        <v>3</v>
      </c>
      <c r="F234" s="174"/>
      <c r="G234" s="209">
        <f>914.03</f>
        <v>914.03</v>
      </c>
      <c r="H234" s="210">
        <f>9739747.31</f>
        <v>9739747.31</v>
      </c>
      <c r="I234" s="209">
        <f>888.57</f>
        <v>888.57</v>
      </c>
      <c r="J234" s="210">
        <f>10292054.61-5933</f>
        <v>10286121.61</v>
      </c>
      <c r="K234" s="210"/>
      <c r="L234" s="209">
        <f>833.36</f>
        <v>833.36</v>
      </c>
      <c r="M234" s="210">
        <f>9449143</f>
        <v>9449143</v>
      </c>
    </row>
    <row r="235" spans="1:13" ht="12">
      <c r="A235" s="174">
        <f t="shared" si="5"/>
        <v>4</v>
      </c>
      <c r="B235" s="174"/>
      <c r="C235" s="169" t="s">
        <v>652</v>
      </c>
      <c r="D235" s="169" t="s">
        <v>332</v>
      </c>
      <c r="E235" s="174">
        <f t="shared" si="6"/>
        <v>4</v>
      </c>
      <c r="F235" s="174"/>
      <c r="G235" s="209">
        <f>19</f>
        <v>19</v>
      </c>
      <c r="H235" s="210">
        <f>481018.74</f>
        <v>481018.74</v>
      </c>
      <c r="I235" s="209">
        <f>20.4</f>
        <v>20.4</v>
      </c>
      <c r="J235" s="210">
        <f>556323.14</f>
        <v>556323.14</v>
      </c>
      <c r="K235" s="210"/>
      <c r="L235" s="209">
        <f>20.25</f>
        <v>20.25</v>
      </c>
      <c r="M235" s="210">
        <f>324734</f>
        <v>324734</v>
      </c>
    </row>
    <row r="236" spans="1:13" ht="12">
      <c r="A236" s="174">
        <f t="shared" si="5"/>
        <v>5</v>
      </c>
      <c r="B236" s="174"/>
      <c r="C236" s="383"/>
      <c r="D236" s="169" t="s">
        <v>333</v>
      </c>
      <c r="E236" s="174">
        <f t="shared" si="6"/>
        <v>5</v>
      </c>
      <c r="F236" s="174"/>
      <c r="G236" s="209">
        <f>376</f>
        <v>376</v>
      </c>
      <c r="H236" s="210">
        <f>9712219.67</f>
        <v>9712219.67</v>
      </c>
      <c r="I236" s="209">
        <f>409.73</f>
        <v>409.73</v>
      </c>
      <c r="J236" s="210">
        <f>10272795.08</f>
        <v>10272795.08</v>
      </c>
      <c r="K236" s="210"/>
      <c r="L236" s="209">
        <f>406.7</f>
        <v>406.7</v>
      </c>
      <c r="M236" s="210">
        <f>10029407</f>
        <v>10029407</v>
      </c>
    </row>
    <row r="237" spans="1:13" ht="12">
      <c r="A237" s="174">
        <f t="shared" si="5"/>
        <v>6</v>
      </c>
      <c r="B237" s="174"/>
      <c r="C237" s="169" t="s">
        <v>335</v>
      </c>
      <c r="E237" s="174">
        <f t="shared" si="6"/>
        <v>6</v>
      </c>
      <c r="F237" s="174"/>
      <c r="G237" s="162">
        <f aca="true" t="shared" si="7" ref="G237:M237">SUM(G233:G236)</f>
        <v>1392.6599999999999</v>
      </c>
      <c r="H237" s="165">
        <f t="shared" si="7"/>
        <v>21074050.67</v>
      </c>
      <c r="I237" s="162">
        <f t="shared" si="7"/>
        <v>1395.7</v>
      </c>
      <c r="J237" s="165">
        <f t="shared" si="7"/>
        <v>22285690.490000002</v>
      </c>
      <c r="K237" s="165"/>
      <c r="L237" s="162">
        <f t="shared" si="7"/>
        <v>1336.74</v>
      </c>
      <c r="M237" s="165">
        <f t="shared" si="7"/>
        <v>20875677</v>
      </c>
    </row>
    <row r="238" spans="1:13" ht="12">
      <c r="A238" s="174">
        <f t="shared" si="5"/>
        <v>7</v>
      </c>
      <c r="B238" s="174"/>
      <c r="C238" s="169" t="s">
        <v>65</v>
      </c>
      <c r="E238" s="174">
        <f t="shared" si="6"/>
        <v>7</v>
      </c>
      <c r="F238" s="174"/>
      <c r="G238" s="162"/>
      <c r="H238" s="165"/>
      <c r="I238" s="162"/>
      <c r="J238" s="165"/>
      <c r="K238" s="165"/>
      <c r="L238" s="162"/>
      <c r="M238" s="165"/>
    </row>
    <row r="239" spans="1:13" ht="12">
      <c r="A239" s="174">
        <f t="shared" si="5"/>
        <v>8</v>
      </c>
      <c r="B239" s="174"/>
      <c r="C239" s="169" t="s">
        <v>653</v>
      </c>
      <c r="D239" s="169" t="s">
        <v>332</v>
      </c>
      <c r="E239" s="174">
        <f t="shared" si="6"/>
        <v>8</v>
      </c>
      <c r="F239" s="174"/>
      <c r="G239" s="209">
        <f>855.9</f>
        <v>855.9</v>
      </c>
      <c r="H239" s="210">
        <f>11038103.61</f>
        <v>11038103.61</v>
      </c>
      <c r="I239" s="209">
        <f>907.87</f>
        <v>907.87</v>
      </c>
      <c r="J239" s="210">
        <f>12701063</f>
        <v>12701063</v>
      </c>
      <c r="K239" s="210"/>
      <c r="L239" s="209">
        <f>920.53</f>
        <v>920.53</v>
      </c>
      <c r="M239" s="266">
        <f>13572618</f>
        <v>13572618</v>
      </c>
    </row>
    <row r="240" spans="1:15" ht="12">
      <c r="A240" s="174">
        <f t="shared" si="5"/>
        <v>9</v>
      </c>
      <c r="B240" s="174"/>
      <c r="C240" s="383"/>
      <c r="D240" s="169" t="s">
        <v>333</v>
      </c>
      <c r="E240" s="174">
        <f t="shared" si="6"/>
        <v>9</v>
      </c>
      <c r="F240" s="174"/>
      <c r="G240" s="209">
        <f>7828.13</f>
        <v>7828.13</v>
      </c>
      <c r="H240" s="210">
        <f>70931880.45</f>
        <v>70931880.45</v>
      </c>
      <c r="I240" s="209">
        <f>7769.83</f>
        <v>7769.83</v>
      </c>
      <c r="J240" s="210">
        <f>69286844.33</f>
        <v>69286844.33</v>
      </c>
      <c r="K240" s="210"/>
      <c r="L240" s="209">
        <f>7907.8</f>
        <v>7907.8</v>
      </c>
      <c r="M240" s="266">
        <f>75903325-O240</f>
        <v>74382950.95170942</v>
      </c>
      <c r="N240" s="161">
        <v>0.5222540739675331</v>
      </c>
      <c r="O240" s="385">
        <f>N240*O58</f>
        <v>1520374.048290581</v>
      </c>
    </row>
    <row r="241" spans="1:15" ht="12">
      <c r="A241" s="174">
        <f t="shared" si="5"/>
        <v>10</v>
      </c>
      <c r="B241" s="174"/>
      <c r="C241" s="169" t="s">
        <v>654</v>
      </c>
      <c r="D241" s="169" t="s">
        <v>332</v>
      </c>
      <c r="E241" s="174">
        <f t="shared" si="6"/>
        <v>10</v>
      </c>
      <c r="F241" s="174"/>
      <c r="G241" s="209">
        <f>382.07</f>
        <v>382.07</v>
      </c>
      <c r="H241" s="210">
        <f>12448182.36</f>
        <v>12448182.36</v>
      </c>
      <c r="I241" s="209">
        <f>410.1</f>
        <v>410.1</v>
      </c>
      <c r="J241" s="210">
        <f>13786981.22+23059</f>
        <v>13810040.22</v>
      </c>
      <c r="K241" s="210"/>
      <c r="L241" s="209">
        <f>444.37</f>
        <v>444.37</v>
      </c>
      <c r="M241" s="210">
        <f>13493684</f>
        <v>13493684</v>
      </c>
      <c r="O241" s="385"/>
    </row>
    <row r="242" spans="1:15" ht="12">
      <c r="A242" s="174">
        <f t="shared" si="5"/>
        <v>11</v>
      </c>
      <c r="B242" s="174"/>
      <c r="C242" s="383"/>
      <c r="D242" s="169" t="s">
        <v>333</v>
      </c>
      <c r="E242" s="174">
        <f t="shared" si="6"/>
        <v>11</v>
      </c>
      <c r="F242" s="174"/>
      <c r="G242" s="209">
        <f>3743.57</f>
        <v>3743.57</v>
      </c>
      <c r="H242" s="210">
        <f>88323290.09</f>
        <v>88323290.09</v>
      </c>
      <c r="I242" s="209">
        <f>4094.07</f>
        <v>4094.07</v>
      </c>
      <c r="J242" s="210">
        <f>102427642.11-23059</f>
        <v>102404583.11</v>
      </c>
      <c r="K242" s="210"/>
      <c r="L242" s="209">
        <f>4133.3</f>
        <v>4133.3</v>
      </c>
      <c r="M242" s="210">
        <f>104604563</f>
        <v>104604563</v>
      </c>
      <c r="O242" s="385"/>
    </row>
    <row r="243" spans="1:15" ht="12">
      <c r="A243" s="174">
        <f t="shared" si="5"/>
        <v>12</v>
      </c>
      <c r="B243" s="174"/>
      <c r="C243" s="169" t="s">
        <v>336</v>
      </c>
      <c r="E243" s="174">
        <f t="shared" si="6"/>
        <v>12</v>
      </c>
      <c r="F243" s="174"/>
      <c r="G243" s="162">
        <f aca="true" t="shared" si="8" ref="G243:M243">SUM(G239:G242)</f>
        <v>12809.67</v>
      </c>
      <c r="H243" s="165">
        <f t="shared" si="8"/>
        <v>182741456.51</v>
      </c>
      <c r="I243" s="162">
        <f t="shared" si="8"/>
        <v>13181.87</v>
      </c>
      <c r="J243" s="165">
        <f t="shared" si="8"/>
        <v>198202530.66</v>
      </c>
      <c r="K243" s="165"/>
      <c r="L243" s="162">
        <f t="shared" si="8"/>
        <v>13406</v>
      </c>
      <c r="M243" s="165">
        <f t="shared" si="8"/>
        <v>206053815.95170942</v>
      </c>
      <c r="O243" s="385"/>
    </row>
    <row r="244" spans="1:15" ht="12">
      <c r="A244" s="174">
        <f t="shared" si="5"/>
        <v>13</v>
      </c>
      <c r="B244" s="174"/>
      <c r="C244" s="169" t="s">
        <v>67</v>
      </c>
      <c r="E244" s="174">
        <f t="shared" si="6"/>
        <v>13</v>
      </c>
      <c r="F244" s="174"/>
      <c r="G244" s="162"/>
      <c r="H244" s="165"/>
      <c r="I244" s="162"/>
      <c r="J244" s="165"/>
      <c r="K244" s="165"/>
      <c r="L244" s="162"/>
      <c r="M244" s="165"/>
      <c r="O244" s="385"/>
    </row>
    <row r="245" spans="1:15" ht="12">
      <c r="A245" s="174">
        <f t="shared" si="5"/>
        <v>14</v>
      </c>
      <c r="B245" s="174"/>
      <c r="C245" s="169" t="s">
        <v>655</v>
      </c>
      <c r="D245" s="169" t="s">
        <v>332</v>
      </c>
      <c r="E245" s="174">
        <f t="shared" si="6"/>
        <v>14</v>
      </c>
      <c r="F245" s="174"/>
      <c r="G245" s="209"/>
      <c r="H245" s="210"/>
      <c r="I245" s="209"/>
      <c r="J245" s="210"/>
      <c r="K245" s="210"/>
      <c r="L245" s="209"/>
      <c r="M245" s="210"/>
      <c r="O245" s="385"/>
    </row>
    <row r="246" spans="1:15" ht="12">
      <c r="A246" s="174">
        <f t="shared" si="5"/>
        <v>15</v>
      </c>
      <c r="B246" s="174"/>
      <c r="C246" s="383"/>
      <c r="D246" s="169" t="s">
        <v>333</v>
      </c>
      <c r="E246" s="174">
        <f t="shared" si="6"/>
        <v>15</v>
      </c>
      <c r="F246" s="174"/>
      <c r="G246" s="209"/>
      <c r="H246" s="210"/>
      <c r="I246" s="209"/>
      <c r="J246" s="210"/>
      <c r="K246" s="210"/>
      <c r="L246" s="209"/>
      <c r="M246" s="210"/>
      <c r="O246" s="385"/>
    </row>
    <row r="247" spans="1:15" ht="12">
      <c r="A247" s="174">
        <f t="shared" si="5"/>
        <v>16</v>
      </c>
      <c r="B247" s="174"/>
      <c r="C247" s="169"/>
      <c r="D247" s="169" t="s">
        <v>332</v>
      </c>
      <c r="E247" s="174">
        <f t="shared" si="6"/>
        <v>16</v>
      </c>
      <c r="F247" s="174"/>
      <c r="G247" s="209"/>
      <c r="H247" s="210"/>
      <c r="I247" s="209"/>
      <c r="J247" s="210"/>
      <c r="K247" s="210"/>
      <c r="L247" s="209"/>
      <c r="M247" s="210"/>
      <c r="O247" s="385"/>
    </row>
    <row r="248" spans="1:15" ht="12">
      <c r="A248" s="174">
        <f t="shared" si="5"/>
        <v>17</v>
      </c>
      <c r="B248" s="174"/>
      <c r="C248" s="383"/>
      <c r="D248" s="169" t="s">
        <v>333</v>
      </c>
      <c r="E248" s="174">
        <f t="shared" si="6"/>
        <v>17</v>
      </c>
      <c r="F248" s="174"/>
      <c r="G248" s="209"/>
      <c r="H248" s="210"/>
      <c r="I248" s="209"/>
      <c r="J248" s="210"/>
      <c r="K248" s="210"/>
      <c r="L248" s="209"/>
      <c r="M248" s="210"/>
      <c r="O248" s="385"/>
    </row>
    <row r="249" spans="1:15" ht="12">
      <c r="A249" s="174">
        <f t="shared" si="5"/>
        <v>18</v>
      </c>
      <c r="B249" s="174"/>
      <c r="C249" s="169" t="s">
        <v>337</v>
      </c>
      <c r="E249" s="174">
        <f t="shared" si="6"/>
        <v>18</v>
      </c>
      <c r="F249" s="174"/>
      <c r="G249" s="162">
        <f aca="true" t="shared" si="9" ref="G249:M249">SUM(G245:G248)</f>
        <v>0</v>
      </c>
      <c r="H249" s="165">
        <f t="shared" si="9"/>
        <v>0</v>
      </c>
      <c r="I249" s="162">
        <f t="shared" si="9"/>
        <v>0</v>
      </c>
      <c r="J249" s="165">
        <f t="shared" si="9"/>
        <v>0</v>
      </c>
      <c r="K249" s="165"/>
      <c r="L249" s="162">
        <f t="shared" si="9"/>
        <v>0</v>
      </c>
      <c r="M249" s="165">
        <f t="shared" si="9"/>
        <v>0</v>
      </c>
      <c r="O249" s="385"/>
    </row>
    <row r="250" spans="1:15" ht="12">
      <c r="A250" s="174">
        <f>(A249+1)</f>
        <v>19</v>
      </c>
      <c r="B250" s="174"/>
      <c r="C250" s="169" t="s">
        <v>69</v>
      </c>
      <c r="E250" s="174">
        <f>(E249+1)</f>
        <v>19</v>
      </c>
      <c r="F250" s="174"/>
      <c r="G250" s="198"/>
      <c r="I250" s="198"/>
      <c r="L250" s="198"/>
      <c r="O250" s="385"/>
    </row>
    <row r="251" spans="1:15" ht="12">
      <c r="A251" s="174">
        <f t="shared" si="5"/>
        <v>20</v>
      </c>
      <c r="B251" s="174"/>
      <c r="C251" s="169" t="s">
        <v>655</v>
      </c>
      <c r="D251" s="169" t="s">
        <v>332</v>
      </c>
      <c r="E251" s="174">
        <f t="shared" si="6"/>
        <v>20</v>
      </c>
      <c r="F251" s="174"/>
      <c r="G251" s="209">
        <f>811.27</f>
        <v>811.27</v>
      </c>
      <c r="H251" s="210">
        <f>10550627.11</f>
        <v>10550627.11</v>
      </c>
      <c r="I251" s="209">
        <f>841.77</f>
        <v>841.77</v>
      </c>
      <c r="J251" s="210">
        <f>12119231.53</f>
        <v>12119231.53</v>
      </c>
      <c r="K251" s="210"/>
      <c r="L251" s="209">
        <f>845.04</f>
        <v>845.04</v>
      </c>
      <c r="M251" s="210">
        <f>12844113</f>
        <v>12844113</v>
      </c>
      <c r="O251" s="385"/>
    </row>
    <row r="252" spans="1:15" ht="12">
      <c r="A252" s="174">
        <f t="shared" si="5"/>
        <v>21</v>
      </c>
      <c r="B252" s="174"/>
      <c r="C252" s="383"/>
      <c r="D252" s="169" t="s">
        <v>333</v>
      </c>
      <c r="E252" s="174">
        <f t="shared" si="6"/>
        <v>21</v>
      </c>
      <c r="F252" s="174"/>
      <c r="G252" s="209">
        <f>7292.27</f>
        <v>7292.27</v>
      </c>
      <c r="H252" s="210">
        <f>65886163.97</f>
        <v>65886163.97</v>
      </c>
      <c r="I252" s="209">
        <f>7258.63</f>
        <v>7258.63</v>
      </c>
      <c r="J252" s="210">
        <f>64617483.07</f>
        <v>64617483.07</v>
      </c>
      <c r="K252" s="210"/>
      <c r="L252" s="209">
        <f>7269.84</f>
        <v>7269.84</v>
      </c>
      <c r="M252" s="210">
        <f>69434603-O252</f>
        <v>68043800.04829058</v>
      </c>
      <c r="N252" s="161">
        <v>0.4777459260324669</v>
      </c>
      <c r="O252" s="385">
        <f>N252*O58</f>
        <v>1390802.951709419</v>
      </c>
    </row>
    <row r="253" spans="1:13" ht="12">
      <c r="A253" s="174">
        <f t="shared" si="5"/>
        <v>22</v>
      </c>
      <c r="B253" s="174"/>
      <c r="C253" s="169" t="s">
        <v>652</v>
      </c>
      <c r="D253" s="169" t="s">
        <v>332</v>
      </c>
      <c r="E253" s="174">
        <f t="shared" si="6"/>
        <v>22</v>
      </c>
      <c r="F253" s="174"/>
      <c r="G253" s="209">
        <f>353.43</f>
        <v>353.43</v>
      </c>
      <c r="H253" s="210">
        <f>11530607.9</f>
        <v>11530607.9</v>
      </c>
      <c r="I253" s="209">
        <f>373.7</f>
        <v>373.7</v>
      </c>
      <c r="J253" s="210">
        <f>12583013.01</f>
        <v>12583013.01</v>
      </c>
      <c r="K253" s="210"/>
      <c r="L253" s="209">
        <f>366.38</f>
        <v>366.38</v>
      </c>
      <c r="M253" s="210">
        <f>12363882</f>
        <v>12363882</v>
      </c>
    </row>
    <row r="254" spans="1:13" ht="12">
      <c r="A254" s="174">
        <f t="shared" si="5"/>
        <v>23</v>
      </c>
      <c r="B254" s="174"/>
      <c r="C254" s="383"/>
      <c r="D254" s="169" t="s">
        <v>333</v>
      </c>
      <c r="E254" s="174">
        <f t="shared" si="6"/>
        <v>23</v>
      </c>
      <c r="F254" s="174"/>
      <c r="G254" s="209">
        <f>3443.1</f>
        <v>3443.1</v>
      </c>
      <c r="H254" s="210">
        <f>80853919.1</f>
        <v>80853919.1</v>
      </c>
      <c r="I254" s="209">
        <f>3763.4</f>
        <v>3763.4</v>
      </c>
      <c r="J254" s="210">
        <f>93495848.11</f>
        <v>93495848.11</v>
      </c>
      <c r="K254" s="210"/>
      <c r="L254" s="209">
        <f>3393</f>
        <v>3393</v>
      </c>
      <c r="M254" s="210">
        <f>94928641</f>
        <v>94928641</v>
      </c>
    </row>
    <row r="255" spans="1:13" ht="12">
      <c r="A255" s="174">
        <v>24</v>
      </c>
      <c r="B255" s="174"/>
      <c r="C255" s="169" t="s">
        <v>338</v>
      </c>
      <c r="E255" s="174">
        <v>24</v>
      </c>
      <c r="F255" s="174"/>
      <c r="G255" s="162">
        <f aca="true" t="shared" si="10" ref="G255:M255">SUM(G251:G254)</f>
        <v>11900.070000000002</v>
      </c>
      <c r="H255" s="165">
        <f t="shared" si="10"/>
        <v>168821318.07999998</v>
      </c>
      <c r="I255" s="162">
        <f t="shared" si="10"/>
        <v>12237.5</v>
      </c>
      <c r="J255" s="165">
        <f t="shared" si="10"/>
        <v>182815575.72</v>
      </c>
      <c r="K255" s="165"/>
      <c r="L255" s="162">
        <f t="shared" si="10"/>
        <v>11874.26</v>
      </c>
      <c r="M255" s="165">
        <f t="shared" si="10"/>
        <v>188180436.04829058</v>
      </c>
    </row>
    <row r="256" spans="1:13" ht="12">
      <c r="A256" s="174">
        <v>25</v>
      </c>
      <c r="B256" s="174"/>
      <c r="C256" s="169"/>
      <c r="E256" s="174">
        <v>25</v>
      </c>
      <c r="F256" s="174"/>
      <c r="G256" s="162"/>
      <c r="H256" s="165"/>
      <c r="I256" s="162"/>
      <c r="J256" s="165"/>
      <c r="K256" s="165"/>
      <c r="L256" s="162"/>
      <c r="M256" s="165"/>
    </row>
    <row r="257" spans="1:13" ht="12">
      <c r="A257" s="174"/>
      <c r="B257" s="174"/>
      <c r="C257" s="169"/>
      <c r="E257" s="174"/>
      <c r="F257" s="174"/>
      <c r="G257" s="162"/>
      <c r="H257" s="165"/>
      <c r="I257" s="162"/>
      <c r="J257" s="165"/>
      <c r="K257" s="162"/>
      <c r="L257" s="162"/>
      <c r="M257" s="165"/>
    </row>
    <row r="258" spans="3:13" ht="12">
      <c r="C258" s="169"/>
      <c r="E258" s="174"/>
      <c r="F258" s="174"/>
      <c r="G258" s="162"/>
      <c r="H258" s="165"/>
      <c r="I258" s="162"/>
      <c r="J258" s="165"/>
      <c r="K258" s="162"/>
      <c r="L258" s="162"/>
      <c r="M258" s="165"/>
    </row>
    <row r="259" spans="1:13" ht="12">
      <c r="A259" s="174" t="s">
        <v>339</v>
      </c>
      <c r="B259" s="174"/>
      <c r="C259" s="169"/>
      <c r="E259" s="174"/>
      <c r="F259" s="174"/>
      <c r="G259" s="162"/>
      <c r="H259" s="165"/>
      <c r="I259" s="162"/>
      <c r="J259" s="165"/>
      <c r="K259" s="162"/>
      <c r="L259" s="162"/>
      <c r="M259" s="165"/>
    </row>
    <row r="260" spans="5:12" ht="12">
      <c r="E260" s="184"/>
      <c r="F260" s="184"/>
      <c r="G260" s="178"/>
      <c r="H260" s="165"/>
      <c r="I260" s="178"/>
      <c r="J260" s="165"/>
      <c r="K260" s="178"/>
      <c r="L260" s="178"/>
    </row>
    <row r="261" spans="1:13" ht="12">
      <c r="A261" s="223" t="s">
        <v>299</v>
      </c>
      <c r="B261" s="223"/>
      <c r="E261" s="184"/>
      <c r="F261" s="184"/>
      <c r="G261" s="178"/>
      <c r="H261" s="165"/>
      <c r="I261" s="178"/>
      <c r="J261" s="165"/>
      <c r="K261" s="178"/>
      <c r="L261" s="178"/>
      <c r="M261" s="163" t="s">
        <v>60</v>
      </c>
    </row>
    <row r="262" spans="1:13" ht="12">
      <c r="A262" s="407" t="s">
        <v>340</v>
      </c>
      <c r="B262" s="407"/>
      <c r="C262" s="407"/>
      <c r="D262" s="407"/>
      <c r="E262" s="407"/>
      <c r="F262" s="407"/>
      <c r="G262" s="407"/>
      <c r="H262" s="407"/>
      <c r="I262" s="407"/>
      <c r="J262" s="407"/>
      <c r="K262" s="407"/>
      <c r="L262" s="407"/>
      <c r="M262" s="407"/>
    </row>
    <row r="263" spans="1:13" ht="12">
      <c r="A263" s="223" t="s">
        <v>274</v>
      </c>
      <c r="B263" s="223"/>
      <c r="G263" s="178"/>
      <c r="H263" s="165"/>
      <c r="I263" s="195"/>
      <c r="J263" s="196"/>
      <c r="K263" s="178"/>
      <c r="L263" s="178"/>
      <c r="M263" s="264" t="str">
        <f>M4</f>
        <v>Date: 10/1/2009</v>
      </c>
    </row>
    <row r="264" spans="1:13" ht="12">
      <c r="A264" s="166" t="s">
        <v>1</v>
      </c>
      <c r="B264" s="166"/>
      <c r="C264" s="166" t="s">
        <v>1</v>
      </c>
      <c r="D264" s="166" t="s">
        <v>1</v>
      </c>
      <c r="E264" s="166" t="s">
        <v>1</v>
      </c>
      <c r="F264" s="166"/>
      <c r="G264" s="166" t="s">
        <v>1</v>
      </c>
      <c r="H264" s="166" t="s">
        <v>1</v>
      </c>
      <c r="I264" s="166" t="s">
        <v>1</v>
      </c>
      <c r="J264" s="166" t="s">
        <v>1</v>
      </c>
      <c r="K264" s="166" t="s">
        <v>1</v>
      </c>
      <c r="L264" s="166"/>
      <c r="M264" s="166" t="s">
        <v>1</v>
      </c>
    </row>
    <row r="265" spans="1:13" ht="12">
      <c r="A265" s="168" t="s">
        <v>2</v>
      </c>
      <c r="B265" s="168"/>
      <c r="E265" s="168" t="s">
        <v>2</v>
      </c>
      <c r="F265" s="168"/>
      <c r="G265" s="151"/>
      <c r="H265" s="151" t="s">
        <v>240</v>
      </c>
      <c r="I265" s="151"/>
      <c r="J265" s="151" t="s">
        <v>247</v>
      </c>
      <c r="K265" s="151"/>
      <c r="L265" s="151"/>
      <c r="M265" s="151" t="s">
        <v>576</v>
      </c>
    </row>
    <row r="266" spans="1:13" ht="12">
      <c r="A266" s="168" t="s">
        <v>4</v>
      </c>
      <c r="B266" s="168"/>
      <c r="C266" s="171" t="s">
        <v>20</v>
      </c>
      <c r="E266" s="168" t="s">
        <v>4</v>
      </c>
      <c r="F266" s="168"/>
      <c r="G266" s="197" t="s">
        <v>21</v>
      </c>
      <c r="H266" s="151" t="s">
        <v>7</v>
      </c>
      <c r="I266" s="164" t="s">
        <v>21</v>
      </c>
      <c r="J266" s="173" t="s">
        <v>7</v>
      </c>
      <c r="K266" s="173"/>
      <c r="L266" s="164" t="s">
        <v>21</v>
      </c>
      <c r="M266" s="173" t="s">
        <v>8</v>
      </c>
    </row>
    <row r="267" spans="1:13" ht="12">
      <c r="A267" s="166" t="s">
        <v>1</v>
      </c>
      <c r="B267" s="166"/>
      <c r="C267" s="166" t="s">
        <v>1</v>
      </c>
      <c r="D267" s="166" t="s">
        <v>1</v>
      </c>
      <c r="E267" s="166" t="s">
        <v>1</v>
      </c>
      <c r="F267" s="166"/>
      <c r="G267" s="40" t="s">
        <v>1</v>
      </c>
      <c r="H267" s="40" t="s">
        <v>1</v>
      </c>
      <c r="I267" s="166" t="s">
        <v>1</v>
      </c>
      <c r="J267" s="166" t="s">
        <v>1</v>
      </c>
      <c r="K267" s="166"/>
      <c r="L267" s="166" t="s">
        <v>1</v>
      </c>
      <c r="M267" s="177" t="s">
        <v>1</v>
      </c>
    </row>
    <row r="268" spans="1:13" ht="12">
      <c r="A268" s="166"/>
      <c r="B268" s="166"/>
      <c r="C268" s="166"/>
      <c r="D268" s="166"/>
      <c r="E268" s="166"/>
      <c r="F268" s="166"/>
      <c r="G268" s="40"/>
      <c r="H268" s="40"/>
      <c r="I268" s="166"/>
      <c r="J268" s="166"/>
      <c r="K268" s="166"/>
      <c r="L268" s="166"/>
      <c r="M268" s="177"/>
    </row>
    <row r="269" spans="1:12" ht="12">
      <c r="A269" s="174">
        <v>26</v>
      </c>
      <c r="B269" s="174"/>
      <c r="C269" s="169" t="s">
        <v>71</v>
      </c>
      <c r="E269" s="174">
        <v>26</v>
      </c>
      <c r="F269" s="174"/>
      <c r="G269" s="198"/>
      <c r="I269" s="198"/>
      <c r="L269" s="198"/>
    </row>
    <row r="270" spans="1:13" ht="12">
      <c r="A270" s="174">
        <v>27</v>
      </c>
      <c r="B270" s="174"/>
      <c r="C270" s="169" t="s">
        <v>331</v>
      </c>
      <c r="D270" s="169" t="s">
        <v>332</v>
      </c>
      <c r="E270" s="174">
        <v>27</v>
      </c>
      <c r="F270" s="174"/>
      <c r="G270" s="162">
        <f aca="true" t="shared" si="11" ref="G270:J273">SUM(G233,G239,G245,G251)</f>
        <v>1750.8</v>
      </c>
      <c r="H270" s="165">
        <f t="shared" si="11"/>
        <v>22729795.669999998</v>
      </c>
      <c r="I270" s="162">
        <f t="shared" si="11"/>
        <v>1826.6399999999999</v>
      </c>
      <c r="J270" s="165">
        <f t="shared" si="11"/>
        <v>25990745.189999998</v>
      </c>
      <c r="K270" s="165"/>
      <c r="L270" s="162">
        <f aca="true" t="shared" si="12" ref="L270:M273">SUM(L233,L239,L245,L251)</f>
        <v>1842</v>
      </c>
      <c r="M270" s="165">
        <f t="shared" si="12"/>
        <v>27489124</v>
      </c>
    </row>
    <row r="271" spans="1:13" ht="12">
      <c r="A271" s="174">
        <v>28</v>
      </c>
      <c r="B271" s="174"/>
      <c r="D271" s="169" t="s">
        <v>333</v>
      </c>
      <c r="E271" s="174">
        <v>28</v>
      </c>
      <c r="F271" s="174"/>
      <c r="G271" s="162">
        <f t="shared" si="11"/>
        <v>16034.43</v>
      </c>
      <c r="H271" s="165">
        <f t="shared" si="11"/>
        <v>146557791.73000002</v>
      </c>
      <c r="I271" s="162">
        <f t="shared" si="11"/>
        <v>15917.029999999999</v>
      </c>
      <c r="J271" s="165">
        <f t="shared" si="11"/>
        <v>144190449.01</v>
      </c>
      <c r="K271" s="165"/>
      <c r="L271" s="162">
        <f t="shared" si="12"/>
        <v>16011</v>
      </c>
      <c r="M271" s="165">
        <f t="shared" si="12"/>
        <v>151875894</v>
      </c>
    </row>
    <row r="272" spans="1:13" ht="12">
      <c r="A272" s="174">
        <v>29</v>
      </c>
      <c r="B272" s="174"/>
      <c r="C272" s="169" t="s">
        <v>334</v>
      </c>
      <c r="D272" s="169" t="s">
        <v>332</v>
      </c>
      <c r="E272" s="174">
        <v>29</v>
      </c>
      <c r="F272" s="174"/>
      <c r="G272" s="162">
        <f t="shared" si="11"/>
        <v>754.5</v>
      </c>
      <c r="H272" s="165">
        <f t="shared" si="11"/>
        <v>24459809</v>
      </c>
      <c r="I272" s="162">
        <f t="shared" si="11"/>
        <v>804.2</v>
      </c>
      <c r="J272" s="165">
        <f t="shared" si="11"/>
        <v>26949376.37</v>
      </c>
      <c r="K272" s="165"/>
      <c r="L272" s="162">
        <f t="shared" si="12"/>
        <v>831</v>
      </c>
      <c r="M272" s="165">
        <f t="shared" si="12"/>
        <v>26182300</v>
      </c>
    </row>
    <row r="273" spans="1:13" ht="12">
      <c r="A273" s="174">
        <v>30</v>
      </c>
      <c r="B273" s="174"/>
      <c r="D273" s="169" t="s">
        <v>333</v>
      </c>
      <c r="E273" s="174">
        <v>30</v>
      </c>
      <c r="F273" s="174"/>
      <c r="G273" s="162">
        <f t="shared" si="11"/>
        <v>7562.67</v>
      </c>
      <c r="H273" s="165">
        <f t="shared" si="11"/>
        <v>178889428.86</v>
      </c>
      <c r="I273" s="162">
        <f t="shared" si="11"/>
        <v>8267.2</v>
      </c>
      <c r="J273" s="165">
        <f t="shared" si="11"/>
        <v>206173226.3</v>
      </c>
      <c r="K273" s="165"/>
      <c r="L273" s="162">
        <f t="shared" si="12"/>
        <v>7933</v>
      </c>
      <c r="M273" s="165">
        <f t="shared" si="12"/>
        <v>209562611</v>
      </c>
    </row>
    <row r="274" spans="1:13" ht="12">
      <c r="A274" s="174">
        <v>31</v>
      </c>
      <c r="B274" s="174"/>
      <c r="E274" s="174">
        <v>31</v>
      </c>
      <c r="F274" s="174"/>
      <c r="G274" s="162"/>
      <c r="H274" s="165"/>
      <c r="I274" s="162"/>
      <c r="J274" s="165"/>
      <c r="K274" s="165"/>
      <c r="L274" s="162"/>
      <c r="M274" s="165"/>
    </row>
    <row r="275" spans="1:13" ht="12">
      <c r="A275" s="174"/>
      <c r="B275" s="174"/>
      <c r="E275" s="174"/>
      <c r="F275" s="174"/>
      <c r="G275" s="162"/>
      <c r="H275" s="165"/>
      <c r="I275" s="162"/>
      <c r="J275" s="165"/>
      <c r="K275" s="165"/>
      <c r="L275" s="162"/>
      <c r="M275" s="165"/>
    </row>
    <row r="276" spans="1:13" ht="12">
      <c r="A276" s="174">
        <v>32</v>
      </c>
      <c r="B276" s="174"/>
      <c r="C276" s="169" t="s">
        <v>72</v>
      </c>
      <c r="E276" s="174">
        <v>32</v>
      </c>
      <c r="F276" s="174"/>
      <c r="G276" s="162">
        <f>SUM(G270,G271)</f>
        <v>17785.23</v>
      </c>
      <c r="H276" s="165">
        <f>SUM(H270,H271)</f>
        <v>169287587.4</v>
      </c>
      <c r="I276" s="162">
        <f>SUM(I270,I271)</f>
        <v>17743.67</v>
      </c>
      <c r="J276" s="165">
        <f>SUM(J270,J271)</f>
        <v>170181194.2</v>
      </c>
      <c r="K276" s="165"/>
      <c r="L276" s="162">
        <f>L270+L271</f>
        <v>17853</v>
      </c>
      <c r="M276" s="165">
        <f>M270+M271</f>
        <v>179365018</v>
      </c>
    </row>
    <row r="277" spans="1:13" ht="12">
      <c r="A277" s="174">
        <v>33</v>
      </c>
      <c r="B277" s="174"/>
      <c r="C277" s="169" t="s">
        <v>73</v>
      </c>
      <c r="E277" s="174">
        <v>33</v>
      </c>
      <c r="F277" s="174"/>
      <c r="G277" s="162">
        <f>SUM(G272,G273)</f>
        <v>8317.17</v>
      </c>
      <c r="H277" s="165">
        <f>SUM(H272,H273)</f>
        <v>203349237.86</v>
      </c>
      <c r="I277" s="162">
        <f>SUM(I272,I273)</f>
        <v>9071.400000000001</v>
      </c>
      <c r="J277" s="165">
        <f>SUM(J272,J273)</f>
        <v>233122602.67000002</v>
      </c>
      <c r="K277" s="165"/>
      <c r="L277" s="162">
        <f>L272+L273</f>
        <v>8764</v>
      </c>
      <c r="M277" s="165">
        <f>M272+M273</f>
        <v>235744911</v>
      </c>
    </row>
    <row r="278" spans="1:13" ht="12">
      <c r="A278" s="174">
        <v>34</v>
      </c>
      <c r="B278" s="174"/>
      <c r="C278" s="169" t="s">
        <v>74</v>
      </c>
      <c r="E278" s="174">
        <v>34</v>
      </c>
      <c r="F278" s="174"/>
      <c r="G278" s="162">
        <f aca="true" t="shared" si="13" ref="G278:J279">SUM(G270,G272)</f>
        <v>2505.3</v>
      </c>
      <c r="H278" s="165">
        <f t="shared" si="13"/>
        <v>47189604.67</v>
      </c>
      <c r="I278" s="162">
        <f t="shared" si="13"/>
        <v>2630.84</v>
      </c>
      <c r="J278" s="165">
        <f t="shared" si="13"/>
        <v>52940121.56</v>
      </c>
      <c r="K278" s="165"/>
      <c r="L278" s="162">
        <f>L270+L272</f>
        <v>2673</v>
      </c>
      <c r="M278" s="165">
        <f>M270+M272</f>
        <v>53671424</v>
      </c>
    </row>
    <row r="279" spans="1:13" ht="12">
      <c r="A279" s="174">
        <v>35</v>
      </c>
      <c r="B279" s="174"/>
      <c r="C279" s="169" t="s">
        <v>208</v>
      </c>
      <c r="E279" s="174">
        <v>35</v>
      </c>
      <c r="F279" s="174"/>
      <c r="G279" s="162">
        <f t="shared" si="13"/>
        <v>23597.1</v>
      </c>
      <c r="H279" s="165">
        <f t="shared" si="13"/>
        <v>325447220.59000003</v>
      </c>
      <c r="I279" s="162">
        <f t="shared" si="13"/>
        <v>24184.23</v>
      </c>
      <c r="J279" s="165">
        <f t="shared" si="13"/>
        <v>350363675.31</v>
      </c>
      <c r="K279" s="165"/>
      <c r="L279" s="162">
        <f>L271+L273</f>
        <v>23944</v>
      </c>
      <c r="M279" s="165">
        <f>M271+M273</f>
        <v>361438505</v>
      </c>
    </row>
    <row r="280" spans="7:13" ht="12">
      <c r="G280" s="109" t="s">
        <v>1</v>
      </c>
      <c r="H280" s="176" t="s">
        <v>1</v>
      </c>
      <c r="I280" s="167" t="s">
        <v>1</v>
      </c>
      <c r="J280" s="177" t="s">
        <v>1</v>
      </c>
      <c r="K280" s="177"/>
      <c r="L280" s="167" t="s">
        <v>1</v>
      </c>
      <c r="M280" s="177" t="s">
        <v>1</v>
      </c>
    </row>
    <row r="281" spans="1:13" ht="12">
      <c r="A281" s="174">
        <v>36</v>
      </c>
      <c r="B281" s="174"/>
      <c r="C281" s="26" t="s">
        <v>649</v>
      </c>
      <c r="E281" s="174">
        <v>36</v>
      </c>
      <c r="F281" s="174"/>
      <c r="G281" s="162">
        <f>SUM(G278:G279)</f>
        <v>26102.399999999998</v>
      </c>
      <c r="H281" s="165">
        <f>SUM(H278:H279)</f>
        <v>372636825.26000005</v>
      </c>
      <c r="I281" s="162">
        <f>SUM(I278:I279)</f>
        <v>26815.07</v>
      </c>
      <c r="J281" s="165">
        <f>SUM(J278:J279)</f>
        <v>403303796.87</v>
      </c>
      <c r="K281" s="165"/>
      <c r="L281" s="162">
        <f>SUM(L270:L273)</f>
        <v>26617</v>
      </c>
      <c r="M281" s="165">
        <f>SUM(M270:M273)</f>
        <v>415109929</v>
      </c>
    </row>
    <row r="282" spans="3:13" ht="12">
      <c r="C282" s="169" t="s">
        <v>341</v>
      </c>
      <c r="G282" s="109" t="s">
        <v>1</v>
      </c>
      <c r="H282" s="109" t="s">
        <v>1</v>
      </c>
      <c r="I282" s="167" t="s">
        <v>1</v>
      </c>
      <c r="J282" s="167" t="s">
        <v>1</v>
      </c>
      <c r="K282" s="167"/>
      <c r="L282" s="167" t="s">
        <v>1</v>
      </c>
      <c r="M282" s="167" t="s">
        <v>1</v>
      </c>
    </row>
    <row r="283" spans="3:13" ht="12">
      <c r="C283" s="169"/>
      <c r="G283" s="109"/>
      <c r="H283" s="109"/>
      <c r="I283" s="167"/>
      <c r="J283" s="167"/>
      <c r="K283" s="167"/>
      <c r="L283" s="167"/>
      <c r="M283" s="167"/>
    </row>
    <row r="284" spans="3:13" ht="12">
      <c r="C284" s="169"/>
      <c r="G284" s="109"/>
      <c r="H284" s="109"/>
      <c r="I284" s="167"/>
      <c r="J284" s="167"/>
      <c r="K284" s="167"/>
      <c r="L284" s="167"/>
      <c r="M284" s="167"/>
    </row>
    <row r="285" spans="3:13" ht="12">
      <c r="C285" s="169"/>
      <c r="G285" s="109"/>
      <c r="H285" s="109"/>
      <c r="I285" s="167"/>
      <c r="J285" s="167"/>
      <c r="K285" s="167"/>
      <c r="L285" s="167"/>
      <c r="M285" s="167"/>
    </row>
    <row r="286" spans="3:13" ht="12">
      <c r="C286" s="169"/>
      <c r="G286" s="109"/>
      <c r="H286" s="109"/>
      <c r="I286" s="167"/>
      <c r="J286" s="167"/>
      <c r="K286" s="167"/>
      <c r="L286" s="167"/>
      <c r="M286" s="167"/>
    </row>
    <row r="287" spans="1:13" ht="12">
      <c r="A287" s="386"/>
      <c r="B287" s="386"/>
      <c r="C287" s="386" t="s">
        <v>342</v>
      </c>
      <c r="D287" s="386"/>
      <c r="E287" s="386"/>
      <c r="F287" s="386"/>
      <c r="G287" s="387"/>
      <c r="H287" s="390">
        <v>47938593.11</v>
      </c>
      <c r="I287" s="389"/>
      <c r="J287" s="390">
        <v>55559038.89</v>
      </c>
      <c r="K287" s="389"/>
      <c r="L287" s="389"/>
      <c r="M287" s="390">
        <v>60181097</v>
      </c>
    </row>
    <row r="288" spans="1:12" ht="12">
      <c r="A288" s="223"/>
      <c r="B288" s="223"/>
      <c r="E288" s="184"/>
      <c r="F288" s="184"/>
      <c r="G288" s="178"/>
      <c r="H288" s="165"/>
      <c r="I288" s="178"/>
      <c r="J288" s="165"/>
      <c r="K288" s="178"/>
      <c r="L288" s="178"/>
    </row>
    <row r="289" spans="1:13" ht="12">
      <c r="A289" s="223" t="s">
        <v>299</v>
      </c>
      <c r="B289" s="223"/>
      <c r="E289" s="184"/>
      <c r="F289" s="184"/>
      <c r="G289" s="178"/>
      <c r="H289" s="165"/>
      <c r="I289" s="178"/>
      <c r="J289" s="165"/>
      <c r="K289" s="178"/>
      <c r="L289" s="178"/>
      <c r="M289" s="163" t="s">
        <v>76</v>
      </c>
    </row>
    <row r="290" spans="1:13" ht="12">
      <c r="A290" s="412" t="s">
        <v>343</v>
      </c>
      <c r="B290" s="412"/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</row>
    <row r="291" spans="1:13" ht="12">
      <c r="A291" s="223" t="s">
        <v>274</v>
      </c>
      <c r="B291" s="223"/>
      <c r="G291" s="199"/>
      <c r="H291" s="195"/>
      <c r="I291" s="195"/>
      <c r="J291" s="196"/>
      <c r="K291" s="178"/>
      <c r="L291" s="178"/>
      <c r="M291" s="264" t="str">
        <f>M4</f>
        <v>Date: 10/1/2009</v>
      </c>
    </row>
    <row r="292" spans="1:13" ht="12">
      <c r="A292" s="166" t="s">
        <v>1</v>
      </c>
      <c r="B292" s="166"/>
      <c r="C292" s="166" t="s">
        <v>1</v>
      </c>
      <c r="D292" s="166" t="s">
        <v>1</v>
      </c>
      <c r="E292" s="166" t="s">
        <v>1</v>
      </c>
      <c r="F292" s="166"/>
      <c r="G292" s="166" t="s">
        <v>1</v>
      </c>
      <c r="H292" s="166" t="s">
        <v>1</v>
      </c>
      <c r="I292" s="166" t="s">
        <v>1</v>
      </c>
      <c r="J292" s="166" t="s">
        <v>1</v>
      </c>
      <c r="K292" s="166" t="s">
        <v>1</v>
      </c>
      <c r="L292" s="166"/>
      <c r="M292" s="166" t="s">
        <v>1</v>
      </c>
    </row>
    <row r="293" spans="1:13" ht="12">
      <c r="A293" s="168" t="s">
        <v>2</v>
      </c>
      <c r="B293" s="168"/>
      <c r="E293" s="168" t="s">
        <v>2</v>
      </c>
      <c r="F293" s="168"/>
      <c r="G293" s="78"/>
      <c r="H293" s="151" t="s">
        <v>240</v>
      </c>
      <c r="I293" s="87"/>
      <c r="J293" s="151" t="s">
        <v>247</v>
      </c>
      <c r="K293" s="151"/>
      <c r="L293" s="87"/>
      <c r="M293" s="151" t="s">
        <v>576</v>
      </c>
    </row>
    <row r="294" spans="1:13" ht="12">
      <c r="A294" s="168" t="s">
        <v>4</v>
      </c>
      <c r="B294" s="168"/>
      <c r="C294" s="171" t="s">
        <v>20</v>
      </c>
      <c r="E294" s="168" t="s">
        <v>4</v>
      </c>
      <c r="F294" s="168"/>
      <c r="G294" s="24"/>
      <c r="H294" s="151" t="s">
        <v>7</v>
      </c>
      <c r="I294" s="24"/>
      <c r="J294" s="151" t="s">
        <v>7</v>
      </c>
      <c r="K294" s="151"/>
      <c r="L294" s="24"/>
      <c r="M294" s="151" t="s">
        <v>8</v>
      </c>
    </row>
    <row r="295" spans="1:13" ht="12">
      <c r="A295" s="166" t="s">
        <v>1</v>
      </c>
      <c r="B295" s="166"/>
      <c r="C295" s="166" t="s">
        <v>1</v>
      </c>
      <c r="D295" s="166" t="s">
        <v>1</v>
      </c>
      <c r="E295" s="166" t="s">
        <v>1</v>
      </c>
      <c r="F295" s="166"/>
      <c r="G295" s="40" t="s">
        <v>1</v>
      </c>
      <c r="H295" s="40" t="s">
        <v>1</v>
      </c>
      <c r="I295" s="40" t="s">
        <v>1</v>
      </c>
      <c r="J295" s="40" t="s">
        <v>1</v>
      </c>
      <c r="K295" s="40"/>
      <c r="L295" s="40" t="s">
        <v>1</v>
      </c>
      <c r="M295" s="176" t="s">
        <v>1</v>
      </c>
    </row>
    <row r="296" spans="1:13" ht="12">
      <c r="A296" s="200">
        <v>1</v>
      </c>
      <c r="B296" s="200"/>
      <c r="C296" s="31" t="s">
        <v>643</v>
      </c>
      <c r="D296" s="26"/>
      <c r="E296" s="200">
        <v>1</v>
      </c>
      <c r="F296" s="200"/>
      <c r="G296" s="87"/>
      <c r="H296" s="78"/>
      <c r="I296" s="87"/>
      <c r="J296" s="78">
        <f>22337843</f>
        <v>22337843</v>
      </c>
      <c r="K296" s="78"/>
      <c r="L296" s="87"/>
      <c r="M296" s="78">
        <f>22337843+13364975</f>
        <v>35702818</v>
      </c>
    </row>
    <row r="297" spans="1:13" ht="12">
      <c r="A297" s="200">
        <v>2</v>
      </c>
      <c r="B297" s="200"/>
      <c r="C297" s="31" t="s">
        <v>666</v>
      </c>
      <c r="D297" s="26"/>
      <c r="E297" s="200"/>
      <c r="F297" s="200"/>
      <c r="G297" s="87"/>
      <c r="H297" s="78">
        <v>6615290</v>
      </c>
      <c r="I297" s="87"/>
      <c r="J297" s="78">
        <v>7938075</v>
      </c>
      <c r="K297" s="78"/>
      <c r="L297" s="87"/>
      <c r="M297" s="78"/>
    </row>
    <row r="298" spans="1:13" ht="12">
      <c r="A298" s="200"/>
      <c r="B298" s="200"/>
      <c r="C298" s="31"/>
      <c r="D298" s="26"/>
      <c r="E298" s="200"/>
      <c r="F298" s="200"/>
      <c r="G298" s="87"/>
      <c r="H298" s="78"/>
      <c r="I298" s="87"/>
      <c r="J298" s="78"/>
      <c r="K298" s="78"/>
      <c r="L298" s="87"/>
      <c r="M298" s="78"/>
    </row>
    <row r="299" spans="1:13" ht="12">
      <c r="A299" s="200"/>
      <c r="B299" s="200"/>
      <c r="C299" s="31" t="s">
        <v>667</v>
      </c>
      <c r="D299" s="26"/>
      <c r="E299" s="200"/>
      <c r="F299" s="200"/>
      <c r="G299" s="87"/>
      <c r="H299" s="78"/>
      <c r="I299" s="87"/>
      <c r="J299" s="78"/>
      <c r="K299" s="78"/>
      <c r="L299" s="87"/>
      <c r="M299" s="78"/>
    </row>
    <row r="300" spans="1:13" ht="12">
      <c r="A300" s="200">
        <f>(A296+1)</f>
        <v>2</v>
      </c>
      <c r="B300" s="200"/>
      <c r="C300" s="396" t="s">
        <v>644</v>
      </c>
      <c r="E300" s="200">
        <f>(E296+1)</f>
        <v>2</v>
      </c>
      <c r="F300" s="200"/>
      <c r="G300" s="87"/>
      <c r="H300" s="107"/>
      <c r="I300" s="376"/>
      <c r="J300" s="107"/>
      <c r="K300" s="107"/>
      <c r="L300" s="376"/>
      <c r="M300" s="107">
        <f>2483192</f>
        <v>2483192</v>
      </c>
    </row>
    <row r="301" spans="1:13" ht="12">
      <c r="A301" s="200">
        <f aca="true" t="shared" si="14" ref="A301:A306">(A300+1)</f>
        <v>3</v>
      </c>
      <c r="B301" s="200"/>
      <c r="C301" s="397" t="s">
        <v>645</v>
      </c>
      <c r="E301" s="200">
        <f aca="true" t="shared" si="15" ref="E301:E306">(E300+1)</f>
        <v>3</v>
      </c>
      <c r="F301" s="200"/>
      <c r="G301" s="87"/>
      <c r="H301" s="107"/>
      <c r="I301" s="376"/>
      <c r="J301" s="107"/>
      <c r="K301" s="107"/>
      <c r="L301" s="376"/>
      <c r="M301" s="107">
        <f>4749173</f>
        <v>4749173</v>
      </c>
    </row>
    <row r="302" spans="1:13" ht="12">
      <c r="A302" s="200">
        <f t="shared" si="14"/>
        <v>4</v>
      </c>
      <c r="B302" s="200"/>
      <c r="C302" s="398" t="s">
        <v>646</v>
      </c>
      <c r="D302" s="4"/>
      <c r="E302" s="200">
        <f t="shared" si="15"/>
        <v>4</v>
      </c>
      <c r="F302" s="200"/>
      <c r="G302" s="87"/>
      <c r="H302" s="180"/>
      <c r="J302" s="180"/>
      <c r="K302" s="180"/>
      <c r="L302" s="376"/>
      <c r="M302" s="107">
        <f>5280286</f>
        <v>5280286</v>
      </c>
    </row>
    <row r="303" spans="1:13" ht="12">
      <c r="A303" s="200">
        <f t="shared" si="14"/>
        <v>5</v>
      </c>
      <c r="B303" s="200"/>
      <c r="E303" s="200">
        <f t="shared" si="15"/>
        <v>5</v>
      </c>
      <c r="F303" s="200"/>
      <c r="G303" s="87"/>
      <c r="H303" s="107"/>
      <c r="I303" s="376"/>
      <c r="J303" s="107"/>
      <c r="K303" s="107"/>
      <c r="L303" s="376"/>
      <c r="M303" s="107"/>
    </row>
    <row r="304" spans="1:13" ht="12">
      <c r="A304" s="200">
        <f t="shared" si="14"/>
        <v>6</v>
      </c>
      <c r="B304" s="200"/>
      <c r="E304" s="200">
        <f t="shared" si="15"/>
        <v>6</v>
      </c>
      <c r="F304" s="200"/>
      <c r="G304" s="87"/>
      <c r="H304" s="107"/>
      <c r="I304" s="376"/>
      <c r="J304" s="107"/>
      <c r="K304" s="107"/>
      <c r="L304" s="376"/>
      <c r="M304" s="107"/>
    </row>
    <row r="305" spans="1:13" ht="12">
      <c r="A305" s="200">
        <f t="shared" si="14"/>
        <v>7</v>
      </c>
      <c r="B305" s="200"/>
      <c r="E305" s="200">
        <f t="shared" si="15"/>
        <v>7</v>
      </c>
      <c r="F305" s="200"/>
      <c r="G305" s="87"/>
      <c r="H305" s="180"/>
      <c r="J305" s="180"/>
      <c r="K305" s="180"/>
      <c r="L305" s="376"/>
      <c r="M305" s="107"/>
    </row>
    <row r="306" spans="1:13" ht="12">
      <c r="A306" s="200">
        <f t="shared" si="14"/>
        <v>8</v>
      </c>
      <c r="B306" s="200"/>
      <c r="E306" s="200">
        <f t="shared" si="15"/>
        <v>8</v>
      </c>
      <c r="F306" s="200"/>
      <c r="G306" s="87"/>
      <c r="H306" s="180"/>
      <c r="I306" s="376"/>
      <c r="J306" s="107"/>
      <c r="K306" s="107"/>
      <c r="L306" s="376"/>
      <c r="M306" s="107"/>
    </row>
    <row r="307" spans="1:13" ht="12">
      <c r="A307" s="200"/>
      <c r="B307" s="200"/>
      <c r="E307" s="200"/>
      <c r="F307" s="200"/>
      <c r="G307" s="109" t="s">
        <v>1</v>
      </c>
      <c r="H307" s="109" t="s">
        <v>1</v>
      </c>
      <c r="I307" s="109" t="s">
        <v>1</v>
      </c>
      <c r="J307" s="109" t="s">
        <v>1</v>
      </c>
      <c r="K307" s="109"/>
      <c r="L307" s="109" t="s">
        <v>1</v>
      </c>
      <c r="M307" s="109" t="s">
        <v>1</v>
      </c>
    </row>
    <row r="308" spans="1:13" ht="12">
      <c r="A308" s="114">
        <v>9</v>
      </c>
      <c r="B308" s="114"/>
      <c r="C308" s="26" t="s">
        <v>344</v>
      </c>
      <c r="D308" s="26"/>
      <c r="E308" s="114">
        <v>9</v>
      </c>
      <c r="F308" s="114"/>
      <c r="G308" s="87"/>
      <c r="H308" s="107">
        <f>SUM(H296:H307)</f>
        <v>6615290</v>
      </c>
      <c r="I308" s="376"/>
      <c r="J308" s="107">
        <f>SUM(J296:J307)</f>
        <v>30275918</v>
      </c>
      <c r="K308" s="107"/>
      <c r="L308" s="376"/>
      <c r="M308" s="107">
        <f>SUM(M296:M307)</f>
        <v>48215469</v>
      </c>
    </row>
    <row r="309" spans="1:13" ht="12">
      <c r="A309" s="114"/>
      <c r="B309" s="114"/>
      <c r="C309" s="26"/>
      <c r="D309" s="26"/>
      <c r="E309" s="114"/>
      <c r="F309" s="114"/>
      <c r="G309" s="109" t="s">
        <v>1</v>
      </c>
      <c r="H309" s="109" t="s">
        <v>1</v>
      </c>
      <c r="I309" s="109" t="s">
        <v>1</v>
      </c>
      <c r="J309" s="109" t="s">
        <v>1</v>
      </c>
      <c r="K309" s="109"/>
      <c r="L309" s="109" t="s">
        <v>1</v>
      </c>
      <c r="M309" s="109" t="s">
        <v>1</v>
      </c>
    </row>
    <row r="310" spans="1:13" ht="12">
      <c r="A310" s="114">
        <v>10</v>
      </c>
      <c r="B310" s="114"/>
      <c r="C310" s="115"/>
      <c r="D310" s="26"/>
      <c r="E310" s="114">
        <v>10</v>
      </c>
      <c r="F310" s="114"/>
      <c r="G310" s="87"/>
      <c r="H310" s="107"/>
      <c r="I310" s="376"/>
      <c r="J310" s="107"/>
      <c r="K310" s="107"/>
      <c r="L310" s="376"/>
      <c r="M310" s="107"/>
    </row>
    <row r="311" spans="1:13" ht="12">
      <c r="A311" s="114">
        <v>11</v>
      </c>
      <c r="B311" s="114"/>
      <c r="C311" s="115"/>
      <c r="D311" s="26"/>
      <c r="E311" s="114">
        <v>11</v>
      </c>
      <c r="F311" s="114"/>
      <c r="G311" s="87"/>
      <c r="H311" s="78"/>
      <c r="I311" s="87"/>
      <c r="J311" s="78"/>
      <c r="K311" s="78"/>
      <c r="L311" s="87"/>
      <c r="M311" s="78"/>
    </row>
    <row r="312" spans="1:13" ht="12">
      <c r="A312" s="114">
        <v>12</v>
      </c>
      <c r="B312" s="114"/>
      <c r="C312" s="115" t="s">
        <v>345</v>
      </c>
      <c r="D312" s="201"/>
      <c r="E312" s="114">
        <v>12</v>
      </c>
      <c r="F312" s="114"/>
      <c r="G312" s="87"/>
      <c r="I312" s="87"/>
      <c r="J312" s="78"/>
      <c r="K312" s="78"/>
      <c r="L312" s="87"/>
      <c r="M312" s="78"/>
    </row>
    <row r="313" spans="1:13" ht="12">
      <c r="A313" s="114">
        <v>13</v>
      </c>
      <c r="B313" s="114"/>
      <c r="C313" s="26"/>
      <c r="D313" s="26"/>
      <c r="E313" s="114">
        <v>13</v>
      </c>
      <c r="F313" s="114"/>
      <c r="G313" s="87"/>
      <c r="H313" s="78"/>
      <c r="I313" s="87"/>
      <c r="J313" s="78"/>
      <c r="K313" s="78"/>
      <c r="L313" s="87"/>
      <c r="M313" s="78"/>
    </row>
    <row r="314" spans="1:13" ht="12">
      <c r="A314" s="26"/>
      <c r="B314" s="26"/>
      <c r="C314" s="26"/>
      <c r="D314" s="26"/>
      <c r="E314" s="26"/>
      <c r="F314" s="26"/>
      <c r="G314" s="109" t="s">
        <v>1</v>
      </c>
      <c r="H314" s="109" t="s">
        <v>1</v>
      </c>
      <c r="I314" s="109" t="s">
        <v>1</v>
      </c>
      <c r="J314" s="109" t="s">
        <v>1</v>
      </c>
      <c r="K314" s="109"/>
      <c r="L314" s="109" t="s">
        <v>1</v>
      </c>
      <c r="M314" s="109" t="s">
        <v>1</v>
      </c>
    </row>
    <row r="315" spans="1:13" ht="12">
      <c r="A315" s="114">
        <v>14</v>
      </c>
      <c r="B315" s="114"/>
      <c r="C315" s="26" t="s">
        <v>346</v>
      </c>
      <c r="D315" s="26"/>
      <c r="E315" s="114">
        <v>14</v>
      </c>
      <c r="F315" s="114"/>
      <c r="G315" s="87"/>
      <c r="H315" s="78">
        <f>SUM(H310:H313)</f>
        <v>0</v>
      </c>
      <c r="I315" s="87"/>
      <c r="J315" s="78">
        <f>SUM(J310:J313)</f>
        <v>0</v>
      </c>
      <c r="K315" s="78"/>
      <c r="L315" s="87"/>
      <c r="M315" s="78">
        <f>SUM(M310:M313)</f>
        <v>0</v>
      </c>
    </row>
    <row r="316" spans="1:13" ht="12">
      <c r="A316" s="114"/>
      <c r="B316" s="114"/>
      <c r="C316" s="26"/>
      <c r="D316" s="26"/>
      <c r="E316" s="114"/>
      <c r="F316" s="114"/>
      <c r="G316" s="109" t="s">
        <v>1</v>
      </c>
      <c r="H316" s="109" t="s">
        <v>1</v>
      </c>
      <c r="I316" s="109" t="s">
        <v>1</v>
      </c>
      <c r="J316" s="109" t="s">
        <v>1</v>
      </c>
      <c r="K316" s="109"/>
      <c r="L316" s="109" t="s">
        <v>1</v>
      </c>
      <c r="M316" s="109" t="s">
        <v>1</v>
      </c>
    </row>
    <row r="317" spans="1:13" ht="12">
      <c r="A317" s="114">
        <v>15</v>
      </c>
      <c r="B317" s="114"/>
      <c r="C317" s="115" t="s">
        <v>647</v>
      </c>
      <c r="D317" s="116"/>
      <c r="E317" s="114">
        <v>15</v>
      </c>
      <c r="F317" s="114"/>
      <c r="G317" s="87"/>
      <c r="H317" s="78">
        <f>SUM(H308,H315)</f>
        <v>6615290</v>
      </c>
      <c r="I317" s="87"/>
      <c r="J317" s="78">
        <f>SUM(J308,J315)</f>
        <v>30275918</v>
      </c>
      <c r="K317" s="78"/>
      <c r="L317" s="87"/>
      <c r="M317" s="78">
        <f>SUM(M308,M315)</f>
        <v>48215469</v>
      </c>
    </row>
    <row r="318" spans="1:13" ht="12">
      <c r="A318" s="114"/>
      <c r="B318" s="114"/>
      <c r="C318" s="115"/>
      <c r="D318" s="116"/>
      <c r="E318" s="114"/>
      <c r="F318" s="114"/>
      <c r="G318" s="87"/>
      <c r="H318" s="78"/>
      <c r="I318" s="87"/>
      <c r="J318" s="78"/>
      <c r="K318" s="78"/>
      <c r="L318" s="87"/>
      <c r="M318" s="78"/>
    </row>
    <row r="319" spans="1:13" ht="12">
      <c r="A319" s="114"/>
      <c r="B319" s="114"/>
      <c r="C319" s="26"/>
      <c r="D319" s="26"/>
      <c r="E319" s="114"/>
      <c r="F319" s="114"/>
      <c r="G319" s="87"/>
      <c r="H319" s="78"/>
      <c r="I319" s="87"/>
      <c r="J319" s="78"/>
      <c r="K319" s="78"/>
      <c r="L319" s="87"/>
      <c r="M319" s="78"/>
    </row>
    <row r="320" spans="1:13" ht="12">
      <c r="A320" s="114">
        <v>16</v>
      </c>
      <c r="B320" s="114"/>
      <c r="C320" s="115" t="s">
        <v>347</v>
      </c>
      <c r="D320" s="26"/>
      <c r="E320" s="114">
        <v>16</v>
      </c>
      <c r="F320" s="114"/>
      <c r="G320" s="87"/>
      <c r="H320" s="107">
        <f>-5449056</f>
        <v>-5449056</v>
      </c>
      <c r="I320" s="376"/>
      <c r="J320" s="107">
        <f>-4793269</f>
        <v>-4793269</v>
      </c>
      <c r="K320" s="107"/>
      <c r="L320" s="373"/>
      <c r="M320" s="107">
        <v>0</v>
      </c>
    </row>
    <row r="321" spans="1:13" ht="12">
      <c r="A321" s="114">
        <v>17</v>
      </c>
      <c r="B321" s="114"/>
      <c r="C321" s="31" t="s">
        <v>0</v>
      </c>
      <c r="D321" s="26"/>
      <c r="E321" s="114">
        <v>17</v>
      </c>
      <c r="F321" s="114"/>
      <c r="G321" s="26"/>
      <c r="H321" s="107"/>
      <c r="I321" s="382"/>
      <c r="J321" s="107"/>
      <c r="K321" s="107"/>
      <c r="L321" s="373"/>
      <c r="M321" s="373"/>
    </row>
    <row r="322" spans="1:13" ht="12">
      <c r="A322" s="114">
        <v>18</v>
      </c>
      <c r="B322" s="114"/>
      <c r="C322" s="26"/>
      <c r="D322" s="26"/>
      <c r="E322" s="114">
        <v>18</v>
      </c>
      <c r="F322" s="114"/>
      <c r="G322" s="26"/>
      <c r="H322" s="26"/>
      <c r="I322" s="26"/>
      <c r="J322" s="26"/>
      <c r="K322" s="26"/>
      <c r="L322" s="26"/>
      <c r="M322" s="26"/>
    </row>
    <row r="323" spans="1:13" ht="12">
      <c r="A323" s="200">
        <v>19</v>
      </c>
      <c r="B323" s="200"/>
      <c r="E323" s="200">
        <v>19</v>
      </c>
      <c r="F323" s="200"/>
      <c r="G323" s="26"/>
      <c r="H323" s="26"/>
      <c r="I323" s="26"/>
      <c r="J323" s="26"/>
      <c r="K323" s="26"/>
      <c r="L323" s="26"/>
      <c r="M323" s="26"/>
    </row>
    <row r="324" spans="1:13" ht="12">
      <c r="A324" s="200"/>
      <c r="B324" s="200"/>
      <c r="C324" s="115"/>
      <c r="D324" s="26"/>
      <c r="E324" s="200"/>
      <c r="F324" s="200"/>
      <c r="G324" s="109" t="s">
        <v>1</v>
      </c>
      <c r="H324" s="109" t="s">
        <v>1</v>
      </c>
      <c r="I324" s="109" t="s">
        <v>1</v>
      </c>
      <c r="J324" s="109" t="s">
        <v>1</v>
      </c>
      <c r="K324" s="109"/>
      <c r="L324" s="109" t="s">
        <v>1</v>
      </c>
      <c r="M324" s="109" t="s">
        <v>1</v>
      </c>
    </row>
    <row r="325" spans="1:13" ht="12">
      <c r="A325" s="200">
        <v>20</v>
      </c>
      <c r="B325" s="200"/>
      <c r="C325" s="115" t="s">
        <v>648</v>
      </c>
      <c r="D325" s="26"/>
      <c r="E325" s="200">
        <v>20</v>
      </c>
      <c r="F325" s="200"/>
      <c r="G325" s="87"/>
      <c r="H325" s="78">
        <f>SUM(H317+H320)</f>
        <v>1166234</v>
      </c>
      <c r="I325" s="87"/>
      <c r="J325" s="78">
        <f>SUM(J317+J320)</f>
        <v>25482649</v>
      </c>
      <c r="K325" s="78"/>
      <c r="L325" s="87"/>
      <c r="M325" s="78">
        <f>SUM(M317+M320)</f>
        <v>48215469</v>
      </c>
    </row>
    <row r="326" spans="1:13" ht="12">
      <c r="A326" s="202"/>
      <c r="B326" s="202"/>
      <c r="C326" s="169"/>
      <c r="E326" s="184"/>
      <c r="F326" s="184"/>
      <c r="G326" s="109" t="s">
        <v>1</v>
      </c>
      <c r="H326" s="109" t="s">
        <v>1</v>
      </c>
      <c r="I326" s="109" t="s">
        <v>1</v>
      </c>
      <c r="J326" s="109" t="s">
        <v>1</v>
      </c>
      <c r="K326" s="109"/>
      <c r="L326" s="109" t="s">
        <v>1</v>
      </c>
      <c r="M326" s="109" t="s">
        <v>1</v>
      </c>
    </row>
    <row r="327" spans="1:13" ht="12">
      <c r="A327" s="202"/>
      <c r="B327" s="202"/>
      <c r="C327" s="169"/>
      <c r="E327" s="184"/>
      <c r="F327" s="184"/>
      <c r="G327" s="109" t="s">
        <v>1</v>
      </c>
      <c r="H327" s="109" t="s">
        <v>1</v>
      </c>
      <c r="I327" s="109" t="s">
        <v>1</v>
      </c>
      <c r="J327" s="109" t="s">
        <v>1</v>
      </c>
      <c r="K327" s="109" t="s">
        <v>1</v>
      </c>
      <c r="L327" s="109"/>
      <c r="M327" s="109" t="s">
        <v>1</v>
      </c>
    </row>
    <row r="328" spans="7:13" s="26" customFormat="1" ht="12">
      <c r="G328" s="109"/>
      <c r="H328" s="109"/>
      <c r="I328" s="109"/>
      <c r="J328" s="78"/>
      <c r="K328" s="109"/>
      <c r="L328" s="109"/>
      <c r="M328" s="78"/>
    </row>
    <row r="329" spans="1:2" ht="12">
      <c r="A329" s="169"/>
      <c r="B329" s="169"/>
    </row>
    <row r="330" spans="1:13" ht="12">
      <c r="A330" s="223" t="s">
        <v>299</v>
      </c>
      <c r="B330" s="223"/>
      <c r="E330" s="184"/>
      <c r="F330" s="184"/>
      <c r="G330" s="178"/>
      <c r="H330" s="165"/>
      <c r="I330" s="178"/>
      <c r="J330" s="165"/>
      <c r="K330" s="178"/>
      <c r="L330" s="178"/>
      <c r="M330" s="163" t="s">
        <v>78</v>
      </c>
    </row>
    <row r="331" spans="1:13" ht="12">
      <c r="A331" s="412" t="s">
        <v>348</v>
      </c>
      <c r="B331" s="412"/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</row>
    <row r="332" spans="1:13" ht="12">
      <c r="A332" s="223" t="s">
        <v>274</v>
      </c>
      <c r="B332" s="223"/>
      <c r="G332" s="199"/>
      <c r="H332" s="195"/>
      <c r="I332" s="195"/>
      <c r="J332" s="165"/>
      <c r="K332" s="178"/>
      <c r="L332" s="178"/>
      <c r="M332" s="264" t="str">
        <f>M4</f>
        <v>Date: 10/1/2009</v>
      </c>
    </row>
    <row r="333" spans="1:13" ht="12">
      <c r="A333" s="166" t="s">
        <v>1</v>
      </c>
      <c r="B333" s="166"/>
      <c r="C333" s="166" t="s">
        <v>1</v>
      </c>
      <c r="D333" s="166" t="s">
        <v>1</v>
      </c>
      <c r="E333" s="166" t="s">
        <v>1</v>
      </c>
      <c r="F333" s="166"/>
      <c r="G333" s="166" t="s">
        <v>1</v>
      </c>
      <c r="H333" s="166" t="s">
        <v>1</v>
      </c>
      <c r="I333" s="166" t="s">
        <v>1</v>
      </c>
      <c r="J333" s="166" t="s">
        <v>1</v>
      </c>
      <c r="K333" s="166" t="s">
        <v>1</v>
      </c>
      <c r="L333" s="166"/>
      <c r="M333" s="166" t="s">
        <v>1</v>
      </c>
    </row>
    <row r="334" spans="1:13" ht="12">
      <c r="A334" s="168" t="s">
        <v>2</v>
      </c>
      <c r="B334" s="168"/>
      <c r="E334" s="168" t="s">
        <v>2</v>
      </c>
      <c r="F334" s="168"/>
      <c r="G334" s="78"/>
      <c r="H334" s="151" t="s">
        <v>240</v>
      </c>
      <c r="I334" s="87"/>
      <c r="J334" s="151" t="s">
        <v>247</v>
      </c>
      <c r="K334" s="151"/>
      <c r="L334" s="87"/>
      <c r="M334" s="151" t="s">
        <v>576</v>
      </c>
    </row>
    <row r="335" spans="1:13" ht="12">
      <c r="A335" s="168" t="s">
        <v>4</v>
      </c>
      <c r="B335" s="168"/>
      <c r="C335" s="171" t="s">
        <v>20</v>
      </c>
      <c r="E335" s="168" t="s">
        <v>4</v>
      </c>
      <c r="F335" s="168"/>
      <c r="G335" s="24"/>
      <c r="H335" s="151" t="s">
        <v>7</v>
      </c>
      <c r="I335" s="24"/>
      <c r="J335" s="151" t="s">
        <v>7</v>
      </c>
      <c r="K335" s="151"/>
      <c r="L335" s="24"/>
      <c r="M335" s="151" t="s">
        <v>8</v>
      </c>
    </row>
    <row r="336" spans="1:13" ht="12">
      <c r="A336" s="166" t="s">
        <v>1</v>
      </c>
      <c r="B336" s="166"/>
      <c r="C336" s="166" t="s">
        <v>1</v>
      </c>
      <c r="D336" s="166" t="s">
        <v>1</v>
      </c>
      <c r="E336" s="166" t="s">
        <v>1</v>
      </c>
      <c r="F336" s="166"/>
      <c r="G336" s="40" t="s">
        <v>1</v>
      </c>
      <c r="H336" s="40" t="s">
        <v>1</v>
      </c>
      <c r="I336" s="40" t="s">
        <v>1</v>
      </c>
      <c r="J336" s="40" t="s">
        <v>1</v>
      </c>
      <c r="K336" s="40"/>
      <c r="L336" s="40" t="s">
        <v>1</v>
      </c>
      <c r="M336" s="176" t="s">
        <v>1</v>
      </c>
    </row>
    <row r="337" spans="1:13" ht="12">
      <c r="A337" s="114">
        <v>1</v>
      </c>
      <c r="B337" s="114"/>
      <c r="C337" s="31" t="s">
        <v>349</v>
      </c>
      <c r="D337" s="26"/>
      <c r="E337" s="114">
        <v>1</v>
      </c>
      <c r="F337" s="114"/>
      <c r="G337" s="87"/>
      <c r="H337" s="78"/>
      <c r="I337" s="87"/>
      <c r="J337" s="78"/>
      <c r="K337" s="78"/>
      <c r="L337" s="87"/>
      <c r="M337" s="78"/>
    </row>
    <row r="338" spans="1:13" ht="12">
      <c r="A338" s="114"/>
      <c r="B338" s="114"/>
      <c r="C338" s="31"/>
      <c r="D338" s="26"/>
      <c r="E338" s="114"/>
      <c r="F338" s="114"/>
      <c r="G338" s="87"/>
      <c r="H338" s="78"/>
      <c r="I338" s="87"/>
      <c r="J338" s="78"/>
      <c r="K338" s="78"/>
      <c r="L338" s="87"/>
      <c r="M338" s="78"/>
    </row>
    <row r="339" spans="1:13" ht="12">
      <c r="A339" s="114">
        <f>(A337+1)</f>
        <v>2</v>
      </c>
      <c r="B339" s="114"/>
      <c r="C339" s="32" t="s">
        <v>350</v>
      </c>
      <c r="D339" s="26"/>
      <c r="E339" s="114">
        <f>(E337+1)</f>
        <v>2</v>
      </c>
      <c r="F339" s="114"/>
      <c r="G339" s="87"/>
      <c r="H339" s="107">
        <f>45874646.71</f>
        <v>45874646.71</v>
      </c>
      <c r="I339" s="203"/>
      <c r="J339" s="107">
        <f>51306405.02</f>
        <v>51306405.02</v>
      </c>
      <c r="K339" s="107"/>
      <c r="L339" s="203"/>
      <c r="M339" s="107">
        <f>44864442</f>
        <v>44864442</v>
      </c>
    </row>
    <row r="340" spans="1:13" ht="12">
      <c r="A340" s="114">
        <f aca="true" t="shared" si="16" ref="A340:A345">(A339+1)</f>
        <v>3</v>
      </c>
      <c r="B340" s="114"/>
      <c r="C340" s="32" t="s">
        <v>641</v>
      </c>
      <c r="D340" s="26"/>
      <c r="E340" s="114">
        <f aca="true" t="shared" si="17" ref="E340:E345">(E339+1)</f>
        <v>3</v>
      </c>
      <c r="F340" s="114"/>
      <c r="G340" s="87"/>
      <c r="H340" s="107">
        <v>4819867</v>
      </c>
      <c r="I340" s="203"/>
      <c r="J340" s="107">
        <v>4893468</v>
      </c>
      <c r="K340" s="107"/>
      <c r="L340" s="203"/>
      <c r="M340" s="107">
        <f>849599</f>
        <v>849599</v>
      </c>
    </row>
    <row r="341" spans="1:13" ht="12">
      <c r="A341" s="114">
        <f t="shared" si="16"/>
        <v>4</v>
      </c>
      <c r="B341" s="114"/>
      <c r="C341" s="32" t="s">
        <v>354</v>
      </c>
      <c r="D341" s="26"/>
      <c r="E341" s="114">
        <f t="shared" si="17"/>
        <v>4</v>
      </c>
      <c r="F341" s="114"/>
      <c r="G341" s="87"/>
      <c r="H341" s="107"/>
      <c r="I341" s="203"/>
      <c r="J341" s="107"/>
      <c r="K341" s="107"/>
      <c r="L341" s="203"/>
      <c r="M341" s="107"/>
    </row>
    <row r="342" spans="1:13" ht="12">
      <c r="A342" s="114">
        <f t="shared" si="16"/>
        <v>5</v>
      </c>
      <c r="B342" s="114"/>
      <c r="C342" s="31" t="s">
        <v>353</v>
      </c>
      <c r="D342" s="26"/>
      <c r="E342" s="114">
        <f t="shared" si="17"/>
        <v>5</v>
      </c>
      <c r="F342" s="114"/>
      <c r="G342" s="87"/>
      <c r="H342" s="107"/>
      <c r="I342" s="203"/>
      <c r="J342" s="107"/>
      <c r="K342" s="107"/>
      <c r="L342" s="203"/>
      <c r="M342" s="107"/>
    </row>
    <row r="343" spans="1:13" ht="12">
      <c r="A343" s="114">
        <f t="shared" si="16"/>
        <v>6</v>
      </c>
      <c r="B343" s="114"/>
      <c r="C343" s="32" t="s">
        <v>351</v>
      </c>
      <c r="D343" s="26"/>
      <c r="E343" s="114">
        <f t="shared" si="17"/>
        <v>6</v>
      </c>
      <c r="F343" s="114"/>
      <c r="G343" s="87"/>
      <c r="H343" s="107">
        <f>635362.13</f>
        <v>635362.13</v>
      </c>
      <c r="I343" s="203"/>
      <c r="J343" s="107">
        <f>451637.38-2411.57</f>
        <v>449225.81</v>
      </c>
      <c r="K343" s="107"/>
      <c r="L343" s="203"/>
      <c r="M343" s="107">
        <f>295380</f>
        <v>295380</v>
      </c>
    </row>
    <row r="344" spans="1:13" ht="12">
      <c r="A344" s="114">
        <f t="shared" si="16"/>
        <v>7</v>
      </c>
      <c r="B344" s="114"/>
      <c r="C344" s="32" t="s">
        <v>352</v>
      </c>
      <c r="D344" s="26"/>
      <c r="E344" s="114">
        <f t="shared" si="17"/>
        <v>7</v>
      </c>
      <c r="F344" s="114"/>
      <c r="G344" s="87"/>
      <c r="H344" s="107">
        <f>1100079.6</f>
        <v>1100079.6</v>
      </c>
      <c r="I344" s="203"/>
      <c r="J344" s="107">
        <f>1120617.41</f>
        <v>1120617.41</v>
      </c>
      <c r="K344" s="107"/>
      <c r="L344" s="203"/>
      <c r="M344" s="107">
        <f>1152887</f>
        <v>1152887</v>
      </c>
    </row>
    <row r="345" spans="1:13" ht="12">
      <c r="A345" s="114">
        <f t="shared" si="16"/>
        <v>8</v>
      </c>
      <c r="B345" s="114"/>
      <c r="D345" s="26"/>
      <c r="E345" s="114">
        <f t="shared" si="17"/>
        <v>8</v>
      </c>
      <c r="F345" s="114"/>
      <c r="G345" s="87"/>
      <c r="I345" s="203"/>
      <c r="J345" s="107"/>
      <c r="K345" s="107"/>
      <c r="L345" s="203"/>
      <c r="M345" s="107"/>
    </row>
    <row r="346" spans="1:6" ht="12">
      <c r="A346" s="114">
        <v>9</v>
      </c>
      <c r="B346" s="114"/>
      <c r="C346" s="32"/>
      <c r="D346" s="26"/>
      <c r="E346" s="114">
        <v>9</v>
      </c>
      <c r="F346" s="114"/>
    </row>
    <row r="347" spans="4:13" ht="12">
      <c r="D347" s="26"/>
      <c r="E347" s="114"/>
      <c r="F347" s="114"/>
      <c r="G347" s="109" t="s">
        <v>1</v>
      </c>
      <c r="H347" s="109" t="s">
        <v>1</v>
      </c>
      <c r="I347" s="109" t="s">
        <v>1</v>
      </c>
      <c r="J347" s="109" t="s">
        <v>1</v>
      </c>
      <c r="K347" s="109"/>
      <c r="L347" s="109" t="s">
        <v>1</v>
      </c>
      <c r="M347" s="109" t="s">
        <v>1</v>
      </c>
    </row>
    <row r="348" spans="1:13" ht="12">
      <c r="A348" s="114">
        <v>10</v>
      </c>
      <c r="B348" s="114"/>
      <c r="C348" s="26" t="s">
        <v>344</v>
      </c>
      <c r="D348" s="26"/>
      <c r="E348" s="114">
        <v>10</v>
      </c>
      <c r="F348" s="114"/>
      <c r="G348" s="87"/>
      <c r="H348" s="107">
        <f>SUM(H339:H347)</f>
        <v>52429955.440000005</v>
      </c>
      <c r="I348" s="376"/>
      <c r="J348" s="107">
        <f>SUM(J339:J347)</f>
        <v>57769716.24</v>
      </c>
      <c r="K348" s="107"/>
      <c r="L348" s="376"/>
      <c r="M348" s="107">
        <f>SUM(M339:M347)</f>
        <v>47162308</v>
      </c>
    </row>
    <row r="349" spans="4:12" ht="12">
      <c r="D349" s="26"/>
      <c r="G349" s="87"/>
      <c r="I349" s="203"/>
      <c r="L349" s="203"/>
    </row>
    <row r="350" spans="1:13" ht="12">
      <c r="A350" s="114">
        <v>11</v>
      </c>
      <c r="B350" s="114"/>
      <c r="C350" s="32" t="s">
        <v>355</v>
      </c>
      <c r="D350" s="26"/>
      <c r="E350" s="114">
        <v>11</v>
      </c>
      <c r="F350" s="114"/>
      <c r="G350" s="87"/>
      <c r="H350" s="107">
        <f>2717456.76</f>
        <v>2717456.76</v>
      </c>
      <c r="I350" s="203"/>
      <c r="J350" s="107">
        <f>2600735.42+2411.57</f>
        <v>2603146.9899999998</v>
      </c>
      <c r="K350" s="107"/>
      <c r="L350" s="203"/>
      <c r="M350" s="107">
        <f>3126665</f>
        <v>3126665</v>
      </c>
    </row>
    <row r="351" spans="1:13" ht="12">
      <c r="A351" s="114">
        <v>12</v>
      </c>
      <c r="B351" s="114"/>
      <c r="C351" s="32" t="s">
        <v>356</v>
      </c>
      <c r="D351" s="26"/>
      <c r="E351" s="114">
        <v>12</v>
      </c>
      <c r="F351" s="114"/>
      <c r="G351" s="87"/>
      <c r="H351" s="107"/>
      <c r="I351" s="203"/>
      <c r="J351" s="107"/>
      <c r="K351" s="107"/>
      <c r="L351" s="203"/>
      <c r="M351" s="107"/>
    </row>
    <row r="352" spans="1:13" ht="12">
      <c r="A352" s="114">
        <v>13</v>
      </c>
      <c r="B352" s="114"/>
      <c r="C352" s="32" t="s">
        <v>357</v>
      </c>
      <c r="D352" s="26"/>
      <c r="E352" s="114">
        <v>13</v>
      </c>
      <c r="F352" s="114"/>
      <c r="G352" s="87"/>
      <c r="H352" s="107">
        <v>1440</v>
      </c>
      <c r="I352" s="203"/>
      <c r="J352" s="107"/>
      <c r="K352" s="107"/>
      <c r="L352" s="203"/>
      <c r="M352" s="107"/>
    </row>
    <row r="353" spans="1:13" ht="12">
      <c r="A353" s="26"/>
      <c r="B353" s="26"/>
      <c r="C353" s="382"/>
      <c r="D353" s="26"/>
      <c r="E353" s="26"/>
      <c r="F353" s="26"/>
      <c r="G353" s="109" t="s">
        <v>1</v>
      </c>
      <c r="H353" s="109" t="s">
        <v>1</v>
      </c>
      <c r="I353" s="109" t="s">
        <v>1</v>
      </c>
      <c r="J353" s="109" t="s">
        <v>1</v>
      </c>
      <c r="K353" s="109"/>
      <c r="L353" s="109" t="s">
        <v>1</v>
      </c>
      <c r="M353" s="109" t="s">
        <v>1</v>
      </c>
    </row>
    <row r="354" spans="1:13" ht="12">
      <c r="A354" s="114">
        <v>14</v>
      </c>
      <c r="B354" s="114"/>
      <c r="C354" s="26" t="s">
        <v>346</v>
      </c>
      <c r="D354" s="26"/>
      <c r="E354" s="114">
        <v>14</v>
      </c>
      <c r="F354" s="114"/>
      <c r="G354" s="87"/>
      <c r="H354" s="78">
        <f>SUM(H350:H353)</f>
        <v>2718896.76</v>
      </c>
      <c r="I354" s="87"/>
      <c r="J354" s="78">
        <f>SUM(J350:J353)</f>
        <v>2603146.9899999998</v>
      </c>
      <c r="K354" s="78"/>
      <c r="L354" s="87"/>
      <c r="M354" s="78">
        <f>SUM(M350:M353)</f>
        <v>3126665</v>
      </c>
    </row>
    <row r="355" spans="1:13" ht="12">
      <c r="A355" s="114"/>
      <c r="B355" s="114"/>
      <c r="C355" s="32"/>
      <c r="D355" s="26"/>
      <c r="E355" s="114"/>
      <c r="F355" s="114"/>
      <c r="G355" s="109" t="s">
        <v>1</v>
      </c>
      <c r="H355" s="109" t="s">
        <v>1</v>
      </c>
      <c r="I355" s="109" t="s">
        <v>1</v>
      </c>
      <c r="J355" s="109" t="s">
        <v>1</v>
      </c>
      <c r="K355" s="109"/>
      <c r="L355" s="109" t="s">
        <v>1</v>
      </c>
      <c r="M355" s="109" t="s">
        <v>1</v>
      </c>
    </row>
    <row r="356" spans="1:13" ht="12">
      <c r="A356" s="114">
        <v>15</v>
      </c>
      <c r="B356" s="114"/>
      <c r="C356" s="31" t="s">
        <v>642</v>
      </c>
      <c r="D356" s="26"/>
      <c r="E356" s="114">
        <v>15</v>
      </c>
      <c r="F356" s="114"/>
      <c r="G356" s="87"/>
      <c r="H356" s="78">
        <f>SUM(H348+H354)</f>
        <v>55148852.2</v>
      </c>
      <c r="I356" s="87"/>
      <c r="J356" s="78">
        <f>SUM(J348+J354)</f>
        <v>60372863.230000004</v>
      </c>
      <c r="K356" s="78"/>
      <c r="L356" s="87"/>
      <c r="M356" s="78">
        <f>SUM(M348+M354)</f>
        <v>50288973</v>
      </c>
    </row>
    <row r="357" spans="1:13" ht="12">
      <c r="A357" s="114"/>
      <c r="B357" s="114"/>
      <c r="C357" s="31"/>
      <c r="D357" s="26"/>
      <c r="E357" s="114"/>
      <c r="F357" s="114"/>
      <c r="G357" s="87"/>
      <c r="H357" s="78"/>
      <c r="I357" s="87"/>
      <c r="J357" s="78"/>
      <c r="K357" s="78"/>
      <c r="L357" s="87"/>
      <c r="M357" s="78"/>
    </row>
    <row r="358" spans="1:13" ht="12">
      <c r="A358" s="114"/>
      <c r="B358" s="114"/>
      <c r="C358" s="26"/>
      <c r="D358" s="26"/>
      <c r="E358" s="114"/>
      <c r="F358" s="114"/>
      <c r="G358" s="87"/>
      <c r="H358" s="78"/>
      <c r="I358" s="87"/>
      <c r="J358" s="78"/>
      <c r="K358" s="78"/>
      <c r="L358" s="87"/>
      <c r="M358" s="78"/>
    </row>
    <row r="359" spans="1:13" ht="12">
      <c r="A359" s="114">
        <v>16</v>
      </c>
      <c r="B359" s="114"/>
      <c r="C359" s="115" t="s">
        <v>347</v>
      </c>
      <c r="D359" s="26"/>
      <c r="E359" s="114">
        <v>16</v>
      </c>
      <c r="F359" s="114"/>
      <c r="G359" s="87"/>
      <c r="H359" s="107"/>
      <c r="I359" s="203"/>
      <c r="J359" s="107"/>
      <c r="K359" s="107"/>
      <c r="L359" s="107"/>
      <c r="M359" s="107"/>
    </row>
    <row r="360" spans="1:13" ht="12">
      <c r="A360" s="114">
        <v>17</v>
      </c>
      <c r="B360" s="114"/>
      <c r="C360" s="31" t="s">
        <v>358</v>
      </c>
      <c r="D360" s="26"/>
      <c r="E360" s="114">
        <v>17</v>
      </c>
      <c r="F360" s="114"/>
      <c r="G360" s="26"/>
      <c r="H360" s="107">
        <f>5568066</f>
        <v>5568066</v>
      </c>
      <c r="I360" s="32"/>
      <c r="J360" s="107">
        <f>5449056</f>
        <v>5449056</v>
      </c>
      <c r="K360" s="107"/>
      <c r="L360" s="107"/>
      <c r="M360" s="107">
        <f>4793269</f>
        <v>4793269</v>
      </c>
    </row>
    <row r="361" spans="1:13" ht="12">
      <c r="A361" s="114">
        <v>18</v>
      </c>
      <c r="B361" s="114"/>
      <c r="C361" s="26"/>
      <c r="D361" s="26"/>
      <c r="E361" s="114">
        <v>18</v>
      </c>
      <c r="F361" s="114"/>
      <c r="G361" s="26"/>
      <c r="H361" s="204"/>
      <c r="I361" s="26"/>
      <c r="J361" s="204"/>
      <c r="K361" s="204"/>
      <c r="L361" s="26"/>
      <c r="M361" s="26"/>
    </row>
    <row r="362" spans="1:13" ht="12">
      <c r="A362" s="114">
        <v>19</v>
      </c>
      <c r="B362" s="114"/>
      <c r="C362" s="26"/>
      <c r="D362" s="26"/>
      <c r="E362" s="114">
        <v>19</v>
      </c>
      <c r="F362" s="114"/>
      <c r="G362" s="26"/>
      <c r="H362" s="26"/>
      <c r="I362" s="26"/>
      <c r="J362" s="26"/>
      <c r="K362" s="26"/>
      <c r="L362" s="26"/>
      <c r="M362" s="26"/>
    </row>
    <row r="363" spans="1:13" ht="12">
      <c r="A363" s="114"/>
      <c r="B363" s="114"/>
      <c r="C363" s="115"/>
      <c r="D363" s="26"/>
      <c r="E363" s="114"/>
      <c r="F363" s="114"/>
      <c r="G363" s="109" t="s">
        <v>1</v>
      </c>
      <c r="H363" s="109" t="s">
        <v>1</v>
      </c>
      <c r="I363" s="109" t="s">
        <v>1</v>
      </c>
      <c r="J363" s="109" t="s">
        <v>1</v>
      </c>
      <c r="K363" s="109"/>
      <c r="L363" s="109" t="s">
        <v>1</v>
      </c>
      <c r="M363" s="109" t="s">
        <v>1</v>
      </c>
    </row>
    <row r="364" spans="1:13" ht="12">
      <c r="A364" s="114">
        <v>20</v>
      </c>
      <c r="B364" s="114"/>
      <c r="C364" s="115" t="s">
        <v>359</v>
      </c>
      <c r="D364" s="26"/>
      <c r="E364" s="114">
        <v>20</v>
      </c>
      <c r="F364" s="114"/>
      <c r="G364" s="87"/>
      <c r="H364" s="78">
        <f>SUM(H356:H362)</f>
        <v>60716918.2</v>
      </c>
      <c r="I364" s="87"/>
      <c r="J364" s="78">
        <f>SUM(J356:J362)</f>
        <v>65821919.230000004</v>
      </c>
      <c r="K364" s="78"/>
      <c r="L364" s="87"/>
      <c r="M364" s="78">
        <f>SUM(M356:M362)</f>
        <v>55082242</v>
      </c>
    </row>
    <row r="365" spans="1:13" ht="12">
      <c r="A365" s="117"/>
      <c r="B365" s="117"/>
      <c r="C365" s="31"/>
      <c r="D365" s="26"/>
      <c r="E365" s="69"/>
      <c r="F365" s="69"/>
      <c r="G365" s="109" t="s">
        <v>1</v>
      </c>
      <c r="H365" s="109" t="s">
        <v>1</v>
      </c>
      <c r="I365" s="109" t="s">
        <v>1</v>
      </c>
      <c r="J365" s="109" t="s">
        <v>1</v>
      </c>
      <c r="K365" s="109" t="s">
        <v>1</v>
      </c>
      <c r="L365" s="109"/>
      <c r="M365" s="109" t="s">
        <v>1</v>
      </c>
    </row>
    <row r="366" spans="7:13" s="4" customFormat="1" ht="12">
      <c r="G366" s="22"/>
      <c r="H366" s="22"/>
      <c r="I366" s="22"/>
      <c r="J366" s="19"/>
      <c r="K366" s="22"/>
      <c r="L366" s="22"/>
      <c r="M366" s="22"/>
    </row>
    <row r="367" spans="7:13" s="4" customFormat="1" ht="12">
      <c r="G367" s="22"/>
      <c r="H367" s="22"/>
      <c r="I367" s="22"/>
      <c r="J367" s="19"/>
      <c r="K367" s="22"/>
      <c r="L367" s="22"/>
      <c r="M367" s="22"/>
    </row>
    <row r="368" spans="1:13" s="4" customFormat="1" ht="12">
      <c r="A368" s="223" t="s">
        <v>299</v>
      </c>
      <c r="B368" s="223"/>
      <c r="C368" s="161"/>
      <c r="D368" s="161"/>
      <c r="E368" s="184"/>
      <c r="F368" s="184"/>
      <c r="G368" s="178"/>
      <c r="H368" s="165"/>
      <c r="I368" s="178"/>
      <c r="J368" s="165"/>
      <c r="K368" s="178"/>
      <c r="L368" s="178"/>
      <c r="M368" s="163" t="s">
        <v>211</v>
      </c>
    </row>
    <row r="369" spans="1:13" s="4" customFormat="1" ht="12">
      <c r="A369" s="412" t="s">
        <v>640</v>
      </c>
      <c r="B369" s="412"/>
      <c r="C369" s="412"/>
      <c r="D369" s="412"/>
      <c r="E369" s="412"/>
      <c r="F369" s="412"/>
      <c r="G369" s="412"/>
      <c r="H369" s="412"/>
      <c r="I369" s="412"/>
      <c r="J369" s="412"/>
      <c r="K369" s="412"/>
      <c r="L369" s="412"/>
      <c r="M369" s="412"/>
    </row>
    <row r="370" spans="1:13" s="4" customFormat="1" ht="12">
      <c r="A370" s="223" t="s">
        <v>274</v>
      </c>
      <c r="B370" s="223"/>
      <c r="C370" s="161"/>
      <c r="D370" s="161"/>
      <c r="E370" s="161"/>
      <c r="F370" s="161"/>
      <c r="G370" s="199"/>
      <c r="H370" s="195"/>
      <c r="I370" s="195"/>
      <c r="J370" s="165"/>
      <c r="K370" s="178"/>
      <c r="L370" s="178"/>
      <c r="M370" s="264" t="str">
        <f>M4</f>
        <v>Date: 10/1/2009</v>
      </c>
    </row>
    <row r="371" spans="1:13" s="4" customFormat="1" ht="12">
      <c r="A371" s="166" t="s">
        <v>1</v>
      </c>
      <c r="B371" s="166"/>
      <c r="C371" s="166" t="s">
        <v>1</v>
      </c>
      <c r="D371" s="166" t="s">
        <v>1</v>
      </c>
      <c r="E371" s="166" t="s">
        <v>1</v>
      </c>
      <c r="F371" s="166"/>
      <c r="G371" s="166" t="s">
        <v>1</v>
      </c>
      <c r="H371" s="166" t="s">
        <v>1</v>
      </c>
      <c r="I371" s="166" t="s">
        <v>1</v>
      </c>
      <c r="J371" s="166" t="s">
        <v>1</v>
      </c>
      <c r="K371" s="166" t="s">
        <v>1</v>
      </c>
      <c r="L371" s="166"/>
      <c r="M371" s="166" t="s">
        <v>1</v>
      </c>
    </row>
    <row r="372" spans="1:13" s="4" customFormat="1" ht="12">
      <c r="A372" s="168" t="s">
        <v>2</v>
      </c>
      <c r="B372" s="168"/>
      <c r="C372" s="161"/>
      <c r="D372" s="161"/>
      <c r="E372" s="168" t="s">
        <v>2</v>
      </c>
      <c r="F372" s="168"/>
      <c r="G372" s="78"/>
      <c r="H372" s="151" t="s">
        <v>240</v>
      </c>
      <c r="I372" s="87"/>
      <c r="J372" s="151" t="s">
        <v>247</v>
      </c>
      <c r="K372" s="151"/>
      <c r="L372" s="87"/>
      <c r="M372" s="151" t="s">
        <v>576</v>
      </c>
    </row>
    <row r="373" spans="1:13" s="4" customFormat="1" ht="12">
      <c r="A373" s="168" t="s">
        <v>4</v>
      </c>
      <c r="B373" s="168"/>
      <c r="C373" s="171" t="s">
        <v>20</v>
      </c>
      <c r="D373" s="161"/>
      <c r="E373" s="168" t="s">
        <v>4</v>
      </c>
      <c r="F373" s="168"/>
      <c r="G373" s="24"/>
      <c r="H373" s="151" t="s">
        <v>7</v>
      </c>
      <c r="I373" s="24"/>
      <c r="J373" s="151" t="s">
        <v>7</v>
      </c>
      <c r="K373" s="151"/>
      <c r="L373" s="24"/>
      <c r="M373" s="151" t="s">
        <v>8</v>
      </c>
    </row>
    <row r="374" spans="1:13" s="4" customFormat="1" ht="12">
      <c r="A374" s="166" t="s">
        <v>1</v>
      </c>
      <c r="B374" s="166"/>
      <c r="C374" s="166" t="s">
        <v>1</v>
      </c>
      <c r="D374" s="166" t="s">
        <v>1</v>
      </c>
      <c r="E374" s="166" t="s">
        <v>1</v>
      </c>
      <c r="F374" s="166"/>
      <c r="G374" s="40" t="s">
        <v>1</v>
      </c>
      <c r="H374" s="40" t="s">
        <v>1</v>
      </c>
      <c r="I374" s="40" t="s">
        <v>1</v>
      </c>
      <c r="J374" s="40" t="s">
        <v>1</v>
      </c>
      <c r="K374" s="40"/>
      <c r="L374" s="40" t="s">
        <v>1</v>
      </c>
      <c r="M374" s="176" t="s">
        <v>1</v>
      </c>
    </row>
    <row r="375" spans="1:13" s="4" customFormat="1" ht="12">
      <c r="A375" s="4">
        <v>1</v>
      </c>
      <c r="C375" s="4" t="s">
        <v>360</v>
      </c>
      <c r="E375" s="4">
        <v>1</v>
      </c>
      <c r="G375" s="22"/>
      <c r="H375" s="22"/>
      <c r="I375" s="22"/>
      <c r="J375" s="19"/>
      <c r="K375" s="19"/>
      <c r="L375" s="22"/>
      <c r="M375" s="22"/>
    </row>
    <row r="376" spans="7:13" s="4" customFormat="1" ht="12">
      <c r="G376" s="22"/>
      <c r="H376" s="22"/>
      <c r="I376" s="22"/>
      <c r="J376" s="19"/>
      <c r="K376" s="19"/>
      <c r="L376" s="22"/>
      <c r="M376" s="22"/>
    </row>
    <row r="377" spans="1:13" s="4" customFormat="1" ht="12">
      <c r="A377" s="4">
        <v>2</v>
      </c>
      <c r="C377" s="4" t="s">
        <v>361</v>
      </c>
      <c r="E377" s="4">
        <v>2</v>
      </c>
      <c r="G377" s="22"/>
      <c r="H377" s="22"/>
      <c r="I377" s="22"/>
      <c r="J377" s="19"/>
      <c r="K377" s="19"/>
      <c r="L377" s="22"/>
      <c r="M377" s="22"/>
    </row>
    <row r="378" spans="1:13" s="4" customFormat="1" ht="12">
      <c r="A378" s="4">
        <v>3</v>
      </c>
      <c r="C378" s="4" t="s">
        <v>362</v>
      </c>
      <c r="E378" s="4">
        <v>3</v>
      </c>
      <c r="G378" s="22"/>
      <c r="H378" s="107">
        <f>5743080</f>
        <v>5743080</v>
      </c>
      <c r="I378" s="22"/>
      <c r="J378" s="107">
        <f>8850485</f>
        <v>8850485</v>
      </c>
      <c r="K378" s="107"/>
      <c r="L378" s="22"/>
      <c r="M378" s="107">
        <f>11480589</f>
        <v>11480589</v>
      </c>
    </row>
    <row r="379" spans="1:13" s="4" customFormat="1" ht="12">
      <c r="A379" s="4">
        <v>4</v>
      </c>
      <c r="C379" s="4" t="s">
        <v>363</v>
      </c>
      <c r="E379" s="4">
        <v>4</v>
      </c>
      <c r="G379" s="22"/>
      <c r="H379" s="107">
        <f>200</f>
        <v>200</v>
      </c>
      <c r="I379" s="22"/>
      <c r="J379" s="107">
        <v>300</v>
      </c>
      <c r="K379" s="107"/>
      <c r="L379" s="22"/>
      <c r="M379" s="107">
        <v>400</v>
      </c>
    </row>
    <row r="380" spans="1:5" s="4" customFormat="1" ht="12">
      <c r="A380" s="4">
        <v>5</v>
      </c>
      <c r="E380" s="4">
        <v>5</v>
      </c>
    </row>
    <row r="381" spans="1:13" s="4" customFormat="1" ht="12">
      <c r="A381" s="4">
        <v>6</v>
      </c>
      <c r="E381" s="4">
        <v>6</v>
      </c>
      <c r="G381" s="22"/>
      <c r="H381" s="22"/>
      <c r="I381" s="22"/>
      <c r="J381" s="19"/>
      <c r="K381" s="19"/>
      <c r="L381" s="22"/>
      <c r="M381" s="22"/>
    </row>
    <row r="382" spans="1:5" s="4" customFormat="1" ht="12">
      <c r="A382" s="4">
        <v>7</v>
      </c>
      <c r="E382" s="4">
        <v>7</v>
      </c>
    </row>
    <row r="383" spans="1:13" s="4" customFormat="1" ht="12">
      <c r="A383" s="4">
        <v>8</v>
      </c>
      <c r="E383" s="4">
        <v>8</v>
      </c>
      <c r="G383" s="22"/>
      <c r="H383" s="22"/>
      <c r="I383" s="22"/>
      <c r="J383" s="19"/>
      <c r="K383" s="19"/>
      <c r="L383" s="22"/>
      <c r="M383" s="22"/>
    </row>
    <row r="384" spans="1:13" s="4" customFormat="1" ht="12">
      <c r="A384" s="4">
        <v>9</v>
      </c>
      <c r="E384" s="4">
        <v>9</v>
      </c>
      <c r="G384" s="22"/>
      <c r="H384" s="22"/>
      <c r="I384" s="22"/>
      <c r="J384" s="19"/>
      <c r="K384" s="19"/>
      <c r="L384" s="22"/>
      <c r="M384" s="22"/>
    </row>
    <row r="385" spans="1:13" s="4" customFormat="1" ht="12">
      <c r="A385" s="4">
        <v>10</v>
      </c>
      <c r="E385" s="4">
        <v>10</v>
      </c>
      <c r="G385" s="22"/>
      <c r="H385" s="22"/>
      <c r="I385" s="22"/>
      <c r="J385" s="19"/>
      <c r="K385" s="19"/>
      <c r="L385" s="22"/>
      <c r="M385" s="22"/>
    </row>
    <row r="386" spans="1:13" s="4" customFormat="1" ht="12">
      <c r="A386" s="4">
        <v>11</v>
      </c>
      <c r="E386" s="4">
        <v>11</v>
      </c>
      <c r="G386" s="22"/>
      <c r="H386" s="22"/>
      <c r="I386" s="22"/>
      <c r="J386" s="19"/>
      <c r="K386" s="19"/>
      <c r="L386" s="22"/>
      <c r="M386" s="22"/>
    </row>
    <row r="387" spans="1:13" s="4" customFormat="1" ht="12">
      <c r="A387" s="4">
        <v>12</v>
      </c>
      <c r="E387" s="4">
        <v>12</v>
      </c>
      <c r="G387" s="22"/>
      <c r="H387" s="22"/>
      <c r="I387" s="22"/>
      <c r="J387" s="19"/>
      <c r="K387" s="19"/>
      <c r="L387" s="22"/>
      <c r="M387" s="22"/>
    </row>
    <row r="388" spans="1:13" s="4" customFormat="1" ht="12">
      <c r="A388" s="4">
        <v>13</v>
      </c>
      <c r="E388" s="4">
        <v>13</v>
      </c>
      <c r="G388" s="22"/>
      <c r="H388" s="22"/>
      <c r="I388" s="22"/>
      <c r="J388" s="19"/>
      <c r="K388" s="19"/>
      <c r="L388" s="22"/>
      <c r="M388" s="22"/>
    </row>
    <row r="389" spans="1:13" s="4" customFormat="1" ht="12">
      <c r="A389" s="4">
        <v>14</v>
      </c>
      <c r="E389" s="4">
        <v>14</v>
      </c>
      <c r="G389" s="22"/>
      <c r="H389" s="22"/>
      <c r="I389" s="22"/>
      <c r="J389" s="19"/>
      <c r="K389" s="19"/>
      <c r="L389" s="22"/>
      <c r="M389" s="22"/>
    </row>
    <row r="390" spans="1:13" s="4" customFormat="1" ht="12">
      <c r="A390" s="4">
        <v>15</v>
      </c>
      <c r="E390" s="4">
        <v>15</v>
      </c>
      <c r="G390" s="22"/>
      <c r="H390" s="22"/>
      <c r="I390" s="22"/>
      <c r="J390" s="19"/>
      <c r="K390" s="19"/>
      <c r="L390" s="22"/>
      <c r="M390" s="22"/>
    </row>
    <row r="391" spans="1:13" s="4" customFormat="1" ht="12">
      <c r="A391" s="4">
        <v>16</v>
      </c>
      <c r="E391" s="4">
        <v>16</v>
      </c>
      <c r="G391" s="22"/>
      <c r="H391" s="22"/>
      <c r="I391" s="22"/>
      <c r="J391" s="19"/>
      <c r="K391" s="19"/>
      <c r="L391" s="22"/>
      <c r="M391" s="22"/>
    </row>
    <row r="392" spans="1:13" s="4" customFormat="1" ht="12">
      <c r="A392" s="4">
        <v>17</v>
      </c>
      <c r="E392" s="4">
        <v>17</v>
      </c>
      <c r="G392" s="22"/>
      <c r="H392" s="22"/>
      <c r="I392" s="22"/>
      <c r="J392" s="19"/>
      <c r="K392" s="19"/>
      <c r="L392" s="22"/>
      <c r="M392" s="22"/>
    </row>
    <row r="393" spans="1:13" s="4" customFormat="1" ht="12">
      <c r="A393" s="4">
        <v>18</v>
      </c>
      <c r="E393" s="4">
        <v>18</v>
      </c>
      <c r="G393" s="22"/>
      <c r="H393" s="22"/>
      <c r="I393" s="22"/>
      <c r="J393" s="19"/>
      <c r="K393" s="19"/>
      <c r="L393" s="22"/>
      <c r="M393" s="22"/>
    </row>
    <row r="394" spans="1:13" s="4" customFormat="1" ht="12">
      <c r="A394" s="4">
        <v>19</v>
      </c>
      <c r="E394" s="4">
        <v>19</v>
      </c>
      <c r="G394" s="22"/>
      <c r="H394" s="22"/>
      <c r="I394" s="22"/>
      <c r="J394" s="19"/>
      <c r="K394" s="19"/>
      <c r="L394" s="22"/>
      <c r="M394" s="22"/>
    </row>
    <row r="395" spans="1:13" s="4" customFormat="1" ht="12">
      <c r="A395" s="4">
        <v>20</v>
      </c>
      <c r="E395" s="4">
        <v>20</v>
      </c>
      <c r="G395" s="22"/>
      <c r="H395" s="22"/>
      <c r="I395" s="22"/>
      <c r="J395" s="19"/>
      <c r="K395" s="19"/>
      <c r="L395" s="22"/>
      <c r="M395" s="22"/>
    </row>
    <row r="396" spans="1:13" s="4" customFormat="1" ht="12">
      <c r="A396" s="4">
        <v>21</v>
      </c>
      <c r="E396" s="4">
        <v>21</v>
      </c>
      <c r="G396" s="22"/>
      <c r="H396" s="22"/>
      <c r="I396" s="22"/>
      <c r="J396" s="19"/>
      <c r="K396" s="19"/>
      <c r="L396" s="22"/>
      <c r="M396" s="22"/>
    </row>
    <row r="397" spans="1:13" s="4" customFormat="1" ht="12">
      <c r="A397" s="4">
        <v>22</v>
      </c>
      <c r="E397" s="4">
        <v>22</v>
      </c>
      <c r="G397" s="22"/>
      <c r="H397" s="22"/>
      <c r="I397" s="22"/>
      <c r="J397" s="19"/>
      <c r="K397" s="19"/>
      <c r="L397" s="22"/>
      <c r="M397" s="22"/>
    </row>
    <row r="398" spans="1:5" s="4" customFormat="1" ht="12">
      <c r="A398" s="4">
        <v>23</v>
      </c>
      <c r="E398" s="4">
        <v>23</v>
      </c>
    </row>
    <row r="399" spans="1:5" s="4" customFormat="1" ht="12">
      <c r="A399" s="4">
        <v>24</v>
      </c>
      <c r="E399" s="4">
        <v>24</v>
      </c>
    </row>
    <row r="400" spans="7:13" s="4" customFormat="1" ht="12">
      <c r="G400" s="109" t="s">
        <v>1</v>
      </c>
      <c r="H400" s="109" t="s">
        <v>1</v>
      </c>
      <c r="I400" s="109" t="s">
        <v>1</v>
      </c>
      <c r="J400" s="109" t="s">
        <v>1</v>
      </c>
      <c r="K400" s="109"/>
      <c r="L400" s="109" t="s">
        <v>1</v>
      </c>
      <c r="M400" s="109" t="s">
        <v>1</v>
      </c>
    </row>
    <row r="401" spans="1:13" s="4" customFormat="1" ht="12">
      <c r="A401" s="4">
        <v>25</v>
      </c>
      <c r="C401" s="4" t="s">
        <v>364</v>
      </c>
      <c r="E401" s="4">
        <v>25</v>
      </c>
      <c r="G401" s="22"/>
      <c r="H401" s="78">
        <f>H378</f>
        <v>5743080</v>
      </c>
      <c r="I401" s="22"/>
      <c r="J401" s="78">
        <f>J378</f>
        <v>8850485</v>
      </c>
      <c r="K401" s="78"/>
      <c r="L401" s="22"/>
      <c r="M401" s="78">
        <f>M378</f>
        <v>11480589</v>
      </c>
    </row>
    <row r="402" spans="7:13" s="4" customFormat="1" ht="12">
      <c r="G402" s="109" t="s">
        <v>1</v>
      </c>
      <c r="H402" s="109" t="s">
        <v>1</v>
      </c>
      <c r="I402" s="109" t="s">
        <v>1</v>
      </c>
      <c r="J402" s="109" t="s">
        <v>1</v>
      </c>
      <c r="K402" s="109" t="s">
        <v>1</v>
      </c>
      <c r="L402" s="109"/>
      <c r="M402" s="109" t="s">
        <v>1</v>
      </c>
    </row>
    <row r="403" spans="7:13" s="4" customFormat="1" ht="12">
      <c r="G403" s="22"/>
      <c r="H403" s="78"/>
      <c r="I403" s="22"/>
      <c r="J403" s="78"/>
      <c r="K403" s="22"/>
      <c r="L403" s="22"/>
      <c r="M403" s="78"/>
    </row>
    <row r="404" s="4" customFormat="1" ht="12">
      <c r="A404" s="4" t="s">
        <v>365</v>
      </c>
    </row>
    <row r="406" spans="1:13" ht="12">
      <c r="A406" s="223" t="s">
        <v>273</v>
      </c>
      <c r="B406" s="223"/>
      <c r="E406" s="184"/>
      <c r="F406" s="184"/>
      <c r="G406" s="178"/>
      <c r="H406" s="165"/>
      <c r="I406" s="178"/>
      <c r="J406" s="165"/>
      <c r="K406" s="178"/>
      <c r="L406" s="178"/>
      <c r="M406" s="163" t="s">
        <v>81</v>
      </c>
    </row>
    <row r="407" spans="1:13" ht="12">
      <c r="A407" s="410" t="s">
        <v>207</v>
      </c>
      <c r="B407" s="410"/>
      <c r="C407" s="410"/>
      <c r="D407" s="410"/>
      <c r="E407" s="410"/>
      <c r="F407" s="410"/>
      <c r="G407" s="410"/>
      <c r="H407" s="410"/>
      <c r="I407" s="410"/>
      <c r="J407" s="410"/>
      <c r="K407" s="410"/>
      <c r="L407" s="410"/>
      <c r="M407" s="410"/>
    </row>
    <row r="408" spans="1:13" ht="12">
      <c r="A408" s="223" t="s">
        <v>274</v>
      </c>
      <c r="B408" s="223"/>
      <c r="G408" s="205"/>
      <c r="J408" s="165"/>
      <c r="K408" s="178"/>
      <c r="L408" s="178"/>
      <c r="M408" s="264" t="str">
        <f>M4</f>
        <v>Date: 10/1/2009</v>
      </c>
    </row>
    <row r="409" spans="1:13" ht="12">
      <c r="A409" s="166" t="s">
        <v>1</v>
      </c>
      <c r="B409" s="166"/>
      <c r="C409" s="166" t="s">
        <v>1</v>
      </c>
      <c r="D409" s="166" t="s">
        <v>1</v>
      </c>
      <c r="E409" s="166" t="s">
        <v>1</v>
      </c>
      <c r="F409" s="166"/>
      <c r="G409" s="166" t="s">
        <v>1</v>
      </c>
      <c r="H409" s="166" t="s">
        <v>1</v>
      </c>
      <c r="I409" s="166" t="s">
        <v>1</v>
      </c>
      <c r="J409" s="166" t="s">
        <v>1</v>
      </c>
      <c r="K409" s="166" t="s">
        <v>1</v>
      </c>
      <c r="L409" s="166"/>
      <c r="M409" s="166" t="s">
        <v>1</v>
      </c>
    </row>
    <row r="410" spans="1:13" ht="12">
      <c r="A410" s="168" t="s">
        <v>2</v>
      </c>
      <c r="B410" s="168"/>
      <c r="E410" s="168" t="s">
        <v>2</v>
      </c>
      <c r="F410" s="168"/>
      <c r="G410" s="151"/>
      <c r="H410" s="151" t="s">
        <v>240</v>
      </c>
      <c r="I410" s="170"/>
      <c r="J410" s="151" t="s">
        <v>247</v>
      </c>
      <c r="K410" s="151"/>
      <c r="L410" s="87"/>
      <c r="M410" s="151" t="s">
        <v>576</v>
      </c>
    </row>
    <row r="411" spans="1:13" ht="12">
      <c r="A411" s="168" t="s">
        <v>4</v>
      </c>
      <c r="B411" s="168"/>
      <c r="C411" s="171" t="s">
        <v>20</v>
      </c>
      <c r="E411" s="168" t="s">
        <v>4</v>
      </c>
      <c r="F411" s="168"/>
      <c r="G411" s="197"/>
      <c r="H411" s="151" t="s">
        <v>7</v>
      </c>
      <c r="I411" s="197"/>
      <c r="J411" s="151" t="s">
        <v>7</v>
      </c>
      <c r="K411" s="151"/>
      <c r="L411" s="197"/>
      <c r="M411" s="151" t="s">
        <v>8</v>
      </c>
    </row>
    <row r="412" spans="1:13" ht="12">
      <c r="A412" s="166" t="s">
        <v>1</v>
      </c>
      <c r="B412" s="166"/>
      <c r="C412" s="166" t="s">
        <v>1</v>
      </c>
      <c r="D412" s="166" t="s">
        <v>1</v>
      </c>
      <c r="E412" s="166" t="s">
        <v>1</v>
      </c>
      <c r="F412" s="166"/>
      <c r="G412" s="40" t="s">
        <v>1</v>
      </c>
      <c r="H412" s="40" t="s">
        <v>1</v>
      </c>
      <c r="I412" s="40" t="s">
        <v>1</v>
      </c>
      <c r="J412" s="40" t="s">
        <v>1</v>
      </c>
      <c r="K412" s="40"/>
      <c r="L412" s="40" t="s">
        <v>1</v>
      </c>
      <c r="M412" s="176" t="s">
        <v>1</v>
      </c>
    </row>
    <row r="413" spans="1:13" ht="12">
      <c r="A413" s="206">
        <v>1</v>
      </c>
      <c r="B413" s="206"/>
      <c r="C413" s="169" t="s">
        <v>636</v>
      </c>
      <c r="E413" s="206">
        <v>1</v>
      </c>
      <c r="F413" s="206"/>
      <c r="G413" s="87"/>
      <c r="H413" s="373"/>
      <c r="I413" s="203"/>
      <c r="J413" s="26"/>
      <c r="K413" s="26"/>
      <c r="L413" s="203"/>
      <c r="M413" s="107"/>
    </row>
    <row r="414" spans="1:13" ht="12">
      <c r="A414" s="206">
        <f aca="true" t="shared" si="18" ref="A414:A436">(A413+1)</f>
        <v>2</v>
      </c>
      <c r="B414" s="206"/>
      <c r="C414" s="161" t="s">
        <v>637</v>
      </c>
      <c r="E414" s="206">
        <f aca="true" t="shared" si="19" ref="E414:E436">(E413+1)</f>
        <v>2</v>
      </c>
      <c r="F414" s="206"/>
      <c r="G414" s="87"/>
      <c r="H414" s="107">
        <f>41910175.5</f>
        <v>41910175.5</v>
      </c>
      <c r="I414" s="203"/>
      <c r="J414" s="107"/>
      <c r="K414" s="107"/>
      <c r="L414" s="203"/>
      <c r="M414" s="107"/>
    </row>
    <row r="415" spans="1:13" ht="12">
      <c r="A415" s="206">
        <f t="shared" si="18"/>
        <v>3</v>
      </c>
      <c r="B415" s="206"/>
      <c r="C415" s="161" t="s">
        <v>638</v>
      </c>
      <c r="E415" s="206">
        <f t="shared" si="19"/>
        <v>3</v>
      </c>
      <c r="F415" s="206"/>
      <c r="G415" s="87"/>
      <c r="H415" s="373"/>
      <c r="I415" s="203"/>
      <c r="J415" s="107">
        <f>28591069</f>
        <v>28591069</v>
      </c>
      <c r="K415" s="107"/>
      <c r="L415" s="203"/>
      <c r="M415" s="107"/>
    </row>
    <row r="416" spans="1:13" ht="12">
      <c r="A416" s="206">
        <f t="shared" si="18"/>
        <v>4</v>
      </c>
      <c r="B416" s="206"/>
      <c r="C416" s="161" t="s">
        <v>639</v>
      </c>
      <c r="E416" s="206">
        <f t="shared" si="19"/>
        <v>4</v>
      </c>
      <c r="F416" s="206"/>
      <c r="G416" s="87"/>
      <c r="H416" s="373"/>
      <c r="I416" s="203"/>
      <c r="J416" s="107"/>
      <c r="K416" s="107"/>
      <c r="L416" s="203"/>
      <c r="M416" s="107">
        <v>30082152</v>
      </c>
    </row>
    <row r="417" spans="1:12" ht="12">
      <c r="A417" s="206">
        <f t="shared" si="18"/>
        <v>5</v>
      </c>
      <c r="B417" s="206"/>
      <c r="E417" s="206">
        <f t="shared" si="19"/>
        <v>5</v>
      </c>
      <c r="F417" s="206"/>
      <c r="G417" s="87"/>
      <c r="H417" s="373"/>
      <c r="I417" s="203"/>
      <c r="J417" s="107"/>
      <c r="K417" s="107"/>
      <c r="L417" s="203"/>
    </row>
    <row r="418" spans="1:13" ht="12">
      <c r="A418" s="206">
        <f t="shared" si="18"/>
        <v>6</v>
      </c>
      <c r="B418" s="206"/>
      <c r="C418" s="375"/>
      <c r="E418" s="206">
        <f t="shared" si="19"/>
        <v>6</v>
      </c>
      <c r="F418" s="206"/>
      <c r="G418" s="87"/>
      <c r="H418" s="373"/>
      <c r="I418" s="203"/>
      <c r="J418" s="107"/>
      <c r="K418" s="107"/>
      <c r="L418" s="203"/>
      <c r="M418" s="107"/>
    </row>
    <row r="419" spans="1:13" ht="12">
      <c r="A419" s="206">
        <f t="shared" si="18"/>
        <v>7</v>
      </c>
      <c r="B419" s="206"/>
      <c r="C419" s="169" t="s">
        <v>366</v>
      </c>
      <c r="E419" s="206">
        <f t="shared" si="19"/>
        <v>7</v>
      </c>
      <c r="F419" s="206"/>
      <c r="G419" s="87"/>
      <c r="H419" s="373"/>
      <c r="I419" s="203"/>
      <c r="J419" s="107"/>
      <c r="K419" s="107"/>
      <c r="L419" s="203"/>
      <c r="M419" s="107"/>
    </row>
    <row r="420" spans="1:13" ht="12">
      <c r="A420" s="206">
        <f t="shared" si="18"/>
        <v>8</v>
      </c>
      <c r="B420" s="206"/>
      <c r="C420" s="207"/>
      <c r="E420" s="206">
        <f t="shared" si="19"/>
        <v>8</v>
      </c>
      <c r="F420" s="206"/>
      <c r="G420" s="87"/>
      <c r="H420" s="107"/>
      <c r="I420" s="203"/>
      <c r="J420" s="107"/>
      <c r="K420" s="107"/>
      <c r="L420" s="203"/>
      <c r="M420" s="107"/>
    </row>
    <row r="421" spans="1:13" ht="12">
      <c r="A421" s="206">
        <f t="shared" si="18"/>
        <v>9</v>
      </c>
      <c r="B421" s="206"/>
      <c r="E421" s="206">
        <f t="shared" si="19"/>
        <v>9</v>
      </c>
      <c r="F421" s="206"/>
      <c r="G421" s="87"/>
      <c r="H421" s="107"/>
      <c r="I421" s="203"/>
      <c r="J421" s="107"/>
      <c r="K421" s="107"/>
      <c r="L421" s="203"/>
      <c r="M421" s="107"/>
    </row>
    <row r="422" spans="1:13" ht="12">
      <c r="A422" s="206">
        <f t="shared" si="18"/>
        <v>10</v>
      </c>
      <c r="B422" s="206"/>
      <c r="E422" s="206">
        <f t="shared" si="19"/>
        <v>10</v>
      </c>
      <c r="F422" s="206"/>
      <c r="G422" s="87"/>
      <c r="H422" s="107"/>
      <c r="I422" s="203"/>
      <c r="L422" s="203"/>
      <c r="M422" s="107"/>
    </row>
    <row r="423" spans="1:13" ht="12">
      <c r="A423" s="206">
        <f t="shared" si="18"/>
        <v>11</v>
      </c>
      <c r="B423" s="206"/>
      <c r="E423" s="206">
        <f t="shared" si="19"/>
        <v>11</v>
      </c>
      <c r="F423" s="206"/>
      <c r="G423" s="87"/>
      <c r="H423" s="107"/>
      <c r="I423" s="203"/>
      <c r="L423" s="203"/>
      <c r="M423" s="107"/>
    </row>
    <row r="424" spans="1:13" ht="12">
      <c r="A424" s="206">
        <f t="shared" si="18"/>
        <v>12</v>
      </c>
      <c r="B424" s="206"/>
      <c r="E424" s="206">
        <f t="shared" si="19"/>
        <v>12</v>
      </c>
      <c r="F424" s="206"/>
      <c r="G424" s="87"/>
      <c r="I424" s="203"/>
      <c r="L424" s="203"/>
      <c r="M424" s="107"/>
    </row>
    <row r="425" spans="1:13" ht="12">
      <c r="A425" s="206">
        <f t="shared" si="18"/>
        <v>13</v>
      </c>
      <c r="B425" s="206"/>
      <c r="C425" s="207"/>
      <c r="E425" s="206">
        <f t="shared" si="19"/>
        <v>13</v>
      </c>
      <c r="F425" s="206"/>
      <c r="G425" s="87"/>
      <c r="H425" s="107"/>
      <c r="I425" s="203"/>
      <c r="J425" s="107"/>
      <c r="K425" s="107"/>
      <c r="L425" s="203"/>
      <c r="M425" s="107"/>
    </row>
    <row r="426" spans="1:13" ht="12">
      <c r="A426" s="206">
        <f t="shared" si="18"/>
        <v>14</v>
      </c>
      <c r="B426" s="206"/>
      <c r="C426" s="32" t="s">
        <v>367</v>
      </c>
      <c r="D426" s="26"/>
      <c r="E426" s="118">
        <f t="shared" si="19"/>
        <v>14</v>
      </c>
      <c r="F426" s="118"/>
      <c r="G426" s="87"/>
      <c r="H426" s="107"/>
      <c r="I426" s="203"/>
      <c r="J426" s="107"/>
      <c r="K426" s="107"/>
      <c r="L426" s="203"/>
      <c r="M426" s="107"/>
    </row>
    <row r="427" spans="1:13" ht="12">
      <c r="A427" s="206">
        <f t="shared" si="18"/>
        <v>15</v>
      </c>
      <c r="B427" s="206"/>
      <c r="C427" s="207"/>
      <c r="E427" s="206">
        <f t="shared" si="19"/>
        <v>15</v>
      </c>
      <c r="F427" s="206"/>
      <c r="G427" s="87"/>
      <c r="H427" s="107"/>
      <c r="I427" s="203"/>
      <c r="J427" s="107"/>
      <c r="K427" s="107"/>
      <c r="L427" s="203"/>
      <c r="M427" s="107"/>
    </row>
    <row r="428" spans="1:13" ht="12">
      <c r="A428" s="206">
        <f t="shared" si="18"/>
        <v>16</v>
      </c>
      <c r="B428" s="206"/>
      <c r="C428" s="207"/>
      <c r="E428" s="206">
        <f t="shared" si="19"/>
        <v>16</v>
      </c>
      <c r="F428" s="206"/>
      <c r="G428" s="87"/>
      <c r="H428" s="107"/>
      <c r="I428" s="203"/>
      <c r="J428" s="107"/>
      <c r="K428" s="107"/>
      <c r="L428" s="203"/>
      <c r="M428" s="107"/>
    </row>
    <row r="429" spans="1:13" ht="12">
      <c r="A429" s="206">
        <f t="shared" si="18"/>
        <v>17</v>
      </c>
      <c r="B429" s="206"/>
      <c r="C429" s="207"/>
      <c r="E429" s="206">
        <f t="shared" si="19"/>
        <v>17</v>
      </c>
      <c r="F429" s="206"/>
      <c r="G429" s="87"/>
      <c r="H429" s="373"/>
      <c r="I429" s="203"/>
      <c r="J429" s="107"/>
      <c r="K429" s="107"/>
      <c r="L429" s="203"/>
      <c r="M429" s="107"/>
    </row>
    <row r="430" spans="1:13" ht="12">
      <c r="A430" s="206">
        <f t="shared" si="18"/>
        <v>18</v>
      </c>
      <c r="B430" s="206"/>
      <c r="C430" s="375"/>
      <c r="E430" s="206">
        <f t="shared" si="19"/>
        <v>18</v>
      </c>
      <c r="F430" s="206"/>
      <c r="G430" s="87"/>
      <c r="H430" s="373"/>
      <c r="I430" s="203"/>
      <c r="J430" s="381"/>
      <c r="K430" s="381"/>
      <c r="L430" s="203"/>
      <c r="M430" s="107"/>
    </row>
    <row r="431" spans="1:13" ht="12">
      <c r="A431" s="206">
        <f t="shared" si="18"/>
        <v>19</v>
      </c>
      <c r="B431" s="206"/>
      <c r="C431" s="375"/>
      <c r="E431" s="206">
        <f t="shared" si="19"/>
        <v>19</v>
      </c>
      <c r="F431" s="206"/>
      <c r="G431" s="87"/>
      <c r="H431" s="373"/>
      <c r="I431" s="203"/>
      <c r="J431" s="107"/>
      <c r="K431" s="107"/>
      <c r="L431" s="203"/>
      <c r="M431" s="107"/>
    </row>
    <row r="432" spans="1:13" ht="12">
      <c r="A432" s="206">
        <f t="shared" si="18"/>
        <v>20</v>
      </c>
      <c r="B432" s="206"/>
      <c r="C432" s="375"/>
      <c r="E432" s="206">
        <f t="shared" si="19"/>
        <v>20</v>
      </c>
      <c r="F432" s="206"/>
      <c r="G432" s="87"/>
      <c r="H432" s="373"/>
      <c r="I432" s="203"/>
      <c r="J432" s="107"/>
      <c r="K432" s="107"/>
      <c r="L432" s="203"/>
      <c r="M432" s="107"/>
    </row>
    <row r="433" spans="1:13" ht="12">
      <c r="A433" s="206">
        <f t="shared" si="18"/>
        <v>21</v>
      </c>
      <c r="B433" s="206"/>
      <c r="C433" s="375"/>
      <c r="E433" s="206">
        <f t="shared" si="19"/>
        <v>21</v>
      </c>
      <c r="F433" s="206"/>
      <c r="G433" s="87"/>
      <c r="H433" s="373"/>
      <c r="I433" s="203"/>
      <c r="J433" s="107"/>
      <c r="K433" s="107"/>
      <c r="L433" s="203"/>
      <c r="M433" s="107"/>
    </row>
    <row r="434" spans="1:13" ht="12">
      <c r="A434" s="206">
        <f t="shared" si="18"/>
        <v>22</v>
      </c>
      <c r="B434" s="206"/>
      <c r="C434" s="375"/>
      <c r="E434" s="206">
        <f t="shared" si="19"/>
        <v>22</v>
      </c>
      <c r="F434" s="206"/>
      <c r="G434" s="87"/>
      <c r="H434" s="373"/>
      <c r="I434" s="203"/>
      <c r="J434" s="107"/>
      <c r="K434" s="107"/>
      <c r="L434" s="203"/>
      <c r="M434" s="107"/>
    </row>
    <row r="435" spans="1:13" ht="12">
      <c r="A435" s="206">
        <f t="shared" si="18"/>
        <v>23</v>
      </c>
      <c r="B435" s="206"/>
      <c r="C435" s="375"/>
      <c r="E435" s="206">
        <f t="shared" si="19"/>
        <v>23</v>
      </c>
      <c r="F435" s="206"/>
      <c r="G435" s="87"/>
      <c r="H435" s="373"/>
      <c r="I435" s="203"/>
      <c r="J435" s="107"/>
      <c r="K435" s="107"/>
      <c r="L435" s="203"/>
      <c r="M435" s="107"/>
    </row>
    <row r="436" spans="1:13" ht="12">
      <c r="A436" s="206">
        <f t="shared" si="18"/>
        <v>24</v>
      </c>
      <c r="B436" s="206"/>
      <c r="C436" s="375"/>
      <c r="E436" s="206">
        <f t="shared" si="19"/>
        <v>24</v>
      </c>
      <c r="F436" s="206"/>
      <c r="G436" s="87"/>
      <c r="H436" s="373"/>
      <c r="I436" s="203"/>
      <c r="J436" s="107"/>
      <c r="K436" s="107"/>
      <c r="L436" s="203"/>
      <c r="M436" s="107"/>
    </row>
    <row r="437" spans="1:13" ht="12">
      <c r="A437" s="208"/>
      <c r="B437" s="208"/>
      <c r="E437" s="208"/>
      <c r="F437" s="208"/>
      <c r="G437" s="109" t="s">
        <v>1</v>
      </c>
      <c r="H437" s="109" t="s">
        <v>1</v>
      </c>
      <c r="I437" s="109" t="s">
        <v>1</v>
      </c>
      <c r="J437" s="109" t="s">
        <v>1</v>
      </c>
      <c r="K437" s="109"/>
      <c r="L437" s="109" t="s">
        <v>1</v>
      </c>
      <c r="M437" s="109" t="s">
        <v>1</v>
      </c>
    </row>
    <row r="438" spans="1:13" ht="12">
      <c r="A438" s="206">
        <f>(A436+1)</f>
        <v>25</v>
      </c>
      <c r="B438" s="206"/>
      <c r="C438" s="169" t="s">
        <v>368</v>
      </c>
      <c r="E438" s="206">
        <f>(E436+1)</f>
        <v>25</v>
      </c>
      <c r="F438" s="206"/>
      <c r="G438" s="87"/>
      <c r="H438" s="165">
        <f>SUM(H414:H436)</f>
        <v>41910175.5</v>
      </c>
      <c r="I438" s="162"/>
      <c r="J438" s="165">
        <f>SUM(J414:J436)</f>
        <v>28591069</v>
      </c>
      <c r="K438" s="165"/>
      <c r="L438" s="162"/>
      <c r="M438" s="165">
        <f>SUM(M414:M436)</f>
        <v>30082152</v>
      </c>
    </row>
    <row r="439" spans="1:13" ht="12">
      <c r="A439" s="206"/>
      <c r="B439" s="206"/>
      <c r="C439" s="169"/>
      <c r="E439" s="206"/>
      <c r="F439" s="206"/>
      <c r="G439" s="109" t="s">
        <v>1</v>
      </c>
      <c r="H439" s="109" t="s">
        <v>1</v>
      </c>
      <c r="I439" s="167" t="s">
        <v>1</v>
      </c>
      <c r="J439" s="167" t="s">
        <v>1</v>
      </c>
      <c r="K439" s="167"/>
      <c r="L439" s="167" t="s">
        <v>1</v>
      </c>
      <c r="M439" s="167" t="s">
        <v>1</v>
      </c>
    </row>
    <row r="440" spans="5:6" ht="12">
      <c r="E440" s="184"/>
      <c r="F440" s="184"/>
    </row>
    <row r="441" spans="1:13" ht="12">
      <c r="A441" s="223" t="s">
        <v>273</v>
      </c>
      <c r="B441" s="223"/>
      <c r="E441" s="184"/>
      <c r="F441" s="184"/>
      <c r="G441" s="178"/>
      <c r="H441" s="165"/>
      <c r="I441" s="178"/>
      <c r="J441" s="165"/>
      <c r="K441" s="178"/>
      <c r="L441" s="178"/>
      <c r="M441" s="163" t="s">
        <v>185</v>
      </c>
    </row>
    <row r="442" spans="1:13" ht="12">
      <c r="A442" s="410" t="s">
        <v>369</v>
      </c>
      <c r="B442" s="410"/>
      <c r="C442" s="410"/>
      <c r="D442" s="410"/>
      <c r="E442" s="410"/>
      <c r="F442" s="410"/>
      <c r="G442" s="410"/>
      <c r="H442" s="410"/>
      <c r="I442" s="410"/>
      <c r="J442" s="410"/>
      <c r="K442" s="410"/>
      <c r="L442" s="410"/>
      <c r="M442" s="410"/>
    </row>
    <row r="443" spans="1:13" ht="12">
      <c r="A443" s="223" t="s">
        <v>274</v>
      </c>
      <c r="B443" s="223"/>
      <c r="G443" s="205"/>
      <c r="J443" s="165"/>
      <c r="K443" s="178"/>
      <c r="L443" s="178"/>
      <c r="M443" s="264" t="str">
        <f>M4</f>
        <v>Date: 10/1/2009</v>
      </c>
    </row>
    <row r="444" spans="1:13" ht="12">
      <c r="A444" s="166" t="s">
        <v>1</v>
      </c>
      <c r="B444" s="166"/>
      <c r="C444" s="166" t="s">
        <v>1</v>
      </c>
      <c r="D444" s="166" t="s">
        <v>1</v>
      </c>
      <c r="E444" s="166" t="s">
        <v>1</v>
      </c>
      <c r="F444" s="166"/>
      <c r="G444" s="166" t="s">
        <v>1</v>
      </c>
      <c r="H444" s="166" t="s">
        <v>1</v>
      </c>
      <c r="I444" s="166" t="s">
        <v>1</v>
      </c>
      <c r="J444" s="166" t="s">
        <v>1</v>
      </c>
      <c r="K444" s="166" t="s">
        <v>1</v>
      </c>
      <c r="L444" s="166"/>
      <c r="M444" s="166" t="s">
        <v>1</v>
      </c>
    </row>
    <row r="445" spans="1:13" ht="12">
      <c r="A445" s="168" t="s">
        <v>2</v>
      </c>
      <c r="B445" s="168"/>
      <c r="E445" s="168" t="s">
        <v>2</v>
      </c>
      <c r="F445" s="168"/>
      <c r="G445" s="151"/>
      <c r="H445" s="151" t="s">
        <v>240</v>
      </c>
      <c r="I445" s="170"/>
      <c r="J445" s="151" t="s">
        <v>247</v>
      </c>
      <c r="K445" s="151"/>
      <c r="L445" s="87"/>
      <c r="M445" s="151" t="s">
        <v>576</v>
      </c>
    </row>
    <row r="446" spans="1:13" ht="12">
      <c r="A446" s="168" t="s">
        <v>4</v>
      </c>
      <c r="B446" s="168"/>
      <c r="C446" s="171" t="s">
        <v>20</v>
      </c>
      <c r="E446" s="168" t="s">
        <v>4</v>
      </c>
      <c r="F446" s="168"/>
      <c r="G446" s="197"/>
      <c r="H446" s="151" t="s">
        <v>7</v>
      </c>
      <c r="I446" s="197"/>
      <c r="J446" s="151" t="s">
        <v>7</v>
      </c>
      <c r="K446" s="151"/>
      <c r="L446" s="197"/>
      <c r="M446" s="151" t="s">
        <v>8</v>
      </c>
    </row>
    <row r="447" spans="1:13" ht="12">
      <c r="A447" s="166" t="s">
        <v>1</v>
      </c>
      <c r="B447" s="166"/>
      <c r="C447" s="166" t="s">
        <v>1</v>
      </c>
      <c r="D447" s="166" t="s">
        <v>1</v>
      </c>
      <c r="E447" s="166" t="s">
        <v>1</v>
      </c>
      <c r="F447" s="166"/>
      <c r="G447" s="40" t="s">
        <v>1</v>
      </c>
      <c r="H447" s="40" t="s">
        <v>1</v>
      </c>
      <c r="I447" s="40" t="s">
        <v>1</v>
      </c>
      <c r="J447" s="40" t="s">
        <v>1</v>
      </c>
      <c r="K447" s="40"/>
      <c r="L447" s="40" t="s">
        <v>1</v>
      </c>
      <c r="M447" s="176" t="s">
        <v>1</v>
      </c>
    </row>
    <row r="448" spans="1:13" ht="12">
      <c r="A448" s="161">
        <v>1</v>
      </c>
      <c r="C448" s="161" t="s">
        <v>370</v>
      </c>
      <c r="E448" s="184">
        <v>1</v>
      </c>
      <c r="F448" s="184"/>
      <c r="H448" s="192">
        <f>37509194</f>
        <v>37509194</v>
      </c>
      <c r="J448" s="192">
        <f>33274713</f>
        <v>33274713</v>
      </c>
      <c r="K448" s="192"/>
      <c r="M448" s="165">
        <v>20498036</v>
      </c>
    </row>
    <row r="449" spans="1:13" ht="12">
      <c r="A449" s="161">
        <v>2</v>
      </c>
      <c r="E449" s="184">
        <v>2</v>
      </c>
      <c r="F449" s="184"/>
      <c r="H449" s="192"/>
      <c r="J449" s="192"/>
      <c r="K449" s="192"/>
      <c r="M449" s="192"/>
    </row>
    <row r="450" spans="1:13" ht="12">
      <c r="A450" s="161">
        <v>3</v>
      </c>
      <c r="E450" s="184">
        <v>3</v>
      </c>
      <c r="F450" s="184"/>
      <c r="M450" s="192"/>
    </row>
    <row r="451" spans="1:13" ht="12">
      <c r="A451" s="161">
        <v>4</v>
      </c>
      <c r="E451" s="184">
        <v>4</v>
      </c>
      <c r="F451" s="184"/>
      <c r="M451" s="192"/>
    </row>
    <row r="452" spans="1:13" ht="12">
      <c r="A452" s="161">
        <v>5</v>
      </c>
      <c r="E452" s="184">
        <v>5</v>
      </c>
      <c r="F452" s="184"/>
      <c r="M452" s="192"/>
    </row>
    <row r="453" spans="1:13" ht="12">
      <c r="A453" s="161">
        <v>6</v>
      </c>
      <c r="E453" s="184">
        <v>6</v>
      </c>
      <c r="F453" s="184"/>
      <c r="M453" s="192"/>
    </row>
    <row r="454" spans="1:13" ht="12">
      <c r="A454" s="161">
        <v>7</v>
      </c>
      <c r="E454" s="184">
        <v>7</v>
      </c>
      <c r="F454" s="184"/>
      <c r="M454" s="192"/>
    </row>
    <row r="455" spans="1:13" ht="12">
      <c r="A455" s="161">
        <v>8</v>
      </c>
      <c r="E455" s="184">
        <v>8</v>
      </c>
      <c r="F455" s="184"/>
      <c r="M455" s="192"/>
    </row>
    <row r="456" spans="1:13" ht="12">
      <c r="A456" s="161">
        <v>9</v>
      </c>
      <c r="E456" s="184">
        <v>9</v>
      </c>
      <c r="F456" s="184"/>
      <c r="M456" s="192"/>
    </row>
    <row r="457" spans="1:13" ht="12">
      <c r="A457" s="161">
        <v>10</v>
      </c>
      <c r="E457" s="184">
        <v>10</v>
      </c>
      <c r="F457" s="184"/>
      <c r="M457" s="192"/>
    </row>
    <row r="458" spans="1:13" ht="12">
      <c r="A458" s="161">
        <v>11</v>
      </c>
      <c r="E458" s="184">
        <v>11</v>
      </c>
      <c r="F458" s="184"/>
      <c r="M458" s="192"/>
    </row>
    <row r="459" spans="1:13" ht="12">
      <c r="A459" s="161">
        <v>12</v>
      </c>
      <c r="E459" s="184">
        <v>12</v>
      </c>
      <c r="F459" s="184"/>
      <c r="M459" s="192"/>
    </row>
    <row r="460" spans="1:13" ht="12">
      <c r="A460" s="161">
        <v>13</v>
      </c>
      <c r="E460" s="184">
        <v>13</v>
      </c>
      <c r="F460" s="184"/>
      <c r="M460" s="192"/>
    </row>
    <row r="461" spans="1:13" ht="12">
      <c r="A461" s="161">
        <v>14</v>
      </c>
      <c r="E461" s="184">
        <v>14</v>
      </c>
      <c r="F461" s="184"/>
      <c r="M461" s="192"/>
    </row>
    <row r="462" spans="1:13" ht="12">
      <c r="A462" s="161">
        <v>15</v>
      </c>
      <c r="E462" s="184">
        <v>15</v>
      </c>
      <c r="F462" s="184"/>
      <c r="M462" s="192"/>
    </row>
    <row r="463" spans="1:13" ht="12">
      <c r="A463" s="161">
        <v>16</v>
      </c>
      <c r="E463" s="184">
        <v>16</v>
      </c>
      <c r="F463" s="184"/>
      <c r="M463" s="192"/>
    </row>
    <row r="464" spans="1:13" ht="12">
      <c r="A464" s="161">
        <v>17</v>
      </c>
      <c r="E464" s="184">
        <v>17</v>
      </c>
      <c r="F464" s="184"/>
      <c r="M464" s="192"/>
    </row>
    <row r="465" spans="1:13" ht="12">
      <c r="A465" s="161">
        <v>18</v>
      </c>
      <c r="E465" s="184">
        <v>18</v>
      </c>
      <c r="F465" s="184"/>
      <c r="M465" s="192"/>
    </row>
    <row r="466" spans="1:13" ht="12">
      <c r="A466" s="161">
        <v>19</v>
      </c>
      <c r="E466" s="184">
        <v>19</v>
      </c>
      <c r="F466" s="184"/>
      <c r="M466" s="192"/>
    </row>
    <row r="467" spans="1:13" ht="12">
      <c r="A467" s="161">
        <v>20</v>
      </c>
      <c r="E467" s="184">
        <v>20</v>
      </c>
      <c r="F467" s="184"/>
      <c r="M467" s="192"/>
    </row>
    <row r="468" spans="1:13" ht="12">
      <c r="A468" s="161">
        <v>21</v>
      </c>
      <c r="E468" s="184">
        <v>21</v>
      </c>
      <c r="F468" s="184"/>
      <c r="M468" s="192"/>
    </row>
    <row r="469" spans="1:13" ht="12">
      <c r="A469" s="161">
        <v>22</v>
      </c>
      <c r="E469" s="184">
        <v>22</v>
      </c>
      <c r="F469" s="184"/>
      <c r="M469" s="192"/>
    </row>
    <row r="470" spans="1:13" ht="12">
      <c r="A470" s="161">
        <v>23</v>
      </c>
      <c r="E470" s="184">
        <v>23</v>
      </c>
      <c r="F470" s="184"/>
      <c r="M470" s="192"/>
    </row>
    <row r="471" spans="1:13" ht="12">
      <c r="A471" s="161">
        <v>24</v>
      </c>
      <c r="E471" s="184">
        <v>24</v>
      </c>
      <c r="F471" s="184"/>
      <c r="M471" s="192"/>
    </row>
    <row r="472" spans="5:13" ht="12">
      <c r="E472" s="184"/>
      <c r="F472" s="184"/>
      <c r="G472" s="109" t="s">
        <v>1</v>
      </c>
      <c r="H472" s="109" t="s">
        <v>1</v>
      </c>
      <c r="I472" s="109" t="s">
        <v>1</v>
      </c>
      <c r="J472" s="109" t="s">
        <v>1</v>
      </c>
      <c r="K472" s="109"/>
      <c r="L472" s="109" t="s">
        <v>1</v>
      </c>
      <c r="M472" s="42" t="s">
        <v>1</v>
      </c>
    </row>
    <row r="473" spans="1:13" ht="12">
      <c r="A473" s="161">
        <v>25</v>
      </c>
      <c r="C473" s="161" t="s">
        <v>371</v>
      </c>
      <c r="E473" s="184">
        <v>25</v>
      </c>
      <c r="F473" s="184"/>
      <c r="H473" s="192">
        <f>SUM(H448:H471)</f>
        <v>37509194</v>
      </c>
      <c r="J473" s="192">
        <f>SUM(J448:J471)</f>
        <v>33274713</v>
      </c>
      <c r="K473" s="192"/>
      <c r="M473" s="192">
        <f>SUM(M448:M471)</f>
        <v>20498036</v>
      </c>
    </row>
    <row r="474" spans="5:13" ht="12">
      <c r="E474" s="184"/>
      <c r="F474" s="184"/>
      <c r="G474" s="109" t="s">
        <v>1</v>
      </c>
      <c r="H474" s="109" t="s">
        <v>1</v>
      </c>
      <c r="I474" s="109" t="s">
        <v>1</v>
      </c>
      <c r="J474" s="109" t="s">
        <v>1</v>
      </c>
      <c r="K474" s="109" t="s">
        <v>1</v>
      </c>
      <c r="L474" s="109"/>
      <c r="M474" s="109" t="s">
        <v>1</v>
      </c>
    </row>
    <row r="475" spans="5:13" ht="12">
      <c r="E475" s="184"/>
      <c r="F475" s="184"/>
      <c r="G475" s="178"/>
      <c r="H475" s="165"/>
      <c r="I475" s="178"/>
      <c r="J475" s="165"/>
      <c r="K475" s="178"/>
      <c r="L475" s="178"/>
      <c r="M475" s="165"/>
    </row>
    <row r="476" spans="1:13" ht="12">
      <c r="A476" s="223" t="s">
        <v>299</v>
      </c>
      <c r="B476" s="223"/>
      <c r="E476" s="184"/>
      <c r="F476" s="184"/>
      <c r="G476" s="178"/>
      <c r="H476" s="165"/>
      <c r="I476" s="178"/>
      <c r="J476" s="165"/>
      <c r="K476" s="178"/>
      <c r="L476" s="178"/>
      <c r="M476" s="163" t="s">
        <v>22</v>
      </c>
    </row>
    <row r="477" spans="1:13" ht="12">
      <c r="A477" s="407" t="s">
        <v>147</v>
      </c>
      <c r="B477" s="407"/>
      <c r="C477" s="407"/>
      <c r="D477" s="407"/>
      <c r="E477" s="407"/>
      <c r="F477" s="407"/>
      <c r="G477" s="407"/>
      <c r="H477" s="407"/>
      <c r="I477" s="407"/>
      <c r="J477" s="407"/>
      <c r="K477" s="407"/>
      <c r="L477" s="407"/>
      <c r="M477" s="407"/>
    </row>
    <row r="478" spans="1:13" ht="12">
      <c r="A478" s="223" t="s">
        <v>274</v>
      </c>
      <c r="B478" s="223"/>
      <c r="G478" s="178"/>
      <c r="H478" s="165"/>
      <c r="I478" s="199"/>
      <c r="J478" s="178"/>
      <c r="K478" s="178"/>
      <c r="L478" s="178"/>
      <c r="M478" s="264" t="str">
        <f>M4</f>
        <v>Date: 10/1/2009</v>
      </c>
    </row>
    <row r="479" spans="1:13" ht="12">
      <c r="A479" s="166" t="s">
        <v>1</v>
      </c>
      <c r="B479" s="166"/>
      <c r="C479" s="166" t="s">
        <v>1</v>
      </c>
      <c r="D479" s="166" t="s">
        <v>1</v>
      </c>
      <c r="E479" s="166" t="s">
        <v>1</v>
      </c>
      <c r="F479" s="166"/>
      <c r="G479" s="166" t="s">
        <v>1</v>
      </c>
      <c r="H479" s="166" t="s">
        <v>1</v>
      </c>
      <c r="I479" s="166" t="s">
        <v>1</v>
      </c>
      <c r="J479" s="166" t="s">
        <v>1</v>
      </c>
      <c r="K479" s="166" t="s">
        <v>1</v>
      </c>
      <c r="L479" s="166"/>
      <c r="M479" s="166" t="s">
        <v>1</v>
      </c>
    </row>
    <row r="480" spans="1:13" ht="12">
      <c r="A480" s="168" t="s">
        <v>2</v>
      </c>
      <c r="B480" s="168"/>
      <c r="E480" s="168" t="s">
        <v>2</v>
      </c>
      <c r="F480" s="168"/>
      <c r="G480" s="197"/>
      <c r="H480" s="151" t="s">
        <v>240</v>
      </c>
      <c r="I480" s="170"/>
      <c r="J480" s="151" t="s">
        <v>247</v>
      </c>
      <c r="K480" s="151"/>
      <c r="L480" s="87"/>
      <c r="M480" s="151" t="s">
        <v>576</v>
      </c>
    </row>
    <row r="481" spans="1:13" ht="12">
      <c r="A481" s="168" t="s">
        <v>4</v>
      </c>
      <c r="B481" s="168"/>
      <c r="C481" s="171" t="s">
        <v>20</v>
      </c>
      <c r="E481" s="168" t="s">
        <v>4</v>
      </c>
      <c r="F481" s="168"/>
      <c r="G481" s="197" t="s">
        <v>21</v>
      </c>
      <c r="H481" s="151" t="s">
        <v>7</v>
      </c>
      <c r="I481" s="197" t="s">
        <v>21</v>
      </c>
      <c r="J481" s="173" t="s">
        <v>7</v>
      </c>
      <c r="K481" s="173"/>
      <c r="L481" s="197" t="s">
        <v>21</v>
      </c>
      <c r="M481" s="173" t="s">
        <v>8</v>
      </c>
    </row>
    <row r="482" spans="1:13" ht="12">
      <c r="A482" s="166" t="s">
        <v>1</v>
      </c>
      <c r="B482" s="166"/>
      <c r="C482" s="166" t="s">
        <v>1</v>
      </c>
      <c r="D482" s="166" t="s">
        <v>1</v>
      </c>
      <c r="E482" s="166" t="s">
        <v>1</v>
      </c>
      <c r="F482" s="166"/>
      <c r="G482" s="40" t="s">
        <v>1</v>
      </c>
      <c r="H482" s="40" t="s">
        <v>1</v>
      </c>
      <c r="I482" s="166" t="s">
        <v>1</v>
      </c>
      <c r="J482" s="166" t="s">
        <v>1</v>
      </c>
      <c r="K482" s="166"/>
      <c r="L482" s="166" t="s">
        <v>1</v>
      </c>
      <c r="M482" s="177" t="s">
        <v>1</v>
      </c>
    </row>
    <row r="483" spans="1:13" ht="12">
      <c r="A483" s="174">
        <v>1</v>
      </c>
      <c r="B483" s="174"/>
      <c r="C483" s="169" t="s">
        <v>372</v>
      </c>
      <c r="D483" s="379"/>
      <c r="E483" s="174">
        <v>1</v>
      </c>
      <c r="F483" s="174"/>
      <c r="G483" s="209">
        <f>1347.2</f>
        <v>1347.2</v>
      </c>
      <c r="H483" s="210">
        <f>121981720.21</f>
        <v>121981720.21</v>
      </c>
      <c r="I483" s="209">
        <f>1353.7</f>
        <v>1353.7</v>
      </c>
      <c r="J483" s="210">
        <f>132387858.85</f>
        <v>132387858.85</v>
      </c>
      <c r="K483" s="210"/>
      <c r="L483" s="209">
        <f>1377.9</f>
        <v>1377.9</v>
      </c>
      <c r="M483" s="210">
        <f>134752400</f>
        <v>134752400</v>
      </c>
    </row>
    <row r="484" spans="1:13" ht="12">
      <c r="A484" s="174">
        <v>2</v>
      </c>
      <c r="B484" s="174"/>
      <c r="C484" s="169" t="s">
        <v>373</v>
      </c>
      <c r="D484" s="379"/>
      <c r="E484" s="174">
        <v>2</v>
      </c>
      <c r="F484" s="174"/>
      <c r="G484" s="209"/>
      <c r="H484" s="210">
        <f>32141182.83</f>
        <v>32141182.83</v>
      </c>
      <c r="I484" s="209"/>
      <c r="J484" s="210">
        <f>35378521.12</f>
        <v>35378521.12</v>
      </c>
      <c r="K484" s="210"/>
      <c r="L484" s="209"/>
      <c r="M484" s="210">
        <f>36162048</f>
        <v>36162048</v>
      </c>
    </row>
    <row r="485" spans="1:13" ht="12">
      <c r="A485" s="174">
        <v>3</v>
      </c>
      <c r="B485" s="174"/>
      <c r="C485" s="169" t="s">
        <v>374</v>
      </c>
      <c r="D485" s="379"/>
      <c r="E485" s="174">
        <v>3</v>
      </c>
      <c r="F485" s="174"/>
      <c r="G485" s="209">
        <f>420.1</f>
        <v>420.1</v>
      </c>
      <c r="H485" s="210">
        <f>28111230.11</f>
        <v>28111230.11</v>
      </c>
      <c r="I485" s="209">
        <f>434</f>
        <v>434</v>
      </c>
      <c r="J485" s="210">
        <f>31198867.34</f>
        <v>31198867.34</v>
      </c>
      <c r="K485" s="210"/>
      <c r="L485" s="209">
        <f>441.9</f>
        <v>441.9</v>
      </c>
      <c r="M485" s="210">
        <f>33264785</f>
        <v>33264785</v>
      </c>
    </row>
    <row r="486" spans="1:13" ht="12">
      <c r="A486" s="174">
        <v>4</v>
      </c>
      <c r="B486" s="174"/>
      <c r="C486" s="169" t="s">
        <v>375</v>
      </c>
      <c r="D486" s="379"/>
      <c r="E486" s="174">
        <v>4</v>
      </c>
      <c r="F486" s="174"/>
      <c r="G486" s="162">
        <f>SUM(G483,G485)</f>
        <v>1767.3000000000002</v>
      </c>
      <c r="H486" s="165">
        <f>SUM(H483:H485)</f>
        <v>182234133.14999998</v>
      </c>
      <c r="I486" s="162">
        <f>SUM(I483,I485)</f>
        <v>1787.7</v>
      </c>
      <c r="J486" s="165">
        <f>SUM(J483:J485)</f>
        <v>198965247.31</v>
      </c>
      <c r="K486" s="165"/>
      <c r="L486" s="162">
        <f>SUM(L483,L485)</f>
        <v>1819.8000000000002</v>
      </c>
      <c r="M486" s="165">
        <f>SUM(M483:M485)</f>
        <v>204179233</v>
      </c>
    </row>
    <row r="487" spans="1:13" ht="12">
      <c r="A487" s="174">
        <v>5</v>
      </c>
      <c r="B487" s="174"/>
      <c r="D487" s="379"/>
      <c r="E487" s="174">
        <v>5</v>
      </c>
      <c r="F487" s="174"/>
      <c r="G487" s="162"/>
      <c r="H487" s="165"/>
      <c r="I487" s="162"/>
      <c r="J487" s="165"/>
      <c r="K487" s="165"/>
      <c r="L487" s="211"/>
      <c r="M487" s="165"/>
    </row>
    <row r="488" spans="1:13" ht="12">
      <c r="A488" s="174">
        <v>6</v>
      </c>
      <c r="B488" s="174"/>
      <c r="C488" s="169" t="s">
        <v>24</v>
      </c>
      <c r="D488" s="379"/>
      <c r="E488" s="174">
        <v>6</v>
      </c>
      <c r="F488" s="174"/>
      <c r="G488" s="209">
        <f>79.8</f>
        <v>79.8</v>
      </c>
      <c r="H488" s="210">
        <f>5046130.43</f>
        <v>5046130.43</v>
      </c>
      <c r="I488" s="209">
        <f>91.9</f>
        <v>91.9</v>
      </c>
      <c r="J488" s="210">
        <f>6250856.37</f>
        <v>6250856.37</v>
      </c>
      <c r="K488" s="210"/>
      <c r="L488" s="209">
        <f>99</f>
        <v>99</v>
      </c>
      <c r="M488" s="210">
        <f>6762625</f>
        <v>6762625</v>
      </c>
    </row>
    <row r="489" spans="1:13" ht="12">
      <c r="A489" s="174">
        <v>7</v>
      </c>
      <c r="B489" s="174"/>
      <c r="C489" s="169" t="s">
        <v>25</v>
      </c>
      <c r="D489" s="379"/>
      <c r="E489" s="174">
        <v>7</v>
      </c>
      <c r="F489" s="174"/>
      <c r="G489" s="209">
        <f>285.8</f>
        <v>285.8</v>
      </c>
      <c r="H489" s="210">
        <f>13570540.81</f>
        <v>13570540.81</v>
      </c>
      <c r="I489" s="209">
        <f>286.7</f>
        <v>286.7</v>
      </c>
      <c r="J489" s="210">
        <f>14339246.96</f>
        <v>14339246.96</v>
      </c>
      <c r="K489" s="210"/>
      <c r="L489" s="209">
        <f>294.2</f>
        <v>294.2</v>
      </c>
      <c r="M489" s="210">
        <f>14713102</f>
        <v>14713102</v>
      </c>
    </row>
    <row r="490" spans="1:13" ht="12">
      <c r="A490" s="174">
        <v>8</v>
      </c>
      <c r="B490" s="174"/>
      <c r="C490" s="169" t="s">
        <v>26</v>
      </c>
      <c r="D490" s="379"/>
      <c r="E490" s="174">
        <v>8</v>
      </c>
      <c r="F490" s="174"/>
      <c r="G490" s="209"/>
      <c r="H490" s="210">
        <f>3694351.78</f>
        <v>3694351.78</v>
      </c>
      <c r="I490" s="209"/>
      <c r="J490" s="210">
        <f>3962230.29</f>
        <v>3962230.29</v>
      </c>
      <c r="K490" s="210"/>
      <c r="L490" s="209"/>
      <c r="M490" s="210">
        <f>4325633</f>
        <v>4325633</v>
      </c>
    </row>
    <row r="491" spans="1:13" ht="12">
      <c r="A491" s="174">
        <v>9</v>
      </c>
      <c r="B491" s="174"/>
      <c r="C491" s="169" t="s">
        <v>27</v>
      </c>
      <c r="D491" s="379"/>
      <c r="E491" s="174">
        <v>9</v>
      </c>
      <c r="F491" s="174"/>
      <c r="G491" s="162">
        <f>SUM(G488,G489)</f>
        <v>365.6</v>
      </c>
      <c r="H491" s="165">
        <f>SUM(H488:H490)</f>
        <v>22311023.020000003</v>
      </c>
      <c r="I491" s="162">
        <f>SUM(I488,I489)</f>
        <v>378.6</v>
      </c>
      <c r="J491" s="165">
        <f>SUM(J488:J490)</f>
        <v>24552333.62</v>
      </c>
      <c r="K491" s="165"/>
      <c r="L491" s="162">
        <f>SUM(L488,L489)</f>
        <v>393.2</v>
      </c>
      <c r="M491" s="165">
        <f>SUM(M488:M490)</f>
        <v>25801360</v>
      </c>
    </row>
    <row r="492" spans="1:13" ht="12">
      <c r="A492" s="174">
        <v>10</v>
      </c>
      <c r="B492" s="174"/>
      <c r="D492" s="379"/>
      <c r="E492" s="174">
        <v>10</v>
      </c>
      <c r="F492" s="174"/>
      <c r="G492" s="162"/>
      <c r="H492" s="165"/>
      <c r="I492" s="162"/>
      <c r="J492" s="165"/>
      <c r="K492" s="165"/>
      <c r="L492" s="162"/>
      <c r="M492" s="165"/>
    </row>
    <row r="493" spans="1:13" ht="12">
      <c r="A493" s="174">
        <v>11</v>
      </c>
      <c r="B493" s="174"/>
      <c r="C493" s="169" t="s">
        <v>28</v>
      </c>
      <c r="D493" s="379"/>
      <c r="E493" s="174">
        <v>11</v>
      </c>
      <c r="F493" s="174"/>
      <c r="G493" s="162">
        <f aca="true" t="shared" si="20" ref="G493:M493">SUM(G486,G491)</f>
        <v>2132.9</v>
      </c>
      <c r="H493" s="165">
        <f t="shared" si="20"/>
        <v>204545156.17</v>
      </c>
      <c r="I493" s="162">
        <f t="shared" si="20"/>
        <v>2166.3</v>
      </c>
      <c r="J493" s="165">
        <f t="shared" si="20"/>
        <v>223517580.93</v>
      </c>
      <c r="K493" s="165"/>
      <c r="L493" s="162">
        <f t="shared" si="20"/>
        <v>2213</v>
      </c>
      <c r="M493" s="165">
        <f t="shared" si="20"/>
        <v>229980593</v>
      </c>
    </row>
    <row r="494" spans="1:13" ht="12">
      <c r="A494" s="174">
        <v>12</v>
      </c>
      <c r="B494" s="174"/>
      <c r="D494" s="379"/>
      <c r="E494" s="174">
        <v>12</v>
      </c>
      <c r="F494" s="174"/>
      <c r="H494" s="165"/>
      <c r="J494" s="165"/>
      <c r="K494" s="165"/>
      <c r="M494" s="165"/>
    </row>
    <row r="495" spans="1:13" ht="12">
      <c r="A495" s="174">
        <v>13</v>
      </c>
      <c r="B495" s="174"/>
      <c r="C495" s="169" t="s">
        <v>376</v>
      </c>
      <c r="D495" s="379"/>
      <c r="E495" s="174">
        <v>13</v>
      </c>
      <c r="F495" s="174"/>
      <c r="G495" s="209">
        <f>86.9</f>
        <v>86.9</v>
      </c>
      <c r="H495" s="210">
        <f>1723281.43</f>
        <v>1723281.43</v>
      </c>
      <c r="I495" s="209">
        <f>92</f>
        <v>92</v>
      </c>
      <c r="J495" s="210">
        <f>1837774.94</f>
        <v>1837774.94</v>
      </c>
      <c r="K495" s="210"/>
      <c r="L495" s="209">
        <f>115.3</f>
        <v>115.3</v>
      </c>
      <c r="M495" s="210">
        <f>2299191</f>
        <v>2299191</v>
      </c>
    </row>
    <row r="496" spans="1:13" ht="12">
      <c r="A496" s="174">
        <v>14</v>
      </c>
      <c r="B496" s="174"/>
      <c r="D496" s="379"/>
      <c r="E496" s="174">
        <v>14</v>
      </c>
      <c r="F496" s="174"/>
      <c r="G496" s="207"/>
      <c r="H496" s="210"/>
      <c r="I496" s="207"/>
      <c r="J496" s="210"/>
      <c r="K496" s="210"/>
      <c r="L496" s="207"/>
      <c r="M496" s="210"/>
    </row>
    <row r="497" spans="1:13" ht="12">
      <c r="A497" s="174">
        <v>15</v>
      </c>
      <c r="B497" s="174"/>
      <c r="C497" s="169" t="s">
        <v>30</v>
      </c>
      <c r="D497" s="379"/>
      <c r="E497" s="174">
        <v>15</v>
      </c>
      <c r="F497" s="174"/>
      <c r="G497" s="209"/>
      <c r="H497" s="210">
        <f>2722133.93</f>
        <v>2722133.93</v>
      </c>
      <c r="I497" s="209"/>
      <c r="J497" s="210">
        <f>2669458.51</f>
        <v>2669458.51</v>
      </c>
      <c r="K497" s="210"/>
      <c r="L497" s="209"/>
      <c r="M497" s="210">
        <f>2840165</f>
        <v>2840165</v>
      </c>
    </row>
    <row r="498" spans="1:13" ht="12">
      <c r="A498" s="30">
        <v>16</v>
      </c>
      <c r="B498" s="30"/>
      <c r="C498" s="169" t="s">
        <v>31</v>
      </c>
      <c r="D498" s="379"/>
      <c r="E498" s="30">
        <v>16</v>
      </c>
      <c r="F498" s="30"/>
      <c r="G498" s="209"/>
      <c r="H498" s="210">
        <f>16038423.34</f>
        <v>16038423.34</v>
      </c>
      <c r="I498" s="209"/>
      <c r="J498" s="210">
        <f>18321095.01</f>
        <v>18321095.01</v>
      </c>
      <c r="K498" s="210"/>
      <c r="L498" s="209"/>
      <c r="M498" s="210">
        <f>21223342</f>
        <v>21223342</v>
      </c>
    </row>
    <row r="499" spans="1:13" ht="12">
      <c r="A499" s="30"/>
      <c r="B499" s="30"/>
      <c r="C499" s="169"/>
      <c r="E499" s="30"/>
      <c r="F499" s="30"/>
      <c r="G499" s="209"/>
      <c r="H499" s="210"/>
      <c r="I499" s="209"/>
      <c r="J499" s="210"/>
      <c r="K499" s="210"/>
      <c r="L499" s="209"/>
      <c r="M499" s="210"/>
    </row>
    <row r="500" spans="1:13" ht="12">
      <c r="A500" s="30">
        <v>17</v>
      </c>
      <c r="B500" s="30"/>
      <c r="C500" s="169" t="s">
        <v>377</v>
      </c>
      <c r="E500" s="30">
        <v>17</v>
      </c>
      <c r="F500" s="30"/>
      <c r="G500" s="209"/>
      <c r="H500" s="210"/>
      <c r="I500" s="209"/>
      <c r="J500" s="210"/>
      <c r="K500" s="210"/>
      <c r="L500" s="212"/>
      <c r="M500" s="210"/>
    </row>
    <row r="501" spans="1:13" ht="12">
      <c r="A501" s="174">
        <v>18</v>
      </c>
      <c r="B501" s="174"/>
      <c r="C501" s="161" t="s">
        <v>378</v>
      </c>
      <c r="E501" s="30">
        <v>18</v>
      </c>
      <c r="F501" s="30"/>
      <c r="G501" s="209"/>
      <c r="H501" s="210"/>
      <c r="I501" s="209"/>
      <c r="J501" s="380"/>
      <c r="K501" s="380"/>
      <c r="L501" s="209"/>
      <c r="M501" s="210"/>
    </row>
    <row r="502" spans="1:13" ht="12">
      <c r="A502" s="174">
        <v>19</v>
      </c>
      <c r="B502" s="174"/>
      <c r="E502" s="161">
        <v>19</v>
      </c>
      <c r="G502" s="167"/>
      <c r="H502" s="167"/>
      <c r="I502" s="167"/>
      <c r="J502" s="167"/>
      <c r="K502" s="167"/>
      <c r="L502" s="167"/>
      <c r="M502" s="167"/>
    </row>
    <row r="503" spans="1:13" ht="12">
      <c r="A503" s="174">
        <v>20</v>
      </c>
      <c r="B503" s="174"/>
      <c r="E503" s="30">
        <v>20</v>
      </c>
      <c r="F503" s="30"/>
      <c r="G503" s="167"/>
      <c r="H503" s="167"/>
      <c r="I503" s="167"/>
      <c r="J503" s="167"/>
      <c r="K503" s="167"/>
      <c r="L503" s="167"/>
      <c r="M503" s="167"/>
    </row>
    <row r="504" spans="1:13" s="26" customFormat="1" ht="12">
      <c r="A504" s="30">
        <v>21</v>
      </c>
      <c r="B504" s="30"/>
      <c r="E504" s="30">
        <v>21</v>
      </c>
      <c r="F504" s="30"/>
      <c r="G504" s="109"/>
      <c r="H504" s="78"/>
      <c r="I504" s="109"/>
      <c r="J504" s="78"/>
      <c r="K504" s="78"/>
      <c r="L504" s="109"/>
      <c r="M504" s="78"/>
    </row>
    <row r="505" spans="1:13" s="26" customFormat="1" ht="12">
      <c r="A505" s="30">
        <v>22</v>
      </c>
      <c r="B505" s="30"/>
      <c r="E505" s="30">
        <v>22</v>
      </c>
      <c r="F505" s="30"/>
      <c r="G505" s="87"/>
      <c r="H505" s="78"/>
      <c r="I505" s="87"/>
      <c r="J505" s="78"/>
      <c r="K505" s="78"/>
      <c r="L505" s="87"/>
      <c r="M505" s="78"/>
    </row>
    <row r="506" spans="1:13" s="26" customFormat="1" ht="12">
      <c r="A506" s="30">
        <v>23</v>
      </c>
      <c r="B506" s="30"/>
      <c r="D506" s="100"/>
      <c r="E506" s="30">
        <v>23</v>
      </c>
      <c r="F506" s="30"/>
      <c r="H506" s="78"/>
      <c r="J506" s="78"/>
      <c r="K506" s="78"/>
      <c r="M506" s="78"/>
    </row>
    <row r="507" spans="1:13" s="26" customFormat="1" ht="12">
      <c r="A507" s="30">
        <v>24</v>
      </c>
      <c r="B507" s="30"/>
      <c r="D507" s="100"/>
      <c r="E507" s="30">
        <v>24</v>
      </c>
      <c r="F507" s="30"/>
      <c r="H507" s="78"/>
      <c r="J507" s="78"/>
      <c r="K507" s="78"/>
      <c r="M507" s="78"/>
    </row>
    <row r="508" spans="7:13" ht="12">
      <c r="G508" s="109" t="s">
        <v>1</v>
      </c>
      <c r="H508" s="109" t="s">
        <v>1</v>
      </c>
      <c r="I508" s="167" t="s">
        <v>1</v>
      </c>
      <c r="J508" s="167" t="s">
        <v>1</v>
      </c>
      <c r="K508" s="167"/>
      <c r="L508" s="167" t="s">
        <v>1</v>
      </c>
      <c r="M508" s="167" t="s">
        <v>1</v>
      </c>
    </row>
    <row r="509" spans="1:13" ht="12">
      <c r="A509" s="174">
        <v>25</v>
      </c>
      <c r="B509" s="174"/>
      <c r="C509" s="169" t="s">
        <v>379</v>
      </c>
      <c r="E509" s="174">
        <v>25</v>
      </c>
      <c r="F509" s="174"/>
      <c r="G509" s="185">
        <f>G493</f>
        <v>2132.9</v>
      </c>
      <c r="H509" s="191">
        <f>SUM(H493:H507)</f>
        <v>225028994.87</v>
      </c>
      <c r="I509" s="185">
        <f>I493</f>
        <v>2166.3</v>
      </c>
      <c r="J509" s="191">
        <f>SUM(J493:J507)</f>
        <v>246345909.39</v>
      </c>
      <c r="K509" s="191"/>
      <c r="L509" s="185">
        <f>L493</f>
        <v>2213</v>
      </c>
      <c r="M509" s="165">
        <f>SUM(M493:M507)</f>
        <v>256343291</v>
      </c>
    </row>
    <row r="510" spans="1:13" ht="12">
      <c r="A510" s="174"/>
      <c r="B510" s="174"/>
      <c r="C510" s="169"/>
      <c r="E510" s="174"/>
      <c r="F510" s="174"/>
      <c r="G510" s="109" t="s">
        <v>1</v>
      </c>
      <c r="H510" s="109" t="s">
        <v>1</v>
      </c>
      <c r="I510" s="167" t="s">
        <v>1</v>
      </c>
      <c r="J510" s="167" t="s">
        <v>1</v>
      </c>
      <c r="K510" s="167"/>
      <c r="L510" s="167" t="s">
        <v>1</v>
      </c>
      <c r="M510" s="167" t="s">
        <v>1</v>
      </c>
    </row>
    <row r="511" spans="1:6" ht="12">
      <c r="A511" s="169" t="s">
        <v>380</v>
      </c>
      <c r="B511" s="169"/>
      <c r="E511" s="184"/>
      <c r="F511" s="184"/>
    </row>
    <row r="512" spans="1:8" ht="12">
      <c r="A512" s="161" t="s">
        <v>381</v>
      </c>
      <c r="H512" s="192"/>
    </row>
    <row r="514" spans="1:13" ht="12">
      <c r="A514" s="223" t="s">
        <v>299</v>
      </c>
      <c r="B514" s="223"/>
      <c r="E514" s="184"/>
      <c r="F514" s="184"/>
      <c r="G514" s="178"/>
      <c r="H514" s="165"/>
      <c r="I514" s="178"/>
      <c r="J514" s="165"/>
      <c r="K514" s="178"/>
      <c r="L514" s="178"/>
      <c r="M514" s="163" t="s">
        <v>33</v>
      </c>
    </row>
    <row r="515" spans="1:13" ht="12">
      <c r="A515" s="407" t="s">
        <v>148</v>
      </c>
      <c r="B515" s="407"/>
      <c r="C515" s="407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</row>
    <row r="516" spans="1:13" ht="12">
      <c r="A516" s="223" t="s">
        <v>274</v>
      </c>
      <c r="B516" s="223"/>
      <c r="G516" s="178"/>
      <c r="H516" s="199"/>
      <c r="I516" s="195"/>
      <c r="J516" s="196"/>
      <c r="K516" s="178"/>
      <c r="L516" s="178"/>
      <c r="M516" s="264" t="str">
        <f>M4</f>
        <v>Date: 10/1/2009</v>
      </c>
    </row>
    <row r="517" spans="1:13" ht="12">
      <c r="A517" s="166" t="s">
        <v>1</v>
      </c>
      <c r="B517" s="166"/>
      <c r="C517" s="166" t="s">
        <v>1</v>
      </c>
      <c r="D517" s="166" t="s">
        <v>1</v>
      </c>
      <c r="E517" s="166" t="s">
        <v>1</v>
      </c>
      <c r="F517" s="166"/>
      <c r="G517" s="166" t="s">
        <v>1</v>
      </c>
      <c r="H517" s="166" t="s">
        <v>1</v>
      </c>
      <c r="I517" s="166" t="s">
        <v>1</v>
      </c>
      <c r="J517" s="166" t="s">
        <v>1</v>
      </c>
      <c r="L517" s="166" t="s">
        <v>1</v>
      </c>
      <c r="M517" s="166" t="s">
        <v>1</v>
      </c>
    </row>
    <row r="518" spans="1:13" ht="12">
      <c r="A518" s="168" t="s">
        <v>2</v>
      </c>
      <c r="B518" s="168"/>
      <c r="E518" s="168" t="s">
        <v>2</v>
      </c>
      <c r="F518" s="168"/>
      <c r="G518" s="197"/>
      <c r="H518" s="151" t="s">
        <v>240</v>
      </c>
      <c r="I518" s="170"/>
      <c r="J518" s="151" t="s">
        <v>247</v>
      </c>
      <c r="K518" s="151"/>
      <c r="L518" s="87"/>
      <c r="M518" s="151" t="s">
        <v>576</v>
      </c>
    </row>
    <row r="519" spans="1:13" ht="12">
      <c r="A519" s="168" t="s">
        <v>4</v>
      </c>
      <c r="B519" s="168"/>
      <c r="C519" s="171" t="s">
        <v>20</v>
      </c>
      <c r="E519" s="168" t="s">
        <v>4</v>
      </c>
      <c r="F519" s="168"/>
      <c r="G519" s="197" t="s">
        <v>6</v>
      </c>
      <c r="H519" s="151" t="s">
        <v>7</v>
      </c>
      <c r="I519" s="197" t="s">
        <v>6</v>
      </c>
      <c r="J519" s="151" t="s">
        <v>7</v>
      </c>
      <c r="K519" s="151"/>
      <c r="L519" s="197" t="s">
        <v>6</v>
      </c>
      <c r="M519" s="151" t="s">
        <v>8</v>
      </c>
    </row>
    <row r="520" spans="1:13" ht="12">
      <c r="A520" s="166" t="s">
        <v>1</v>
      </c>
      <c r="B520" s="166"/>
      <c r="C520" s="166" t="s">
        <v>1</v>
      </c>
      <c r="D520" s="166" t="s">
        <v>1</v>
      </c>
      <c r="E520" s="166" t="s">
        <v>1</v>
      </c>
      <c r="F520" s="166"/>
      <c r="G520" s="40" t="s">
        <v>1</v>
      </c>
      <c r="H520" s="40" t="s">
        <v>1</v>
      </c>
      <c r="I520" s="40" t="s">
        <v>1</v>
      </c>
      <c r="J520" s="40" t="s">
        <v>1</v>
      </c>
      <c r="K520" s="40"/>
      <c r="L520" s="40" t="s">
        <v>1</v>
      </c>
      <c r="M520" s="176" t="s">
        <v>1</v>
      </c>
    </row>
    <row r="521" spans="1:13" ht="12">
      <c r="A521" s="174">
        <v>1</v>
      </c>
      <c r="B521" s="174"/>
      <c r="C521" s="169" t="s">
        <v>382</v>
      </c>
      <c r="E521" s="174">
        <v>1</v>
      </c>
      <c r="F521" s="174"/>
      <c r="G521" s="203">
        <f>30.7</f>
        <v>30.7</v>
      </c>
      <c r="H521" s="107">
        <f>2786055.39</f>
        <v>2786055.39</v>
      </c>
      <c r="I521" s="203">
        <f>30.3</f>
        <v>30.3</v>
      </c>
      <c r="J521" s="107">
        <f>2893777.97</f>
        <v>2893777.97</v>
      </c>
      <c r="K521" s="107"/>
      <c r="L521" s="203">
        <f>30.3</f>
        <v>30.3</v>
      </c>
      <c r="M521" s="107">
        <f>2898592</f>
        <v>2898592</v>
      </c>
    </row>
    <row r="522" spans="1:13" ht="12">
      <c r="A522" s="174">
        <v>2</v>
      </c>
      <c r="B522" s="174"/>
      <c r="C522" s="169" t="s">
        <v>37</v>
      </c>
      <c r="E522" s="174">
        <v>2</v>
      </c>
      <c r="F522" s="174"/>
      <c r="G522" s="203"/>
      <c r="H522" s="107">
        <f>796420.71</f>
        <v>796420.71</v>
      </c>
      <c r="I522" s="203"/>
      <c r="J522" s="107">
        <f>944050.14</f>
        <v>944050.14</v>
      </c>
      <c r="K522" s="107"/>
      <c r="L522" s="203"/>
      <c r="M522" s="107">
        <f>943137</f>
        <v>943137</v>
      </c>
    </row>
    <row r="523" spans="1:13" ht="12">
      <c r="A523" s="174">
        <v>3</v>
      </c>
      <c r="B523" s="174"/>
      <c r="C523" s="169" t="s">
        <v>34</v>
      </c>
      <c r="E523" s="174">
        <v>3</v>
      </c>
      <c r="F523" s="174"/>
      <c r="G523" s="203">
        <f>11.9</f>
        <v>11.9</v>
      </c>
      <c r="H523" s="107">
        <f>2712782.82</f>
        <v>2712782.82</v>
      </c>
      <c r="I523" s="203">
        <f>10.4</f>
        <v>10.4</v>
      </c>
      <c r="J523" s="107">
        <f>2761275.62</f>
        <v>2761275.62</v>
      </c>
      <c r="K523" s="107"/>
      <c r="L523" s="203">
        <f>11.8</f>
        <v>11.8</v>
      </c>
      <c r="M523" s="107">
        <f>3022886</f>
        <v>3022886</v>
      </c>
    </row>
    <row r="524" spans="1:13" ht="12">
      <c r="A524" s="174">
        <v>4</v>
      </c>
      <c r="B524" s="174"/>
      <c r="C524" s="169" t="s">
        <v>23</v>
      </c>
      <c r="E524" s="174">
        <v>4</v>
      </c>
      <c r="F524" s="174"/>
      <c r="G524" s="87">
        <f>SUM(G521,G523)</f>
        <v>42.6</v>
      </c>
      <c r="H524" s="78">
        <f>SUM(H521:H523)</f>
        <v>6295258.92</v>
      </c>
      <c r="I524" s="87">
        <f>SUM(I521,I523)</f>
        <v>40.7</v>
      </c>
      <c r="J524" s="78">
        <f>SUM(J521:J523)</f>
        <v>6599103.73</v>
      </c>
      <c r="K524" s="78"/>
      <c r="L524" s="87">
        <f>SUM(L521,L523)</f>
        <v>42.1</v>
      </c>
      <c r="M524" s="78">
        <f>SUM(M521:M523)</f>
        <v>6864615</v>
      </c>
    </row>
    <row r="525" spans="1:13" ht="12">
      <c r="A525" s="174">
        <v>5</v>
      </c>
      <c r="B525" s="174"/>
      <c r="E525" s="174">
        <v>5</v>
      </c>
      <c r="F525" s="174"/>
      <c r="G525" s="213"/>
      <c r="H525" s="78"/>
      <c r="I525" s="213"/>
      <c r="J525" s="78"/>
      <c r="K525" s="78"/>
      <c r="L525" s="213"/>
      <c r="M525" s="78"/>
    </row>
    <row r="526" spans="1:13" ht="12">
      <c r="A526" s="174">
        <v>6</v>
      </c>
      <c r="B526" s="174"/>
      <c r="C526" s="169" t="s">
        <v>24</v>
      </c>
      <c r="E526" s="174">
        <v>6</v>
      </c>
      <c r="F526" s="174"/>
      <c r="G526" s="203">
        <f>0.4</f>
        <v>0.4</v>
      </c>
      <c r="H526" s="107">
        <f>80754.68</f>
        <v>80754.68</v>
      </c>
      <c r="I526" s="203">
        <f>0.2</f>
        <v>0.2</v>
      </c>
      <c r="J526" s="107">
        <f>52909.13</f>
        <v>52909.13</v>
      </c>
      <c r="K526" s="107"/>
      <c r="L526" s="203">
        <f>0.5</f>
        <v>0.5</v>
      </c>
      <c r="M526" s="107">
        <f>75438</f>
        <v>75438</v>
      </c>
    </row>
    <row r="527" spans="1:13" ht="12">
      <c r="A527" s="174">
        <v>7</v>
      </c>
      <c r="B527" s="174"/>
      <c r="C527" s="169" t="s">
        <v>25</v>
      </c>
      <c r="E527" s="174">
        <v>7</v>
      </c>
      <c r="F527" s="174"/>
      <c r="G527" s="203">
        <f>5.9</f>
        <v>5.9</v>
      </c>
      <c r="H527" s="107">
        <f>307990.96</f>
        <v>307990.96</v>
      </c>
      <c r="I527" s="203">
        <f>4.8</f>
        <v>4.8</v>
      </c>
      <c r="J527" s="107">
        <f>265000.68</f>
        <v>265000.68</v>
      </c>
      <c r="K527" s="107"/>
      <c r="L527" s="203">
        <f>5.2</f>
        <v>5.2</v>
      </c>
      <c r="M527" s="107">
        <f>286310</f>
        <v>286310</v>
      </c>
    </row>
    <row r="528" spans="1:13" ht="12">
      <c r="A528" s="174">
        <v>8</v>
      </c>
      <c r="B528" s="174"/>
      <c r="C528" s="169" t="s">
        <v>26</v>
      </c>
      <c r="E528" s="174">
        <v>8</v>
      </c>
      <c r="F528" s="174"/>
      <c r="G528" s="203"/>
      <c r="H528" s="107">
        <f>83261.67</f>
        <v>83261.67</v>
      </c>
      <c r="I528" s="203"/>
      <c r="J528" s="107">
        <f>87525.99</f>
        <v>87525.99</v>
      </c>
      <c r="K528" s="107"/>
      <c r="L528" s="203"/>
      <c r="M528" s="107">
        <f>99985</f>
        <v>99985</v>
      </c>
    </row>
    <row r="529" spans="1:13" ht="12">
      <c r="A529" s="174">
        <v>9</v>
      </c>
      <c r="B529" s="174"/>
      <c r="C529" s="169" t="s">
        <v>27</v>
      </c>
      <c r="E529" s="174">
        <v>9</v>
      </c>
      <c r="F529" s="174"/>
      <c r="G529" s="87">
        <f>SUM(G526+G527)</f>
        <v>6.300000000000001</v>
      </c>
      <c r="H529" s="78">
        <f>SUM(H526:H528)</f>
        <v>472007.31</v>
      </c>
      <c r="I529" s="87">
        <f>SUM(I526+I527)</f>
        <v>5</v>
      </c>
      <c r="J529" s="78">
        <f>SUM(J526:J528)</f>
        <v>405435.8</v>
      </c>
      <c r="K529" s="78"/>
      <c r="L529" s="87">
        <f>SUM(L526+L527)</f>
        <v>5.7</v>
      </c>
      <c r="M529" s="78">
        <f>SUM(M526:M528)</f>
        <v>461733</v>
      </c>
    </row>
    <row r="530" spans="1:13" ht="12">
      <c r="A530" s="174">
        <v>10</v>
      </c>
      <c r="B530" s="174"/>
      <c r="E530" s="174">
        <v>10</v>
      </c>
      <c r="F530" s="174"/>
      <c r="G530" s="87"/>
      <c r="H530" s="78"/>
      <c r="I530" s="87"/>
      <c r="J530" s="78"/>
      <c r="K530" s="78"/>
      <c r="L530" s="87"/>
      <c r="M530" s="78"/>
    </row>
    <row r="531" spans="1:13" ht="12">
      <c r="A531" s="174">
        <v>11</v>
      </c>
      <c r="B531" s="174"/>
      <c r="C531" s="169" t="s">
        <v>28</v>
      </c>
      <c r="E531" s="174">
        <v>11</v>
      </c>
      <c r="F531" s="174"/>
      <c r="G531" s="87">
        <f aca="true" t="shared" si="21" ref="G531:M531">SUM(G524,G529)</f>
        <v>48.900000000000006</v>
      </c>
      <c r="H531" s="78">
        <f t="shared" si="21"/>
        <v>6767266.2299999995</v>
      </c>
      <c r="I531" s="87">
        <f t="shared" si="21"/>
        <v>45.7</v>
      </c>
      <c r="J531" s="78">
        <f t="shared" si="21"/>
        <v>7004539.53</v>
      </c>
      <c r="K531" s="78"/>
      <c r="L531" s="87">
        <f t="shared" si="21"/>
        <v>47.800000000000004</v>
      </c>
      <c r="M531" s="78">
        <f t="shared" si="21"/>
        <v>7326348</v>
      </c>
    </row>
    <row r="532" spans="1:13" ht="12">
      <c r="A532" s="174">
        <v>12</v>
      </c>
      <c r="B532" s="174"/>
      <c r="E532" s="174">
        <v>12</v>
      </c>
      <c r="F532" s="174"/>
      <c r="G532" s="87"/>
      <c r="H532" s="78"/>
      <c r="I532" s="87"/>
      <c r="J532" s="78"/>
      <c r="K532" s="78"/>
      <c r="L532" s="87"/>
      <c r="M532" s="78"/>
    </row>
    <row r="533" spans="1:13" ht="12">
      <c r="A533" s="174">
        <v>13</v>
      </c>
      <c r="B533" s="174"/>
      <c r="C533" s="169" t="s">
        <v>29</v>
      </c>
      <c r="E533" s="174">
        <v>13</v>
      </c>
      <c r="F533" s="174"/>
      <c r="G533" s="203">
        <f>3.2</f>
        <v>3.2</v>
      </c>
      <c r="H533" s="107">
        <f>63053.88</f>
        <v>63053.88</v>
      </c>
      <c r="I533" s="203">
        <f>1.5</f>
        <v>1.5</v>
      </c>
      <c r="J533" s="107">
        <f>30950.08</f>
        <v>30950.08</v>
      </c>
      <c r="K533" s="107"/>
      <c r="L533" s="203">
        <f>2.7</f>
        <v>2.7</v>
      </c>
      <c r="M533" s="107">
        <f>55740</f>
        <v>55740</v>
      </c>
    </row>
    <row r="534" spans="1:13" ht="12">
      <c r="A534" s="174">
        <v>14</v>
      </c>
      <c r="B534" s="174"/>
      <c r="E534" s="174">
        <v>14</v>
      </c>
      <c r="F534" s="174"/>
      <c r="G534" s="203"/>
      <c r="H534" s="107"/>
      <c r="I534" s="203"/>
      <c r="J534" s="107"/>
      <c r="K534" s="107"/>
      <c r="L534" s="214"/>
      <c r="M534" s="107"/>
    </row>
    <row r="535" spans="1:13" ht="12">
      <c r="A535" s="174">
        <v>15</v>
      </c>
      <c r="B535" s="174"/>
      <c r="C535" s="169" t="s">
        <v>30</v>
      </c>
      <c r="E535" s="174">
        <v>15</v>
      </c>
      <c r="F535" s="174"/>
      <c r="G535" s="203"/>
      <c r="H535" s="107">
        <f>86918.11</f>
        <v>86918.11</v>
      </c>
      <c r="I535" s="203"/>
      <c r="J535" s="107">
        <f>78157.35</f>
        <v>78157.35</v>
      </c>
      <c r="K535" s="107"/>
      <c r="L535" s="203"/>
      <c r="M535" s="107">
        <f>82538</f>
        <v>82538</v>
      </c>
    </row>
    <row r="536" spans="1:13" ht="12">
      <c r="A536" s="30">
        <v>16</v>
      </c>
      <c r="B536" s="30"/>
      <c r="C536" s="169" t="s">
        <v>31</v>
      </c>
      <c r="E536" s="30">
        <v>16</v>
      </c>
      <c r="F536" s="30"/>
      <c r="G536" s="203"/>
      <c r="H536" s="107">
        <f>1106974.34</f>
        <v>1106974.34</v>
      </c>
      <c r="I536" s="203"/>
      <c r="J536" s="107">
        <f>1085171.82</f>
        <v>1085171.82</v>
      </c>
      <c r="K536" s="107"/>
      <c r="L536" s="203"/>
      <c r="M536" s="107">
        <f>1110654</f>
        <v>1110654</v>
      </c>
    </row>
    <row r="537" spans="1:13" ht="12">
      <c r="A537" s="30"/>
      <c r="B537" s="30"/>
      <c r="C537" s="169"/>
      <c r="E537" s="30"/>
      <c r="F537" s="30"/>
      <c r="G537" s="203"/>
      <c r="H537" s="107"/>
      <c r="I537" s="203"/>
      <c r="J537" s="107"/>
      <c r="K537" s="107"/>
      <c r="L537" s="203"/>
      <c r="M537" s="107"/>
    </row>
    <row r="538" spans="1:13" ht="12">
      <c r="A538" s="30">
        <v>17</v>
      </c>
      <c r="B538" s="30"/>
      <c r="C538" s="169" t="s">
        <v>377</v>
      </c>
      <c r="E538" s="30">
        <v>17</v>
      </c>
      <c r="F538" s="30"/>
      <c r="G538" s="203"/>
      <c r="H538" s="107"/>
      <c r="I538" s="203"/>
      <c r="J538" s="107"/>
      <c r="K538" s="107"/>
      <c r="L538" s="203"/>
      <c r="M538" s="107"/>
    </row>
    <row r="539" spans="1:13" ht="12">
      <c r="A539" s="174">
        <v>18</v>
      </c>
      <c r="B539" s="174"/>
      <c r="C539" s="161" t="s">
        <v>383</v>
      </c>
      <c r="E539" s="30">
        <v>18</v>
      </c>
      <c r="F539" s="30"/>
      <c r="G539" s="203"/>
      <c r="H539" s="107"/>
      <c r="I539" s="203"/>
      <c r="J539" s="107"/>
      <c r="K539" s="107"/>
      <c r="L539" s="203"/>
      <c r="M539" s="107"/>
    </row>
    <row r="540" spans="1:13" ht="12">
      <c r="A540" s="174">
        <v>19</v>
      </c>
      <c r="B540" s="174"/>
      <c r="C540" s="169"/>
      <c r="E540" s="30">
        <v>19</v>
      </c>
      <c r="F540" s="30"/>
      <c r="G540" s="203"/>
      <c r="H540" s="107"/>
      <c r="I540" s="203"/>
      <c r="J540" s="26"/>
      <c r="K540" s="26"/>
      <c r="L540" s="26"/>
      <c r="M540" s="26"/>
    </row>
    <row r="541" spans="1:13" ht="12">
      <c r="A541" s="174">
        <v>20</v>
      </c>
      <c r="B541" s="174"/>
      <c r="E541" s="30">
        <v>20</v>
      </c>
      <c r="F541" s="30"/>
      <c r="G541" s="109"/>
      <c r="H541" s="109"/>
      <c r="I541" s="109"/>
      <c r="J541" s="109"/>
      <c r="K541" s="109"/>
      <c r="L541" s="109"/>
      <c r="M541" s="109"/>
    </row>
    <row r="542" spans="1:13" s="26" customFormat="1" ht="12">
      <c r="A542" s="30">
        <v>21</v>
      </c>
      <c r="B542" s="30"/>
      <c r="E542" s="30">
        <v>21</v>
      </c>
      <c r="F542" s="30"/>
      <c r="H542" s="109"/>
      <c r="I542" s="109"/>
      <c r="J542" s="78"/>
      <c r="K542" s="78"/>
      <c r="L542" s="109"/>
      <c r="M542" s="78"/>
    </row>
    <row r="543" spans="1:13" s="26" customFormat="1" ht="12">
      <c r="A543" s="30">
        <v>22</v>
      </c>
      <c r="B543" s="30"/>
      <c r="E543" s="30">
        <v>22</v>
      </c>
      <c r="F543" s="30"/>
      <c r="H543" s="109"/>
      <c r="I543" s="87"/>
      <c r="J543" s="78"/>
      <c r="K543" s="78"/>
      <c r="L543" s="87"/>
      <c r="M543" s="78"/>
    </row>
    <row r="544" spans="1:13" s="26" customFormat="1" ht="12">
      <c r="A544" s="30">
        <v>23</v>
      </c>
      <c r="B544" s="30"/>
      <c r="D544" s="100"/>
      <c r="E544" s="30">
        <v>23</v>
      </c>
      <c r="F544" s="30"/>
      <c r="H544" s="109"/>
      <c r="J544" s="78"/>
      <c r="K544" s="78"/>
      <c r="M544" s="78"/>
    </row>
    <row r="545" spans="1:13" s="26" customFormat="1" ht="12">
      <c r="A545" s="30">
        <v>24</v>
      </c>
      <c r="B545" s="30"/>
      <c r="D545" s="100"/>
      <c r="E545" s="30">
        <v>24</v>
      </c>
      <c r="F545" s="30"/>
      <c r="H545" s="109"/>
      <c r="J545" s="78"/>
      <c r="K545" s="78"/>
      <c r="M545" s="78"/>
    </row>
    <row r="546" spans="7:13" ht="12">
      <c r="G546" s="109" t="s">
        <v>1</v>
      </c>
      <c r="H546" s="109" t="s">
        <v>1</v>
      </c>
      <c r="I546" s="109" t="s">
        <v>1</v>
      </c>
      <c r="J546" s="109" t="s">
        <v>1</v>
      </c>
      <c r="K546" s="109"/>
      <c r="L546" s="109" t="s">
        <v>1</v>
      </c>
      <c r="M546" s="109" t="s">
        <v>1</v>
      </c>
    </row>
    <row r="547" spans="1:13" ht="12">
      <c r="A547" s="174">
        <v>25</v>
      </c>
      <c r="B547" s="174"/>
      <c r="C547" s="169" t="s">
        <v>384</v>
      </c>
      <c r="E547" s="174">
        <v>25</v>
      </c>
      <c r="F547" s="174"/>
      <c r="G547" s="55">
        <f>G531</f>
        <v>48.900000000000006</v>
      </c>
      <c r="H547" s="74">
        <f>SUM(H531:H545)</f>
        <v>8024212.56</v>
      </c>
      <c r="I547" s="55">
        <f>I531</f>
        <v>45.7</v>
      </c>
      <c r="J547" s="74">
        <f>SUM(J531:J545)</f>
        <v>8198818.78</v>
      </c>
      <c r="K547" s="74"/>
      <c r="L547" s="55">
        <f>L531</f>
        <v>47.800000000000004</v>
      </c>
      <c r="M547" s="74">
        <f>SUM(M531:M545)</f>
        <v>8575280</v>
      </c>
    </row>
    <row r="548" spans="5:13" ht="12">
      <c r="E548" s="184"/>
      <c r="F548" s="184"/>
      <c r="G548" s="109" t="s">
        <v>1</v>
      </c>
      <c r="H548" s="109" t="s">
        <v>1</v>
      </c>
      <c r="I548" s="109" t="s">
        <v>1</v>
      </c>
      <c r="J548" s="109" t="s">
        <v>1</v>
      </c>
      <c r="L548" s="109" t="s">
        <v>1</v>
      </c>
      <c r="M548" s="109" t="s">
        <v>1</v>
      </c>
    </row>
    <row r="549" spans="1:13" ht="12">
      <c r="A549" s="169"/>
      <c r="B549" s="169"/>
      <c r="H549" s="165"/>
      <c r="J549" s="165"/>
      <c r="M549" s="165"/>
    </row>
    <row r="550" spans="8:13" ht="12">
      <c r="H550" s="165"/>
      <c r="J550" s="165"/>
      <c r="M550" s="165"/>
    </row>
    <row r="551" spans="1:13" ht="12">
      <c r="A551" s="223" t="s">
        <v>299</v>
      </c>
      <c r="B551" s="223"/>
      <c r="E551" s="184"/>
      <c r="F551" s="184"/>
      <c r="G551" s="178"/>
      <c r="H551" s="165"/>
      <c r="I551" s="178"/>
      <c r="J551" s="165"/>
      <c r="K551" s="178"/>
      <c r="L551" s="178"/>
      <c r="M551" s="163" t="s">
        <v>35</v>
      </c>
    </row>
    <row r="552" spans="1:13" ht="12">
      <c r="A552" s="407" t="s">
        <v>149</v>
      </c>
      <c r="B552" s="407"/>
      <c r="C552" s="407"/>
      <c r="D552" s="407"/>
      <c r="E552" s="407"/>
      <c r="F552" s="407"/>
      <c r="G552" s="407"/>
      <c r="H552" s="407"/>
      <c r="I552" s="407"/>
      <c r="J552" s="407"/>
      <c r="K552" s="407"/>
      <c r="L552" s="407"/>
      <c r="M552" s="407"/>
    </row>
    <row r="553" spans="1:13" ht="12">
      <c r="A553" s="223" t="s">
        <v>274</v>
      </c>
      <c r="B553" s="223"/>
      <c r="G553" s="178"/>
      <c r="H553" s="165"/>
      <c r="I553" s="199"/>
      <c r="J553" s="196"/>
      <c r="K553" s="178"/>
      <c r="L553" s="178"/>
      <c r="M553" s="264" t="str">
        <f>M4</f>
        <v>Date: 10/1/2009</v>
      </c>
    </row>
    <row r="554" spans="1:13" ht="12">
      <c r="A554" s="166" t="s">
        <v>1</v>
      </c>
      <c r="B554" s="166"/>
      <c r="C554" s="166" t="s">
        <v>1</v>
      </c>
      <c r="D554" s="166" t="s">
        <v>1</v>
      </c>
      <c r="E554" s="166" t="s">
        <v>1</v>
      </c>
      <c r="F554" s="166"/>
      <c r="G554" s="166" t="s">
        <v>1</v>
      </c>
      <c r="H554" s="177" t="s">
        <v>1</v>
      </c>
      <c r="I554" s="166" t="s">
        <v>1</v>
      </c>
      <c r="J554" s="177" t="s">
        <v>1</v>
      </c>
      <c r="K554" s="166" t="s">
        <v>1</v>
      </c>
      <c r="L554" s="166"/>
      <c r="M554" s="177" t="s">
        <v>1</v>
      </c>
    </row>
    <row r="555" spans="1:13" ht="12">
      <c r="A555" s="168" t="s">
        <v>2</v>
      </c>
      <c r="B555" s="168"/>
      <c r="E555" s="168" t="s">
        <v>2</v>
      </c>
      <c r="F555" s="168"/>
      <c r="G555" s="378"/>
      <c r="H555" s="151" t="s">
        <v>240</v>
      </c>
      <c r="I555" s="170"/>
      <c r="J555" s="151" t="s">
        <v>247</v>
      </c>
      <c r="K555" s="151"/>
      <c r="L555" s="87"/>
      <c r="M555" s="151" t="s">
        <v>576</v>
      </c>
    </row>
    <row r="556" spans="1:13" ht="12">
      <c r="A556" s="168" t="s">
        <v>4</v>
      </c>
      <c r="B556" s="168"/>
      <c r="C556" s="171" t="s">
        <v>20</v>
      </c>
      <c r="E556" s="168" t="s">
        <v>4</v>
      </c>
      <c r="F556" s="168"/>
      <c r="G556" s="197" t="s">
        <v>6</v>
      </c>
      <c r="H556" s="151" t="s">
        <v>7</v>
      </c>
      <c r="I556" s="164" t="s">
        <v>6</v>
      </c>
      <c r="J556" s="173" t="s">
        <v>7</v>
      </c>
      <c r="K556" s="173"/>
      <c r="L556" s="164" t="s">
        <v>6</v>
      </c>
      <c r="M556" s="173" t="s">
        <v>8</v>
      </c>
    </row>
    <row r="557" spans="1:13" ht="12">
      <c r="A557" s="166" t="s">
        <v>1</v>
      </c>
      <c r="B557" s="166"/>
      <c r="C557" s="166" t="s">
        <v>1</v>
      </c>
      <c r="D557" s="166" t="s">
        <v>1</v>
      </c>
      <c r="E557" s="166" t="s">
        <v>1</v>
      </c>
      <c r="F557" s="166"/>
      <c r="G557" s="40" t="s">
        <v>1</v>
      </c>
      <c r="H557" s="40" t="s">
        <v>1</v>
      </c>
      <c r="I557" s="166" t="s">
        <v>1</v>
      </c>
      <c r="J557" s="177" t="s">
        <v>1</v>
      </c>
      <c r="K557" s="177"/>
      <c r="L557" s="166" t="s">
        <v>1</v>
      </c>
      <c r="M557" s="177" t="s">
        <v>1</v>
      </c>
    </row>
    <row r="558" spans="1:13" ht="12">
      <c r="A558" s="174">
        <v>1</v>
      </c>
      <c r="B558" s="174"/>
      <c r="C558" s="169" t="s">
        <v>36</v>
      </c>
      <c r="E558" s="174">
        <v>1</v>
      </c>
      <c r="F558" s="174"/>
      <c r="G558" s="209">
        <f>5.6</f>
        <v>5.6</v>
      </c>
      <c r="H558" s="210">
        <f>458282.95</f>
        <v>458282.95</v>
      </c>
      <c r="I558" s="209">
        <f>6.8</f>
        <v>6.8</v>
      </c>
      <c r="J558" s="210">
        <f>588423.31</f>
        <v>588423.31</v>
      </c>
      <c r="K558" s="210"/>
      <c r="L558" s="209">
        <f>6.8</f>
        <v>6.8</v>
      </c>
      <c r="M558" s="210">
        <f>587135</f>
        <v>587135</v>
      </c>
    </row>
    <row r="559" spans="1:13" ht="12">
      <c r="A559" s="174">
        <v>2</v>
      </c>
      <c r="B559" s="174"/>
      <c r="C559" s="169" t="s">
        <v>37</v>
      </c>
      <c r="E559" s="174">
        <v>2</v>
      </c>
      <c r="F559" s="174"/>
      <c r="G559" s="209"/>
      <c r="H559" s="210">
        <f>116509.41</f>
        <v>116509.41</v>
      </c>
      <c r="I559" s="209"/>
      <c r="J559" s="210">
        <f>145415.17</f>
        <v>145415.17</v>
      </c>
      <c r="K559" s="210"/>
      <c r="L559" s="209"/>
      <c r="M559" s="210">
        <f>152849</f>
        <v>152849</v>
      </c>
    </row>
    <row r="560" spans="1:13" ht="12">
      <c r="A560" s="174">
        <v>3</v>
      </c>
      <c r="B560" s="174"/>
      <c r="E560" s="174">
        <v>3</v>
      </c>
      <c r="F560" s="174"/>
      <c r="G560" s="209"/>
      <c r="H560" s="210"/>
      <c r="I560" s="209"/>
      <c r="J560" s="210"/>
      <c r="K560" s="210"/>
      <c r="L560" s="212"/>
      <c r="M560" s="210"/>
    </row>
    <row r="561" spans="1:13" ht="12">
      <c r="A561" s="174">
        <v>4</v>
      </c>
      <c r="B561" s="174"/>
      <c r="C561" s="169" t="s">
        <v>23</v>
      </c>
      <c r="E561" s="174">
        <v>4</v>
      </c>
      <c r="F561" s="174"/>
      <c r="G561" s="162">
        <f aca="true" t="shared" si="22" ref="G561:M561">SUM(G558:G559)</f>
        <v>5.6</v>
      </c>
      <c r="H561" s="165">
        <f t="shared" si="22"/>
        <v>574792.36</v>
      </c>
      <c r="I561" s="162">
        <f t="shared" si="22"/>
        <v>6.8</v>
      </c>
      <c r="J561" s="165">
        <f t="shared" si="22"/>
        <v>733838.4800000001</v>
      </c>
      <c r="K561" s="165"/>
      <c r="L561" s="162">
        <f t="shared" si="22"/>
        <v>6.8</v>
      </c>
      <c r="M561" s="165">
        <f t="shared" si="22"/>
        <v>739984</v>
      </c>
    </row>
    <row r="562" spans="1:13" ht="12">
      <c r="A562" s="174">
        <v>5</v>
      </c>
      <c r="B562" s="174"/>
      <c r="E562" s="174">
        <v>5</v>
      </c>
      <c r="F562" s="174"/>
      <c r="G562" s="162"/>
      <c r="H562" s="165"/>
      <c r="I562" s="162"/>
      <c r="J562" s="165"/>
      <c r="K562" s="165"/>
      <c r="L562" s="211"/>
      <c r="M562" s="165"/>
    </row>
    <row r="563" spans="1:13" ht="12">
      <c r="A563" s="174">
        <v>6</v>
      </c>
      <c r="B563" s="174"/>
      <c r="E563" s="174">
        <v>6</v>
      </c>
      <c r="F563" s="174"/>
      <c r="G563" s="162"/>
      <c r="H563" s="165"/>
      <c r="I563" s="162"/>
      <c r="J563" s="165"/>
      <c r="K563" s="165"/>
      <c r="L563" s="162"/>
      <c r="M563" s="165"/>
    </row>
    <row r="564" spans="1:13" ht="12">
      <c r="A564" s="174">
        <v>7</v>
      </c>
      <c r="B564" s="174"/>
      <c r="C564" s="169" t="s">
        <v>25</v>
      </c>
      <c r="E564" s="174">
        <v>7</v>
      </c>
      <c r="F564" s="174"/>
      <c r="G564" s="209">
        <f>2.8</f>
        <v>2.8</v>
      </c>
      <c r="H564" s="210">
        <f>110988.08</f>
        <v>110988.08</v>
      </c>
      <c r="I564" s="209">
        <f>1.5</f>
        <v>1.5</v>
      </c>
      <c r="J564" s="210">
        <f>63173.88</f>
        <v>63173.88</v>
      </c>
      <c r="K564" s="210"/>
      <c r="L564" s="209">
        <f>1.6</f>
        <v>1.6</v>
      </c>
      <c r="M564" s="210">
        <f>67572</f>
        <v>67572</v>
      </c>
    </row>
    <row r="565" spans="1:13" ht="12">
      <c r="A565" s="174">
        <v>8</v>
      </c>
      <c r="B565" s="174"/>
      <c r="C565" s="169" t="s">
        <v>26</v>
      </c>
      <c r="E565" s="174">
        <v>8</v>
      </c>
      <c r="F565" s="174"/>
      <c r="G565" s="209"/>
      <c r="H565" s="210">
        <f>27231.25</f>
        <v>27231.25</v>
      </c>
      <c r="I565" s="209"/>
      <c r="J565" s="210">
        <f>29993.45</f>
        <v>29993.45</v>
      </c>
      <c r="K565" s="210"/>
      <c r="L565" s="212"/>
      <c r="M565" s="210">
        <f>29167</f>
        <v>29167</v>
      </c>
    </row>
    <row r="566" spans="1:13" ht="12">
      <c r="A566" s="174">
        <v>9</v>
      </c>
      <c r="B566" s="174"/>
      <c r="C566" s="169" t="s">
        <v>27</v>
      </c>
      <c r="E566" s="174">
        <v>9</v>
      </c>
      <c r="F566" s="174"/>
      <c r="G566" s="162">
        <f aca="true" t="shared" si="23" ref="G566:M566">SUM(G564:G565)</f>
        <v>2.8</v>
      </c>
      <c r="H566" s="165">
        <f t="shared" si="23"/>
        <v>138219.33000000002</v>
      </c>
      <c r="I566" s="162">
        <f t="shared" si="23"/>
        <v>1.5</v>
      </c>
      <c r="J566" s="165">
        <f t="shared" si="23"/>
        <v>93167.33</v>
      </c>
      <c r="K566" s="165"/>
      <c r="L566" s="162">
        <f t="shared" si="23"/>
        <v>1.6</v>
      </c>
      <c r="M566" s="165">
        <f t="shared" si="23"/>
        <v>96739</v>
      </c>
    </row>
    <row r="567" spans="1:13" ht="12">
      <c r="A567" s="174">
        <v>10</v>
      </c>
      <c r="B567" s="174"/>
      <c r="E567" s="174">
        <v>10</v>
      </c>
      <c r="F567" s="174"/>
      <c r="G567" s="162"/>
      <c r="H567" s="165"/>
      <c r="I567" s="162"/>
      <c r="J567" s="165"/>
      <c r="K567" s="165"/>
      <c r="L567" s="162"/>
      <c r="M567" s="165"/>
    </row>
    <row r="568" spans="1:13" ht="12">
      <c r="A568" s="174">
        <v>11</v>
      </c>
      <c r="B568" s="174"/>
      <c r="C568" s="169" t="s">
        <v>28</v>
      </c>
      <c r="E568" s="174">
        <v>11</v>
      </c>
      <c r="F568" s="174"/>
      <c r="G568" s="162">
        <f aca="true" t="shared" si="24" ref="G568:M568">SUM(G566,G561)</f>
        <v>8.399999999999999</v>
      </c>
      <c r="H568" s="165">
        <f t="shared" si="24"/>
        <v>713011.69</v>
      </c>
      <c r="I568" s="162">
        <f t="shared" si="24"/>
        <v>8.3</v>
      </c>
      <c r="J568" s="165">
        <f t="shared" si="24"/>
        <v>827005.81</v>
      </c>
      <c r="K568" s="165"/>
      <c r="L568" s="162">
        <f t="shared" si="24"/>
        <v>8.4</v>
      </c>
      <c r="M568" s="165">
        <f t="shared" si="24"/>
        <v>836723</v>
      </c>
    </row>
    <row r="569" spans="1:13" ht="12">
      <c r="A569" s="174">
        <v>12</v>
      </c>
      <c r="B569" s="174"/>
      <c r="E569" s="174">
        <v>12</v>
      </c>
      <c r="F569" s="174"/>
      <c r="G569" s="162"/>
      <c r="H569" s="165"/>
      <c r="I569" s="162"/>
      <c r="J569" s="165"/>
      <c r="K569" s="165"/>
      <c r="L569" s="162"/>
      <c r="M569" s="165"/>
    </row>
    <row r="570" spans="1:13" ht="12">
      <c r="A570" s="174">
        <v>13</v>
      </c>
      <c r="B570" s="174"/>
      <c r="C570" s="169" t="s">
        <v>38</v>
      </c>
      <c r="E570" s="174">
        <v>13</v>
      </c>
      <c r="F570" s="174"/>
      <c r="G570" s="209">
        <f>0.2+0.0396</f>
        <v>0.2396</v>
      </c>
      <c r="H570" s="210">
        <f>11721.01</f>
        <v>11721.01</v>
      </c>
      <c r="I570" s="209">
        <f>0.2+0.4</f>
        <v>0.6000000000000001</v>
      </c>
      <c r="J570" s="210">
        <f>20099.43</f>
        <v>20099.43</v>
      </c>
      <c r="K570" s="210"/>
      <c r="L570" s="209">
        <f>0.2+0.4</f>
        <v>0.6000000000000001</v>
      </c>
      <c r="M570" s="210">
        <f>25523</f>
        <v>25523</v>
      </c>
    </row>
    <row r="571" spans="1:13" ht="12">
      <c r="A571" s="174">
        <v>14</v>
      </c>
      <c r="B571" s="174"/>
      <c r="E571" s="174">
        <v>14</v>
      </c>
      <c r="F571" s="174"/>
      <c r="G571" s="209"/>
      <c r="H571" s="210"/>
      <c r="I571" s="209"/>
      <c r="J571" s="210"/>
      <c r="K571" s="210"/>
      <c r="L571" s="209"/>
      <c r="M571" s="210"/>
    </row>
    <row r="572" spans="1:13" ht="12">
      <c r="A572" s="174">
        <v>15</v>
      </c>
      <c r="B572" s="174"/>
      <c r="C572" s="169" t="s">
        <v>30</v>
      </c>
      <c r="E572" s="174">
        <v>15</v>
      </c>
      <c r="F572" s="174"/>
      <c r="G572" s="209"/>
      <c r="H572" s="210">
        <f>4929.9</f>
        <v>4929.9</v>
      </c>
      <c r="I572" s="209"/>
      <c r="J572" s="210">
        <f>14676.25</f>
        <v>14676.25</v>
      </c>
      <c r="K572" s="210"/>
      <c r="L572" s="209"/>
      <c r="M572" s="210">
        <f>14803</f>
        <v>14803</v>
      </c>
    </row>
    <row r="573" spans="1:13" ht="12">
      <c r="A573" s="30">
        <v>16</v>
      </c>
      <c r="B573" s="30"/>
      <c r="C573" s="169" t="s">
        <v>31</v>
      </c>
      <c r="E573" s="30">
        <v>16</v>
      </c>
      <c r="F573" s="30"/>
      <c r="G573" s="209"/>
      <c r="H573" s="210">
        <f>62282.21</f>
        <v>62282.21</v>
      </c>
      <c r="I573" s="209"/>
      <c r="J573" s="210">
        <f>50787.92</f>
        <v>50787.92</v>
      </c>
      <c r="K573" s="210"/>
      <c r="L573" s="209"/>
      <c r="M573" s="210">
        <f>60731</f>
        <v>60731</v>
      </c>
    </row>
    <row r="574" spans="1:13" ht="12">
      <c r="A574" s="30"/>
      <c r="B574" s="30"/>
      <c r="C574" s="169"/>
      <c r="E574" s="30"/>
      <c r="F574" s="30"/>
      <c r="G574" s="209"/>
      <c r="H574" s="210"/>
      <c r="I574" s="209"/>
      <c r="J574" s="210"/>
      <c r="K574" s="210"/>
      <c r="L574" s="209"/>
      <c r="M574" s="210"/>
    </row>
    <row r="575" spans="1:13" ht="12">
      <c r="A575" s="30">
        <v>17</v>
      </c>
      <c r="B575" s="30"/>
      <c r="C575" s="169" t="s">
        <v>32</v>
      </c>
      <c r="E575" s="30">
        <v>17</v>
      </c>
      <c r="F575" s="30"/>
      <c r="G575" s="209"/>
      <c r="H575" s="210"/>
      <c r="I575" s="209"/>
      <c r="J575" s="210"/>
      <c r="K575" s="210"/>
      <c r="L575" s="209"/>
      <c r="M575" s="210"/>
    </row>
    <row r="576" spans="1:13" ht="12">
      <c r="A576" s="174">
        <v>18</v>
      </c>
      <c r="B576" s="174"/>
      <c r="C576" s="161" t="s">
        <v>385</v>
      </c>
      <c r="E576" s="30">
        <v>18</v>
      </c>
      <c r="F576" s="30"/>
      <c r="G576" s="203"/>
      <c r="H576" s="107"/>
      <c r="I576" s="209"/>
      <c r="J576" s="210"/>
      <c r="K576" s="210"/>
      <c r="L576" s="209"/>
      <c r="M576" s="210"/>
    </row>
    <row r="577" spans="1:9" ht="12">
      <c r="A577" s="174">
        <v>19</v>
      </c>
      <c r="B577" s="174"/>
      <c r="C577" s="169"/>
      <c r="E577" s="30">
        <v>19</v>
      </c>
      <c r="F577" s="30"/>
      <c r="G577" s="203"/>
      <c r="H577" s="107"/>
      <c r="I577" s="209"/>
    </row>
    <row r="578" spans="1:13" ht="12">
      <c r="A578" s="174">
        <v>20</v>
      </c>
      <c r="B578" s="174"/>
      <c r="E578" s="30">
        <v>20</v>
      </c>
      <c r="F578" s="30"/>
      <c r="G578" s="109"/>
      <c r="H578" s="109"/>
      <c r="I578" s="167"/>
      <c r="J578" s="167"/>
      <c r="K578" s="167"/>
      <c r="L578" s="167"/>
      <c r="M578" s="167"/>
    </row>
    <row r="579" spans="1:13" s="26" customFormat="1" ht="12">
      <c r="A579" s="30">
        <v>21</v>
      </c>
      <c r="B579" s="30"/>
      <c r="E579" s="30">
        <v>21</v>
      </c>
      <c r="F579" s="30"/>
      <c r="H579" s="109"/>
      <c r="I579" s="109"/>
      <c r="J579" s="78"/>
      <c r="K579" s="78"/>
      <c r="L579" s="109"/>
      <c r="M579" s="78"/>
    </row>
    <row r="580" spans="1:13" s="26" customFormat="1" ht="12">
      <c r="A580" s="30">
        <v>22</v>
      </c>
      <c r="B580" s="30"/>
      <c r="E580" s="30">
        <v>22</v>
      </c>
      <c r="F580" s="30"/>
      <c r="H580" s="109"/>
      <c r="I580" s="87"/>
      <c r="J580" s="78"/>
      <c r="K580" s="78"/>
      <c r="L580" s="87"/>
      <c r="M580" s="78"/>
    </row>
    <row r="581" spans="1:13" s="26" customFormat="1" ht="12">
      <c r="A581" s="30">
        <v>23</v>
      </c>
      <c r="B581" s="30"/>
      <c r="D581" s="100"/>
      <c r="E581" s="30">
        <v>23</v>
      </c>
      <c r="F581" s="30"/>
      <c r="H581" s="109"/>
      <c r="J581" s="78"/>
      <c r="K581" s="78"/>
      <c r="M581" s="78"/>
    </row>
    <row r="582" spans="1:13" s="26" customFormat="1" ht="12">
      <c r="A582" s="30">
        <v>24</v>
      </c>
      <c r="B582" s="30"/>
      <c r="D582" s="100"/>
      <c r="E582" s="30">
        <v>24</v>
      </c>
      <c r="F582" s="30"/>
      <c r="H582" s="109"/>
      <c r="J582" s="78"/>
      <c r="K582" s="78"/>
      <c r="M582" s="78"/>
    </row>
    <row r="583" spans="7:13" ht="12">
      <c r="G583" s="109" t="s">
        <v>1</v>
      </c>
      <c r="H583" s="109" t="s">
        <v>1</v>
      </c>
      <c r="I583" s="167" t="s">
        <v>1</v>
      </c>
      <c r="J583" s="167" t="s">
        <v>1</v>
      </c>
      <c r="K583" s="167"/>
      <c r="L583" s="167" t="s">
        <v>1</v>
      </c>
      <c r="M583" s="167" t="s">
        <v>1</v>
      </c>
    </row>
    <row r="584" spans="1:13" ht="12">
      <c r="A584" s="174">
        <v>25</v>
      </c>
      <c r="B584" s="174"/>
      <c r="C584" s="169" t="s">
        <v>386</v>
      </c>
      <c r="E584" s="174">
        <v>25</v>
      </c>
      <c r="F584" s="174"/>
      <c r="G584" s="179">
        <f>G568</f>
        <v>8.399999999999999</v>
      </c>
      <c r="H584" s="191">
        <f>SUM(H568:H582)</f>
        <v>791944.8099999999</v>
      </c>
      <c r="I584" s="179">
        <f>I568</f>
        <v>8.3</v>
      </c>
      <c r="J584" s="191">
        <f>SUM(J568:J582)</f>
        <v>912569.4100000001</v>
      </c>
      <c r="K584" s="191"/>
      <c r="L584" s="179">
        <f>L568</f>
        <v>8.4</v>
      </c>
      <c r="M584" s="165">
        <f>SUM(M568:M582)</f>
        <v>937780</v>
      </c>
    </row>
    <row r="585" spans="5:13" ht="12">
      <c r="E585" s="184"/>
      <c r="F585" s="184"/>
      <c r="G585" s="109" t="s">
        <v>1</v>
      </c>
      <c r="H585" s="109" t="s">
        <v>1</v>
      </c>
      <c r="I585" s="167" t="s">
        <v>1</v>
      </c>
      <c r="J585" s="167" t="s">
        <v>1</v>
      </c>
      <c r="K585" s="167" t="s">
        <v>1</v>
      </c>
      <c r="L585" s="167"/>
      <c r="M585" s="167" t="s">
        <v>1</v>
      </c>
    </row>
    <row r="586" spans="1:13" ht="12">
      <c r="A586" s="169"/>
      <c r="B586" s="169"/>
      <c r="H586" s="165"/>
      <c r="J586" s="165"/>
      <c r="M586" s="165"/>
    </row>
    <row r="587" spans="8:13" ht="12">
      <c r="H587" s="165"/>
      <c r="J587" s="165"/>
      <c r="M587" s="165"/>
    </row>
    <row r="588" spans="1:13" ht="12">
      <c r="A588" s="223" t="s">
        <v>299</v>
      </c>
      <c r="B588" s="223"/>
      <c r="E588" s="184"/>
      <c r="F588" s="184"/>
      <c r="G588" s="178"/>
      <c r="H588" s="165"/>
      <c r="I588" s="178"/>
      <c r="J588" s="165"/>
      <c r="K588" s="178"/>
      <c r="L588" s="178"/>
      <c r="M588" s="163" t="s">
        <v>39</v>
      </c>
    </row>
    <row r="589" spans="1:13" ht="12">
      <c r="A589" s="407" t="s">
        <v>150</v>
      </c>
      <c r="B589" s="407"/>
      <c r="C589" s="407"/>
      <c r="D589" s="407"/>
      <c r="E589" s="407"/>
      <c r="F589" s="407"/>
      <c r="G589" s="407"/>
      <c r="H589" s="407"/>
      <c r="I589" s="407"/>
      <c r="J589" s="407"/>
      <c r="K589" s="407"/>
      <c r="L589" s="407"/>
      <c r="M589" s="407"/>
    </row>
    <row r="590" spans="1:13" ht="12">
      <c r="A590" s="223" t="s">
        <v>274</v>
      </c>
      <c r="B590" s="223"/>
      <c r="G590" s="178"/>
      <c r="H590" s="165"/>
      <c r="I590" s="199"/>
      <c r="J590" s="196"/>
      <c r="K590" s="178"/>
      <c r="L590" s="178"/>
      <c r="M590" s="264" t="str">
        <f>M553</f>
        <v>Date: 10/1/2009</v>
      </c>
    </row>
    <row r="591" spans="1:13" ht="12">
      <c r="A591" s="166" t="s">
        <v>1</v>
      </c>
      <c r="B591" s="166"/>
      <c r="C591" s="166" t="s">
        <v>1</v>
      </c>
      <c r="D591" s="166" t="s">
        <v>1</v>
      </c>
      <c r="E591" s="166" t="s">
        <v>1</v>
      </c>
      <c r="F591" s="166"/>
      <c r="G591" s="166" t="s">
        <v>1</v>
      </c>
      <c r="H591" s="177" t="s">
        <v>1</v>
      </c>
      <c r="I591" s="166" t="s">
        <v>1</v>
      </c>
      <c r="J591" s="177" t="s">
        <v>1</v>
      </c>
      <c r="L591" s="166" t="s">
        <v>1</v>
      </c>
      <c r="M591" s="177" t="s">
        <v>1</v>
      </c>
    </row>
    <row r="592" spans="1:13" ht="12">
      <c r="A592" s="168" t="s">
        <v>2</v>
      </c>
      <c r="B592" s="168"/>
      <c r="E592" s="168" t="s">
        <v>2</v>
      </c>
      <c r="F592" s="168"/>
      <c r="G592" s="197"/>
      <c r="H592" s="151" t="s">
        <v>240</v>
      </c>
      <c r="I592" s="170"/>
      <c r="J592" s="151" t="s">
        <v>247</v>
      </c>
      <c r="K592" s="151"/>
      <c r="L592" s="87"/>
      <c r="M592" s="151" t="s">
        <v>576</v>
      </c>
    </row>
    <row r="593" spans="1:13" ht="12">
      <c r="A593" s="168" t="s">
        <v>4</v>
      </c>
      <c r="B593" s="168"/>
      <c r="C593" s="171" t="s">
        <v>20</v>
      </c>
      <c r="E593" s="168" t="s">
        <v>4</v>
      </c>
      <c r="F593" s="168"/>
      <c r="G593" s="197" t="s">
        <v>6</v>
      </c>
      <c r="H593" s="151" t="s">
        <v>7</v>
      </c>
      <c r="I593" s="197" t="s">
        <v>6</v>
      </c>
      <c r="J593" s="151" t="s">
        <v>7</v>
      </c>
      <c r="K593" s="151"/>
      <c r="L593" s="197" t="s">
        <v>6</v>
      </c>
      <c r="M593" s="151" t="s">
        <v>8</v>
      </c>
    </row>
    <row r="594" spans="1:13" ht="12">
      <c r="A594" s="166" t="s">
        <v>1</v>
      </c>
      <c r="B594" s="166"/>
      <c r="C594" s="166" t="s">
        <v>1</v>
      </c>
      <c r="D594" s="166" t="s">
        <v>1</v>
      </c>
      <c r="E594" s="166" t="s">
        <v>1</v>
      </c>
      <c r="F594" s="166"/>
      <c r="G594" s="40" t="s">
        <v>1</v>
      </c>
      <c r="H594" s="40" t="s">
        <v>1</v>
      </c>
      <c r="I594" s="40" t="s">
        <v>1</v>
      </c>
      <c r="J594" s="176" t="s">
        <v>1</v>
      </c>
      <c r="K594" s="176"/>
      <c r="L594" s="40" t="s">
        <v>1</v>
      </c>
      <c r="M594" s="176" t="s">
        <v>1</v>
      </c>
    </row>
    <row r="595" spans="1:13" ht="12">
      <c r="A595" s="174">
        <v>1</v>
      </c>
      <c r="B595" s="174"/>
      <c r="C595" s="169" t="s">
        <v>36</v>
      </c>
      <c r="E595" s="174">
        <v>1</v>
      </c>
      <c r="F595" s="174"/>
      <c r="G595" s="203">
        <f>225.4</f>
        <v>225.4</v>
      </c>
      <c r="H595" s="107">
        <f>17546745.73</f>
        <v>17546745.73</v>
      </c>
      <c r="I595" s="203">
        <f>237.7</f>
        <v>237.7</v>
      </c>
      <c r="J595" s="107">
        <f>19487618.3</f>
        <v>19487618.3</v>
      </c>
      <c r="K595" s="107"/>
      <c r="L595" s="203">
        <f>245.6</f>
        <v>245.6</v>
      </c>
      <c r="M595" s="107">
        <f>20132399</f>
        <v>20132399</v>
      </c>
    </row>
    <row r="596" spans="1:13" ht="12">
      <c r="A596" s="174">
        <v>2</v>
      </c>
      <c r="B596" s="174"/>
      <c r="C596" s="169" t="s">
        <v>37</v>
      </c>
      <c r="E596" s="174">
        <v>2</v>
      </c>
      <c r="F596" s="174"/>
      <c r="G596" s="203"/>
      <c r="H596" s="107">
        <f>4746923.29</f>
        <v>4746923.29</v>
      </c>
      <c r="I596" s="203"/>
      <c r="J596" s="107">
        <f>5359865.7</f>
        <v>5359865.7</v>
      </c>
      <c r="K596" s="107"/>
      <c r="L596" s="203"/>
      <c r="M596" s="107">
        <f>5455249</f>
        <v>5455249</v>
      </c>
    </row>
    <row r="597" spans="1:13" ht="12">
      <c r="A597" s="174">
        <v>3</v>
      </c>
      <c r="B597" s="174"/>
      <c r="E597" s="174">
        <v>3</v>
      </c>
      <c r="F597" s="174"/>
      <c r="G597" s="203"/>
      <c r="H597" s="107"/>
      <c r="I597" s="203"/>
      <c r="J597" s="107"/>
      <c r="K597" s="107"/>
      <c r="L597" s="203"/>
      <c r="M597" s="107"/>
    </row>
    <row r="598" spans="1:13" ht="12">
      <c r="A598" s="174">
        <v>4</v>
      </c>
      <c r="B598" s="174"/>
      <c r="C598" s="169" t="s">
        <v>23</v>
      </c>
      <c r="E598" s="174">
        <v>4</v>
      </c>
      <c r="F598" s="174"/>
      <c r="G598" s="87">
        <f>G595</f>
        <v>225.4</v>
      </c>
      <c r="H598" s="78">
        <f>SUM(H595:H596)</f>
        <v>22293669.02</v>
      </c>
      <c r="I598" s="87">
        <f>I595</f>
        <v>237.7</v>
      </c>
      <c r="J598" s="78">
        <f>SUM(J595:J596)</f>
        <v>24847484</v>
      </c>
      <c r="K598" s="78"/>
      <c r="L598" s="87">
        <f>L595</f>
        <v>245.6</v>
      </c>
      <c r="M598" s="78">
        <f>SUM(M595:M596)</f>
        <v>25587648</v>
      </c>
    </row>
    <row r="599" spans="1:13" ht="12">
      <c r="A599" s="174">
        <v>5</v>
      </c>
      <c r="B599" s="174"/>
      <c r="E599" s="174">
        <v>5</v>
      </c>
      <c r="F599" s="174"/>
      <c r="G599" s="87"/>
      <c r="H599" s="78"/>
      <c r="I599" s="87"/>
      <c r="J599" s="78"/>
      <c r="K599" s="78"/>
      <c r="L599" s="213"/>
      <c r="M599" s="78"/>
    </row>
    <row r="600" spans="1:13" ht="12">
      <c r="A600" s="174">
        <v>6</v>
      </c>
      <c r="B600" s="174"/>
      <c r="E600" s="174">
        <v>6</v>
      </c>
      <c r="F600" s="174"/>
      <c r="G600" s="87"/>
      <c r="H600" s="78"/>
      <c r="I600" s="87"/>
      <c r="J600" s="78"/>
      <c r="K600" s="78"/>
      <c r="L600" s="87"/>
      <c r="M600" s="78"/>
    </row>
    <row r="601" spans="1:13" ht="12">
      <c r="A601" s="174">
        <v>7</v>
      </c>
      <c r="B601" s="174"/>
      <c r="C601" s="169" t="s">
        <v>25</v>
      </c>
      <c r="E601" s="174">
        <v>7</v>
      </c>
      <c r="F601" s="174"/>
      <c r="G601" s="203">
        <f>327.7</f>
        <v>327.7</v>
      </c>
      <c r="H601" s="107">
        <f>17520107.42</f>
        <v>17520107.42</v>
      </c>
      <c r="I601" s="203">
        <f>335.2</f>
        <v>335.2</v>
      </c>
      <c r="J601" s="107">
        <f>18870784.34</f>
        <v>18870784.34</v>
      </c>
      <c r="K601" s="107"/>
      <c r="L601" s="203">
        <f>330.4</f>
        <v>330.4</v>
      </c>
      <c r="M601" s="107">
        <f>18600394</f>
        <v>18600394</v>
      </c>
    </row>
    <row r="602" spans="1:13" ht="12">
      <c r="A602" s="174">
        <v>8</v>
      </c>
      <c r="B602" s="174"/>
      <c r="C602" s="169" t="s">
        <v>26</v>
      </c>
      <c r="E602" s="174">
        <v>8</v>
      </c>
      <c r="F602" s="174"/>
      <c r="G602" s="203"/>
      <c r="H602" s="107">
        <f>4502167.97</f>
        <v>4502167.97</v>
      </c>
      <c r="I602" s="203"/>
      <c r="J602" s="107">
        <f>5237950.39</f>
        <v>5237950.39</v>
      </c>
      <c r="K602" s="107"/>
      <c r="L602" s="203"/>
      <c r="M602" s="107">
        <f>5291655</f>
        <v>5291655</v>
      </c>
    </row>
    <row r="603" spans="1:13" ht="12">
      <c r="A603" s="174">
        <v>9</v>
      </c>
      <c r="B603" s="174"/>
      <c r="C603" s="169" t="s">
        <v>27</v>
      </c>
      <c r="E603" s="174">
        <v>9</v>
      </c>
      <c r="F603" s="174"/>
      <c r="G603" s="87">
        <f>G601</f>
        <v>327.7</v>
      </c>
      <c r="H603" s="78">
        <f>SUM(H601:H602)</f>
        <v>22022275.39</v>
      </c>
      <c r="I603" s="87">
        <f>I601</f>
        <v>335.2</v>
      </c>
      <c r="J603" s="78">
        <f>SUM(J601:J602)</f>
        <v>24108734.73</v>
      </c>
      <c r="K603" s="78"/>
      <c r="L603" s="87">
        <f>L601</f>
        <v>330.4</v>
      </c>
      <c r="M603" s="78">
        <f>SUM(M601:M602)</f>
        <v>23892049</v>
      </c>
    </row>
    <row r="604" spans="1:13" ht="12">
      <c r="A604" s="174">
        <v>10</v>
      </c>
      <c r="B604" s="174"/>
      <c r="E604" s="174">
        <v>10</v>
      </c>
      <c r="F604" s="174"/>
      <c r="G604" s="87"/>
      <c r="H604" s="78"/>
      <c r="I604" s="87"/>
      <c r="J604" s="78"/>
      <c r="K604" s="78"/>
      <c r="L604" s="87"/>
      <c r="M604" s="78"/>
    </row>
    <row r="605" spans="1:13" ht="12">
      <c r="A605" s="174">
        <v>11</v>
      </c>
      <c r="B605" s="174"/>
      <c r="C605" s="169" t="s">
        <v>28</v>
      </c>
      <c r="E605" s="174">
        <v>11</v>
      </c>
      <c r="F605" s="174"/>
      <c r="G605" s="87">
        <f aca="true" t="shared" si="25" ref="G605:M605">SUM(G603,G598)</f>
        <v>553.1</v>
      </c>
      <c r="H605" s="78">
        <f t="shared" si="25"/>
        <v>44315944.41</v>
      </c>
      <c r="I605" s="87">
        <f t="shared" si="25"/>
        <v>572.9</v>
      </c>
      <c r="J605" s="78">
        <f t="shared" si="25"/>
        <v>48956218.730000004</v>
      </c>
      <c r="K605" s="78"/>
      <c r="L605" s="87">
        <f t="shared" si="25"/>
        <v>576</v>
      </c>
      <c r="M605" s="78">
        <f t="shared" si="25"/>
        <v>49479697</v>
      </c>
    </row>
    <row r="606" spans="1:13" ht="12">
      <c r="A606" s="174">
        <v>12</v>
      </c>
      <c r="B606" s="174"/>
      <c r="E606" s="174">
        <v>12</v>
      </c>
      <c r="F606" s="174"/>
      <c r="G606" s="26"/>
      <c r="H606" s="78"/>
      <c r="I606" s="26"/>
      <c r="J606" s="78"/>
      <c r="K606" s="78"/>
      <c r="L606" s="26"/>
      <c r="M606" s="78"/>
    </row>
    <row r="607" spans="1:13" ht="12">
      <c r="A607" s="174">
        <v>13</v>
      </c>
      <c r="B607" s="174"/>
      <c r="C607" s="169" t="s">
        <v>38</v>
      </c>
      <c r="E607" s="174">
        <v>13</v>
      </c>
      <c r="F607" s="174"/>
      <c r="G607" s="203">
        <f>10.7+71.7</f>
        <v>82.4</v>
      </c>
      <c r="H607" s="107">
        <f>2144885.97</f>
        <v>2144885.97</v>
      </c>
      <c r="I607" s="203">
        <f>9.5+76.5</f>
        <v>86</v>
      </c>
      <c r="J607" s="107">
        <f>2185982.84</f>
        <v>2185982.84</v>
      </c>
      <c r="K607" s="107"/>
      <c r="L607" s="203">
        <f>9.6+85.2</f>
        <v>94.8</v>
      </c>
      <c r="M607" s="107">
        <f>2432638</f>
        <v>2432638</v>
      </c>
    </row>
    <row r="608" spans="1:13" ht="12">
      <c r="A608" s="174">
        <v>14</v>
      </c>
      <c r="B608" s="174"/>
      <c r="E608" s="174">
        <v>14</v>
      </c>
      <c r="F608" s="174"/>
      <c r="G608" s="107"/>
      <c r="H608" s="107"/>
      <c r="I608" s="107"/>
      <c r="J608" s="107"/>
      <c r="K608" s="107"/>
      <c r="L608" s="107"/>
      <c r="M608" s="107"/>
    </row>
    <row r="609" spans="1:13" ht="12">
      <c r="A609" s="174">
        <v>15</v>
      </c>
      <c r="B609" s="174"/>
      <c r="C609" s="169" t="s">
        <v>30</v>
      </c>
      <c r="E609" s="174">
        <v>15</v>
      </c>
      <c r="F609" s="174"/>
      <c r="G609" s="203"/>
      <c r="H609" s="107">
        <f>422292.7</f>
        <v>422292.7</v>
      </c>
      <c r="I609" s="203"/>
      <c r="J609" s="107">
        <f>410268.28</f>
        <v>410268.28</v>
      </c>
      <c r="K609" s="107"/>
      <c r="L609" s="203"/>
      <c r="M609" s="107">
        <f>410018</f>
        <v>410018</v>
      </c>
    </row>
    <row r="610" spans="1:13" ht="12">
      <c r="A610" s="30">
        <v>16</v>
      </c>
      <c r="B610" s="30"/>
      <c r="C610" s="169" t="s">
        <v>31</v>
      </c>
      <c r="E610" s="30">
        <v>16</v>
      </c>
      <c r="F610" s="30"/>
      <c r="G610" s="203"/>
      <c r="H610" s="107">
        <f>7089712.64</f>
        <v>7089712.64</v>
      </c>
      <c r="I610" s="203"/>
      <c r="J610" s="107">
        <f>8284431.05</f>
        <v>8284431.05</v>
      </c>
      <c r="K610" s="107"/>
      <c r="L610" s="203"/>
      <c r="M610" s="107">
        <f>8448804</f>
        <v>8448804</v>
      </c>
    </row>
    <row r="611" spans="1:13" ht="12">
      <c r="A611" s="30"/>
      <c r="B611" s="30"/>
      <c r="C611" s="169"/>
      <c r="E611" s="30"/>
      <c r="F611" s="30"/>
      <c r="G611" s="203"/>
      <c r="H611" s="107"/>
      <c r="I611" s="203"/>
      <c r="J611" s="107"/>
      <c r="K611" s="107"/>
      <c r="L611" s="203"/>
      <c r="M611" s="107"/>
    </row>
    <row r="612" spans="1:13" ht="12">
      <c r="A612" s="30">
        <v>17</v>
      </c>
      <c r="B612" s="30"/>
      <c r="C612" s="169" t="s">
        <v>32</v>
      </c>
      <c r="E612" s="30">
        <v>17</v>
      </c>
      <c r="F612" s="30"/>
      <c r="G612" s="203"/>
      <c r="H612" s="107">
        <f>1467038.98</f>
        <v>1467038.98</v>
      </c>
      <c r="I612" s="203"/>
      <c r="J612" s="107">
        <f>1583184.76</f>
        <v>1583184.76</v>
      </c>
      <c r="K612" s="107"/>
      <c r="L612" s="203"/>
      <c r="M612" s="107">
        <f>1353776</f>
        <v>1353776</v>
      </c>
    </row>
    <row r="613" spans="1:13" ht="12">
      <c r="A613" s="30">
        <v>18</v>
      </c>
      <c r="B613" s="30"/>
      <c r="C613" s="31" t="s">
        <v>387</v>
      </c>
      <c r="E613" s="30">
        <v>18</v>
      </c>
      <c r="F613" s="30"/>
      <c r="G613" s="203"/>
      <c r="H613" s="107">
        <f>11566355.09</f>
        <v>11566355.09</v>
      </c>
      <c r="I613" s="203"/>
      <c r="J613" s="107">
        <f>12413825.45</f>
        <v>12413825.45</v>
      </c>
      <c r="K613" s="107"/>
      <c r="L613" s="203"/>
      <c r="M613" s="107">
        <f>12749132</f>
        <v>12749132</v>
      </c>
    </row>
    <row r="614" spans="1:12" ht="12">
      <c r="A614" s="30">
        <v>19</v>
      </c>
      <c r="B614" s="30"/>
      <c r="C614" s="31" t="s">
        <v>42</v>
      </c>
      <c r="E614" s="30">
        <v>19</v>
      </c>
      <c r="F614" s="30"/>
      <c r="G614" s="203"/>
      <c r="I614" s="203"/>
      <c r="L614" s="203"/>
    </row>
    <row r="615" spans="1:13" ht="12">
      <c r="A615" s="174">
        <v>20</v>
      </c>
      <c r="B615" s="174"/>
      <c r="C615" s="169" t="s">
        <v>103</v>
      </c>
      <c r="E615" s="30">
        <v>20</v>
      </c>
      <c r="F615" s="30"/>
      <c r="G615" s="203"/>
      <c r="H615" s="107"/>
      <c r="I615" s="203"/>
      <c r="J615" s="107"/>
      <c r="K615" s="107"/>
      <c r="L615" s="203"/>
      <c r="M615" s="107"/>
    </row>
    <row r="616" spans="1:13" s="26" customFormat="1" ht="12">
      <c r="A616" s="30">
        <v>21</v>
      </c>
      <c r="B616" s="30"/>
      <c r="E616" s="30">
        <v>21</v>
      </c>
      <c r="F616" s="30"/>
      <c r="G616" s="109"/>
      <c r="H616" s="78"/>
      <c r="I616" s="109"/>
      <c r="J616" s="78"/>
      <c r="K616" s="78"/>
      <c r="L616" s="109"/>
      <c r="M616" s="78"/>
    </row>
    <row r="617" spans="1:13" s="26" customFormat="1" ht="12">
      <c r="A617" s="30">
        <v>22</v>
      </c>
      <c r="B617" s="30"/>
      <c r="E617" s="30">
        <v>22</v>
      </c>
      <c r="F617" s="30"/>
      <c r="G617" s="87"/>
      <c r="H617" s="78"/>
      <c r="I617" s="87"/>
      <c r="J617" s="78"/>
      <c r="K617" s="78"/>
      <c r="L617" s="87"/>
      <c r="M617" s="78"/>
    </row>
    <row r="618" spans="1:13" s="26" customFormat="1" ht="12">
      <c r="A618" s="30">
        <v>23</v>
      </c>
      <c r="B618" s="30"/>
      <c r="C618" s="169"/>
      <c r="D618" s="100"/>
      <c r="E618" s="30">
        <v>23</v>
      </c>
      <c r="F618" s="30"/>
      <c r="H618" s="109"/>
      <c r="J618" s="78"/>
      <c r="K618" s="78"/>
      <c r="M618" s="78"/>
    </row>
    <row r="619" spans="1:13" s="26" customFormat="1" ht="12">
      <c r="A619" s="30">
        <v>24</v>
      </c>
      <c r="B619" s="30"/>
      <c r="D619" s="100"/>
      <c r="E619" s="30">
        <v>24</v>
      </c>
      <c r="F619" s="30"/>
      <c r="H619" s="109"/>
      <c r="J619" s="78"/>
      <c r="K619" s="78"/>
      <c r="M619" s="78"/>
    </row>
    <row r="620" spans="7:13" ht="12">
      <c r="G620" s="109" t="s">
        <v>1</v>
      </c>
      <c r="H620" s="109" t="s">
        <v>1</v>
      </c>
      <c r="I620" s="109" t="s">
        <v>1</v>
      </c>
      <c r="J620" s="109" t="s">
        <v>1</v>
      </c>
      <c r="K620" s="109"/>
      <c r="L620" s="109" t="s">
        <v>1</v>
      </c>
      <c r="M620" s="109" t="s">
        <v>1</v>
      </c>
    </row>
    <row r="621" spans="1:13" ht="12">
      <c r="A621" s="174">
        <v>25</v>
      </c>
      <c r="B621" s="174"/>
      <c r="C621" s="169" t="s">
        <v>388</v>
      </c>
      <c r="E621" s="174">
        <v>25</v>
      </c>
      <c r="F621" s="174"/>
      <c r="G621" s="55">
        <f>G605</f>
        <v>553.1</v>
      </c>
      <c r="H621" s="74">
        <f>SUM(H605:H619)-H613</f>
        <v>55439874.69999999</v>
      </c>
      <c r="I621" s="55">
        <f>I605</f>
        <v>572.9</v>
      </c>
      <c r="J621" s="74">
        <f>SUM(J605:J619)-J613</f>
        <v>61420085.66</v>
      </c>
      <c r="K621" s="74"/>
      <c r="L621" s="55">
        <f>L605</f>
        <v>576</v>
      </c>
      <c r="M621" s="78">
        <f>SUM(M605:M619)-M613</f>
        <v>62124933</v>
      </c>
    </row>
    <row r="622" spans="5:13" ht="12">
      <c r="E622" s="184"/>
      <c r="F622" s="184"/>
      <c r="G622" s="109" t="s">
        <v>1</v>
      </c>
      <c r="H622" s="109" t="s">
        <v>1</v>
      </c>
      <c r="I622" s="109" t="s">
        <v>1</v>
      </c>
      <c r="J622" s="109" t="s">
        <v>1</v>
      </c>
      <c r="L622" s="109" t="s">
        <v>1</v>
      </c>
      <c r="M622" s="109" t="s">
        <v>1</v>
      </c>
    </row>
    <row r="623" spans="1:2" ht="12">
      <c r="A623" s="169"/>
      <c r="B623" s="169"/>
    </row>
    <row r="625" spans="1:13" ht="12">
      <c r="A625" s="223" t="s">
        <v>299</v>
      </c>
      <c r="B625" s="223"/>
      <c r="E625" s="184"/>
      <c r="F625" s="184"/>
      <c r="G625" s="178"/>
      <c r="H625" s="165"/>
      <c r="I625" s="178"/>
      <c r="J625" s="165"/>
      <c r="K625" s="178"/>
      <c r="L625" s="178"/>
      <c r="M625" s="163" t="s">
        <v>41</v>
      </c>
    </row>
    <row r="626" spans="1:13" ht="12">
      <c r="A626" s="407" t="s">
        <v>151</v>
      </c>
      <c r="B626" s="407"/>
      <c r="C626" s="407"/>
      <c r="D626" s="407"/>
      <c r="E626" s="407"/>
      <c r="F626" s="407"/>
      <c r="G626" s="407"/>
      <c r="H626" s="407"/>
      <c r="I626" s="407"/>
      <c r="J626" s="407"/>
      <c r="K626" s="407"/>
      <c r="L626" s="407"/>
      <c r="M626" s="407"/>
    </row>
    <row r="627" spans="1:13" ht="12">
      <c r="A627" s="223" t="s">
        <v>274</v>
      </c>
      <c r="B627" s="223"/>
      <c r="G627" s="178"/>
      <c r="H627" s="165"/>
      <c r="I627" s="199"/>
      <c r="J627" s="196"/>
      <c r="K627" s="178"/>
      <c r="L627" s="178"/>
      <c r="M627" s="264" t="str">
        <f>M590</f>
        <v>Date: 10/1/2009</v>
      </c>
    </row>
    <row r="628" spans="1:13" ht="12">
      <c r="A628" s="166" t="s">
        <v>1</v>
      </c>
      <c r="B628" s="166"/>
      <c r="C628" s="166" t="s">
        <v>1</v>
      </c>
      <c r="D628" s="166" t="s">
        <v>1</v>
      </c>
      <c r="E628" s="166" t="s">
        <v>1</v>
      </c>
      <c r="F628" s="166"/>
      <c r="G628" s="166" t="s">
        <v>1</v>
      </c>
      <c r="H628" s="166" t="s">
        <v>1</v>
      </c>
      <c r="I628" s="166" t="s">
        <v>1</v>
      </c>
      <c r="J628" s="166" t="s">
        <v>1</v>
      </c>
      <c r="L628" s="166" t="s">
        <v>1</v>
      </c>
      <c r="M628" s="166" t="s">
        <v>1</v>
      </c>
    </row>
    <row r="629" spans="1:13" ht="12">
      <c r="A629" s="168" t="s">
        <v>2</v>
      </c>
      <c r="B629" s="168"/>
      <c r="E629" s="168" t="s">
        <v>2</v>
      </c>
      <c r="F629" s="168"/>
      <c r="G629" s="197"/>
      <c r="H629" s="151" t="s">
        <v>240</v>
      </c>
      <c r="I629" s="170"/>
      <c r="J629" s="151" t="s">
        <v>247</v>
      </c>
      <c r="K629" s="151"/>
      <c r="L629" s="87"/>
      <c r="M629" s="151" t="s">
        <v>576</v>
      </c>
    </row>
    <row r="630" spans="1:13" ht="12">
      <c r="A630" s="168" t="s">
        <v>4</v>
      </c>
      <c r="B630" s="168"/>
      <c r="C630" s="171" t="s">
        <v>20</v>
      </c>
      <c r="E630" s="168" t="s">
        <v>4</v>
      </c>
      <c r="F630" s="168"/>
      <c r="G630" s="197" t="s">
        <v>6</v>
      </c>
      <c r="H630" s="151" t="s">
        <v>7</v>
      </c>
      <c r="I630" s="197" t="s">
        <v>6</v>
      </c>
      <c r="J630" s="151" t="s">
        <v>7</v>
      </c>
      <c r="K630" s="151"/>
      <c r="L630" s="197" t="s">
        <v>6</v>
      </c>
      <c r="M630" s="151" t="s">
        <v>8</v>
      </c>
    </row>
    <row r="631" spans="1:13" ht="12">
      <c r="A631" s="166" t="s">
        <v>1</v>
      </c>
      <c r="B631" s="166"/>
      <c r="C631" s="166" t="s">
        <v>1</v>
      </c>
      <c r="D631" s="166" t="s">
        <v>1</v>
      </c>
      <c r="E631" s="166" t="s">
        <v>1</v>
      </c>
      <c r="F631" s="166"/>
      <c r="G631" s="40" t="s">
        <v>1</v>
      </c>
      <c r="H631" s="40" t="s">
        <v>1</v>
      </c>
      <c r="I631" s="40" t="s">
        <v>1</v>
      </c>
      <c r="J631" s="40" t="s">
        <v>1</v>
      </c>
      <c r="K631" s="40"/>
      <c r="L631" s="40" t="s">
        <v>1</v>
      </c>
      <c r="M631" s="176" t="s">
        <v>1</v>
      </c>
    </row>
    <row r="632" spans="1:13" ht="12">
      <c r="A632" s="174">
        <v>1</v>
      </c>
      <c r="B632" s="174"/>
      <c r="C632" s="169" t="s">
        <v>36</v>
      </c>
      <c r="E632" s="174">
        <v>1</v>
      </c>
      <c r="F632" s="174"/>
      <c r="G632" s="203">
        <f>88.3</f>
        <v>88.3</v>
      </c>
      <c r="H632" s="107">
        <f>5964323.95</f>
        <v>5964323.95</v>
      </c>
      <c r="I632" s="203">
        <f>97.3</f>
        <v>97.3</v>
      </c>
      <c r="J632" s="107">
        <f>6918154.08</f>
        <v>6918154.08</v>
      </c>
      <c r="K632" s="107"/>
      <c r="L632" s="203">
        <f>99.1</f>
        <v>99.1</v>
      </c>
      <c r="M632" s="107">
        <f>7045345</f>
        <v>7045345</v>
      </c>
    </row>
    <row r="633" spans="1:13" ht="12">
      <c r="A633" s="174">
        <v>2</v>
      </c>
      <c r="B633" s="174"/>
      <c r="C633" s="169" t="s">
        <v>37</v>
      </c>
      <c r="E633" s="174">
        <v>2</v>
      </c>
      <c r="F633" s="174"/>
      <c r="G633" s="203"/>
      <c r="H633" s="107">
        <f>1616005.65</f>
        <v>1616005.65</v>
      </c>
      <c r="I633" s="203"/>
      <c r="J633" s="107">
        <f>1888438.71</f>
        <v>1888438.71</v>
      </c>
      <c r="K633" s="107"/>
      <c r="L633" s="203"/>
      <c r="M633" s="107">
        <f>1968740</f>
        <v>1968740</v>
      </c>
    </row>
    <row r="634" spans="1:13" ht="12">
      <c r="A634" s="174">
        <v>3</v>
      </c>
      <c r="B634" s="174"/>
      <c r="E634" s="174">
        <v>3</v>
      </c>
      <c r="F634" s="174"/>
      <c r="G634" s="203"/>
      <c r="H634" s="107"/>
      <c r="I634" s="203"/>
      <c r="J634" s="107"/>
      <c r="K634" s="107"/>
      <c r="L634" s="203"/>
      <c r="M634" s="107"/>
    </row>
    <row r="635" spans="1:13" ht="12">
      <c r="A635" s="174">
        <v>4</v>
      </c>
      <c r="B635" s="174"/>
      <c r="C635" s="169" t="s">
        <v>23</v>
      </c>
      <c r="E635" s="174">
        <v>4</v>
      </c>
      <c r="F635" s="174"/>
      <c r="G635" s="87">
        <f>G632</f>
        <v>88.3</v>
      </c>
      <c r="H635" s="78">
        <f>SUM(H632:H633)</f>
        <v>7580329.6</v>
      </c>
      <c r="I635" s="87">
        <f>I632</f>
        <v>97.3</v>
      </c>
      <c r="J635" s="78">
        <f>SUM(J632:J633)</f>
        <v>8806592.79</v>
      </c>
      <c r="K635" s="78"/>
      <c r="L635" s="87">
        <f>L632</f>
        <v>99.1</v>
      </c>
      <c r="M635" s="78">
        <f>SUM(M632:M633)</f>
        <v>9014085</v>
      </c>
    </row>
    <row r="636" spans="1:13" ht="12">
      <c r="A636" s="174">
        <v>5</v>
      </c>
      <c r="B636" s="174"/>
      <c r="E636" s="174">
        <v>5</v>
      </c>
      <c r="F636" s="174"/>
      <c r="G636" s="87"/>
      <c r="H636" s="78"/>
      <c r="I636" s="87"/>
      <c r="J636" s="78"/>
      <c r="K636" s="78"/>
      <c r="L636" s="213"/>
      <c r="M636" s="78"/>
    </row>
    <row r="637" spans="1:13" ht="12">
      <c r="A637" s="174">
        <v>6</v>
      </c>
      <c r="B637" s="174"/>
      <c r="E637" s="174">
        <v>6</v>
      </c>
      <c r="F637" s="174"/>
      <c r="G637" s="87"/>
      <c r="H637" s="78"/>
      <c r="I637" s="87"/>
      <c r="J637" s="78"/>
      <c r="K637" s="78"/>
      <c r="L637" s="213"/>
      <c r="M637" s="78"/>
    </row>
    <row r="638" spans="1:13" ht="12">
      <c r="A638" s="174">
        <v>7</v>
      </c>
      <c r="B638" s="174"/>
      <c r="C638" s="169" t="s">
        <v>25</v>
      </c>
      <c r="E638" s="174">
        <v>7</v>
      </c>
      <c r="F638" s="174"/>
      <c r="G638" s="203">
        <f>132.7</f>
        <v>132.7</v>
      </c>
      <c r="H638" s="107">
        <f>7127445.72</f>
        <v>7127445.72</v>
      </c>
      <c r="I638" s="203">
        <f>120</f>
        <v>120</v>
      </c>
      <c r="J638" s="107">
        <f>6788767.41</f>
        <v>6788767.41</v>
      </c>
      <c r="K638" s="107"/>
      <c r="L638" s="203">
        <f>119.3</f>
        <v>119.3</v>
      </c>
      <c r="M638" s="107">
        <f>6746206</f>
        <v>6746206</v>
      </c>
    </row>
    <row r="639" spans="1:13" ht="12">
      <c r="A639" s="174">
        <v>8</v>
      </c>
      <c r="B639" s="174"/>
      <c r="C639" s="169" t="s">
        <v>26</v>
      </c>
      <c r="E639" s="174">
        <v>8</v>
      </c>
      <c r="F639" s="174"/>
      <c r="G639" s="203"/>
      <c r="H639" s="107">
        <f>1822612.49</f>
        <v>1822612.49</v>
      </c>
      <c r="I639" s="203"/>
      <c r="J639" s="107">
        <f>1870216.1</f>
        <v>1870216.1</v>
      </c>
      <c r="K639" s="107"/>
      <c r="L639" s="203"/>
      <c r="M639" s="107">
        <f>1919470</f>
        <v>1919470</v>
      </c>
    </row>
    <row r="640" spans="1:13" ht="12">
      <c r="A640" s="174">
        <v>9</v>
      </c>
      <c r="B640" s="174"/>
      <c r="C640" s="169" t="s">
        <v>27</v>
      </c>
      <c r="E640" s="174">
        <v>9</v>
      </c>
      <c r="F640" s="174"/>
      <c r="G640" s="55">
        <f>G638</f>
        <v>132.7</v>
      </c>
      <c r="H640" s="78">
        <f>SUM(H638:H639)</f>
        <v>8950058.209999999</v>
      </c>
      <c r="I640" s="55">
        <f>I638</f>
        <v>120</v>
      </c>
      <c r="J640" s="78">
        <f>SUM(J638:J639)</f>
        <v>8658983.51</v>
      </c>
      <c r="K640" s="78"/>
      <c r="L640" s="55">
        <f>L638</f>
        <v>119.3</v>
      </c>
      <c r="M640" s="78">
        <f>SUM(M638:M639)</f>
        <v>8665676</v>
      </c>
    </row>
    <row r="641" spans="1:13" ht="12">
      <c r="A641" s="174">
        <v>10</v>
      </c>
      <c r="B641" s="174"/>
      <c r="E641" s="174">
        <v>10</v>
      </c>
      <c r="F641" s="174"/>
      <c r="G641" s="87"/>
      <c r="H641" s="78"/>
      <c r="I641" s="87"/>
      <c r="J641" s="78"/>
      <c r="K641" s="78"/>
      <c r="L641" s="87"/>
      <c r="M641" s="78"/>
    </row>
    <row r="642" spans="1:13" ht="12">
      <c r="A642" s="174">
        <v>11</v>
      </c>
      <c r="B642" s="174"/>
      <c r="C642" s="169" t="s">
        <v>28</v>
      </c>
      <c r="E642" s="174">
        <v>11</v>
      </c>
      <c r="F642" s="174"/>
      <c r="G642" s="87">
        <f aca="true" t="shared" si="26" ref="G642:M642">SUM(G640,G635)</f>
        <v>221</v>
      </c>
      <c r="H642" s="78">
        <f t="shared" si="26"/>
        <v>16530387.809999999</v>
      </c>
      <c r="I642" s="87">
        <f t="shared" si="26"/>
        <v>217.3</v>
      </c>
      <c r="J642" s="78">
        <f t="shared" si="26"/>
        <v>17465576.299999997</v>
      </c>
      <c r="K642" s="78"/>
      <c r="L642" s="87">
        <f t="shared" si="26"/>
        <v>218.39999999999998</v>
      </c>
      <c r="M642" s="78">
        <f t="shared" si="26"/>
        <v>17679761</v>
      </c>
    </row>
    <row r="643" spans="1:13" ht="12">
      <c r="A643" s="174">
        <v>12</v>
      </c>
      <c r="B643" s="174"/>
      <c r="E643" s="174">
        <v>12</v>
      </c>
      <c r="F643" s="174"/>
      <c r="G643" s="26"/>
      <c r="H643" s="26"/>
      <c r="I643" s="26"/>
      <c r="J643" s="26"/>
      <c r="K643" s="26"/>
      <c r="L643" s="26"/>
      <c r="M643" s="26"/>
    </row>
    <row r="644" spans="1:13" ht="12">
      <c r="A644" s="174">
        <v>13</v>
      </c>
      <c r="B644" s="174"/>
      <c r="C644" s="169" t="s">
        <v>38</v>
      </c>
      <c r="E644" s="174">
        <v>13</v>
      </c>
      <c r="F644" s="174"/>
      <c r="G644" s="203">
        <f>2+30.9</f>
        <v>32.9</v>
      </c>
      <c r="H644" s="107">
        <f>721460.9</f>
        <v>721460.9</v>
      </c>
      <c r="I644" s="203">
        <f>1.5+34</f>
        <v>35.5</v>
      </c>
      <c r="J644" s="107">
        <f>762680.87</f>
        <v>762680.87</v>
      </c>
      <c r="K644" s="107"/>
      <c r="L644" s="203">
        <f>1.7+35.1</f>
        <v>36.800000000000004</v>
      </c>
      <c r="M644" s="107">
        <f>783403</f>
        <v>783403</v>
      </c>
    </row>
    <row r="645" spans="1:13" ht="12">
      <c r="A645" s="174">
        <v>14</v>
      </c>
      <c r="B645" s="174"/>
      <c r="E645" s="174">
        <v>14</v>
      </c>
      <c r="F645" s="174"/>
      <c r="G645" s="203"/>
      <c r="H645" s="32"/>
      <c r="I645" s="203"/>
      <c r="J645" s="32"/>
      <c r="K645" s="32"/>
      <c r="L645" s="203"/>
      <c r="M645" s="32"/>
    </row>
    <row r="646" spans="1:13" ht="12">
      <c r="A646" s="174">
        <v>15</v>
      </c>
      <c r="B646" s="174"/>
      <c r="C646" s="169" t="s">
        <v>30</v>
      </c>
      <c r="E646" s="174">
        <v>15</v>
      </c>
      <c r="F646" s="174"/>
      <c r="G646" s="203"/>
      <c r="H646" s="107">
        <f>344226.49</f>
        <v>344226.49</v>
      </c>
      <c r="I646" s="203"/>
      <c r="J646" s="107">
        <f>359016.85</f>
        <v>359016.85</v>
      </c>
      <c r="K646" s="107"/>
      <c r="L646" s="203"/>
      <c r="M646" s="107">
        <f>370382</f>
        <v>370382</v>
      </c>
    </row>
    <row r="647" spans="1:13" ht="12">
      <c r="A647" s="30">
        <v>16</v>
      </c>
      <c r="B647" s="30"/>
      <c r="C647" s="169" t="s">
        <v>31</v>
      </c>
      <c r="E647" s="30">
        <v>16</v>
      </c>
      <c r="F647" s="30"/>
      <c r="G647" s="203"/>
      <c r="H647" s="107">
        <f>2845076.2</f>
        <v>2845076.2</v>
      </c>
      <c r="I647" s="203"/>
      <c r="J647" s="107">
        <f>3153391.76</f>
        <v>3153391.76</v>
      </c>
      <c r="K647" s="107"/>
      <c r="L647" s="203"/>
      <c r="M647" s="107">
        <f>3612596</f>
        <v>3612596</v>
      </c>
    </row>
    <row r="648" spans="1:13" ht="12">
      <c r="A648" s="30"/>
      <c r="B648" s="30"/>
      <c r="C648" s="169"/>
      <c r="E648" s="30"/>
      <c r="F648" s="30"/>
      <c r="G648" s="203"/>
      <c r="H648" s="107"/>
      <c r="I648" s="203"/>
      <c r="J648" s="107"/>
      <c r="K648" s="107"/>
      <c r="L648" s="203"/>
      <c r="M648" s="107"/>
    </row>
    <row r="649" spans="1:13" ht="12">
      <c r="A649" s="30">
        <v>17</v>
      </c>
      <c r="B649" s="30"/>
      <c r="C649" s="169" t="s">
        <v>32</v>
      </c>
      <c r="E649" s="30">
        <v>17</v>
      </c>
      <c r="F649" s="30"/>
      <c r="G649" s="203"/>
      <c r="H649" s="107"/>
      <c r="I649" s="203"/>
      <c r="J649" s="107"/>
      <c r="K649" s="107"/>
      <c r="L649" s="203"/>
      <c r="M649" s="107"/>
    </row>
    <row r="650" spans="1:13" ht="12">
      <c r="A650" s="30">
        <v>18</v>
      </c>
      <c r="B650" s="30"/>
      <c r="C650" s="161" t="s">
        <v>378</v>
      </c>
      <c r="E650" s="30">
        <v>18</v>
      </c>
      <c r="F650" s="30"/>
      <c r="G650" s="203"/>
      <c r="H650" s="107"/>
      <c r="I650" s="203"/>
      <c r="J650" s="107"/>
      <c r="K650" s="107"/>
      <c r="L650" s="203"/>
      <c r="M650" s="107"/>
    </row>
    <row r="651" spans="1:13" ht="12">
      <c r="A651" s="30">
        <v>19</v>
      </c>
      <c r="B651" s="30"/>
      <c r="C651" s="169" t="s">
        <v>42</v>
      </c>
      <c r="E651" s="30">
        <v>19</v>
      </c>
      <c r="F651" s="30"/>
      <c r="G651" s="203"/>
      <c r="H651" s="107"/>
      <c r="I651" s="203"/>
      <c r="J651" s="107"/>
      <c r="K651" s="107"/>
      <c r="L651" s="203"/>
      <c r="M651" s="107"/>
    </row>
    <row r="652" spans="1:13" ht="12">
      <c r="A652" s="174">
        <v>20</v>
      </c>
      <c r="B652" s="174"/>
      <c r="E652" s="30">
        <v>20</v>
      </c>
      <c r="F652" s="30"/>
      <c r="G652" s="109"/>
      <c r="H652" s="109"/>
      <c r="I652" s="109"/>
      <c r="J652" s="109"/>
      <c r="K652" s="109"/>
      <c r="L652" s="109"/>
      <c r="M652" s="109"/>
    </row>
    <row r="653" spans="1:13" s="26" customFormat="1" ht="12">
      <c r="A653" s="30">
        <v>21</v>
      </c>
      <c r="B653" s="30"/>
      <c r="E653" s="30">
        <v>21</v>
      </c>
      <c r="F653" s="30"/>
      <c r="H653" s="109"/>
      <c r="I653" s="109"/>
      <c r="J653" s="78"/>
      <c r="K653" s="78"/>
      <c r="L653" s="109"/>
      <c r="M653" s="78"/>
    </row>
    <row r="654" spans="1:13" s="26" customFormat="1" ht="12">
      <c r="A654" s="30">
        <v>22</v>
      </c>
      <c r="B654" s="30"/>
      <c r="E654" s="30">
        <v>22</v>
      </c>
      <c r="F654" s="30"/>
      <c r="H654" s="109"/>
      <c r="I654" s="87"/>
      <c r="J654" s="78"/>
      <c r="K654" s="78"/>
      <c r="L654" s="87"/>
      <c r="M654" s="78"/>
    </row>
    <row r="655" spans="1:13" s="26" customFormat="1" ht="12">
      <c r="A655" s="30">
        <v>23</v>
      </c>
      <c r="B655" s="30"/>
      <c r="D655" s="100"/>
      <c r="E655" s="30">
        <v>23</v>
      </c>
      <c r="F655" s="30"/>
      <c r="H655" s="109"/>
      <c r="J655" s="78"/>
      <c r="K655" s="78"/>
      <c r="M655" s="78"/>
    </row>
    <row r="656" spans="1:13" s="26" customFormat="1" ht="12">
      <c r="A656" s="30">
        <v>24</v>
      </c>
      <c r="B656" s="30"/>
      <c r="D656" s="100"/>
      <c r="E656" s="30">
        <v>24</v>
      </c>
      <c r="F656" s="30"/>
      <c r="H656" s="109"/>
      <c r="J656" s="78"/>
      <c r="K656" s="78"/>
      <c r="M656" s="78"/>
    </row>
    <row r="657" spans="7:13" ht="12">
      <c r="G657" s="109" t="s">
        <v>1</v>
      </c>
      <c r="H657" s="109" t="s">
        <v>1</v>
      </c>
      <c r="I657" s="109" t="s">
        <v>1</v>
      </c>
      <c r="J657" s="109" t="s">
        <v>1</v>
      </c>
      <c r="K657" s="109"/>
      <c r="L657" s="109" t="s">
        <v>1</v>
      </c>
      <c r="M657" s="109" t="s">
        <v>1</v>
      </c>
    </row>
    <row r="658" spans="1:13" ht="12">
      <c r="A658" s="174">
        <v>25</v>
      </c>
      <c r="B658" s="174"/>
      <c r="C658" s="169" t="s">
        <v>389</v>
      </c>
      <c r="E658" s="174">
        <v>25</v>
      </c>
      <c r="F658" s="174"/>
      <c r="G658" s="55">
        <f>G642</f>
        <v>221</v>
      </c>
      <c r="H658" s="74">
        <f>SUM(H642:H656)</f>
        <v>20441151.399999995</v>
      </c>
      <c r="I658" s="55">
        <f>I642</f>
        <v>217.3</v>
      </c>
      <c r="J658" s="74">
        <f>SUM(J642:J656)</f>
        <v>21740665.78</v>
      </c>
      <c r="K658" s="74"/>
      <c r="L658" s="55">
        <f>L642</f>
        <v>218.39999999999998</v>
      </c>
      <c r="M658" s="78">
        <f>SUM(M642:M656)</f>
        <v>22446142</v>
      </c>
    </row>
    <row r="659" spans="5:13" ht="12">
      <c r="E659" s="184"/>
      <c r="F659" s="184"/>
      <c r="G659" s="109" t="s">
        <v>1</v>
      </c>
      <c r="H659" s="109" t="s">
        <v>1</v>
      </c>
      <c r="I659" s="109" t="s">
        <v>1</v>
      </c>
      <c r="J659" s="109" t="s">
        <v>1</v>
      </c>
      <c r="L659" s="109" t="s">
        <v>1</v>
      </c>
      <c r="M659" s="109" t="s">
        <v>1</v>
      </c>
    </row>
    <row r="661" spans="1:2" ht="12">
      <c r="A661" s="169"/>
      <c r="B661" s="169"/>
    </row>
    <row r="662" spans="1:13" ht="12">
      <c r="A662" s="223" t="s">
        <v>299</v>
      </c>
      <c r="B662" s="223"/>
      <c r="E662" s="184"/>
      <c r="F662" s="184"/>
      <c r="G662" s="178"/>
      <c r="H662" s="165"/>
      <c r="I662" s="178"/>
      <c r="J662" s="165"/>
      <c r="K662" s="178"/>
      <c r="L662" s="178"/>
      <c r="M662" s="163" t="s">
        <v>43</v>
      </c>
    </row>
    <row r="663" spans="1:13" ht="12">
      <c r="A663" s="407" t="s">
        <v>390</v>
      </c>
      <c r="B663" s="407"/>
      <c r="C663" s="407"/>
      <c r="D663" s="407"/>
      <c r="E663" s="407"/>
      <c r="F663" s="407"/>
      <c r="G663" s="407"/>
      <c r="H663" s="407"/>
      <c r="I663" s="407"/>
      <c r="J663" s="407"/>
      <c r="K663" s="407"/>
      <c r="L663" s="407"/>
      <c r="M663" s="407"/>
    </row>
    <row r="664" spans="1:13" ht="12">
      <c r="A664" s="223" t="s">
        <v>274</v>
      </c>
      <c r="B664" s="223"/>
      <c r="G664" s="178"/>
      <c r="H664" s="199"/>
      <c r="I664" s="195"/>
      <c r="J664" s="165"/>
      <c r="K664" s="178"/>
      <c r="L664" s="178"/>
      <c r="M664" s="264" t="str">
        <f>M627</f>
        <v>Date: 10/1/2009</v>
      </c>
    </row>
    <row r="665" spans="1:13" ht="12">
      <c r="A665" s="166" t="s">
        <v>1</v>
      </c>
      <c r="B665" s="166"/>
      <c r="C665" s="166" t="s">
        <v>1</v>
      </c>
      <c r="D665" s="166" t="s">
        <v>1</v>
      </c>
      <c r="E665" s="166" t="s">
        <v>1</v>
      </c>
      <c r="F665" s="166"/>
      <c r="G665" s="166" t="s">
        <v>1</v>
      </c>
      <c r="H665" s="166" t="s">
        <v>1</v>
      </c>
      <c r="I665" s="166" t="s">
        <v>1</v>
      </c>
      <c r="J665" s="166" t="s">
        <v>1</v>
      </c>
      <c r="L665" s="166" t="s">
        <v>1</v>
      </c>
      <c r="M665" s="166" t="s">
        <v>1</v>
      </c>
    </row>
    <row r="666" spans="1:13" ht="12">
      <c r="A666" s="168" t="s">
        <v>2</v>
      </c>
      <c r="B666" s="168"/>
      <c r="E666" s="168" t="s">
        <v>2</v>
      </c>
      <c r="F666" s="168"/>
      <c r="G666" s="197"/>
      <c r="H666" s="151" t="s">
        <v>240</v>
      </c>
      <c r="I666" s="170"/>
      <c r="J666" s="151" t="s">
        <v>247</v>
      </c>
      <c r="K666" s="151"/>
      <c r="L666" s="87"/>
      <c r="M666" s="151" t="s">
        <v>576</v>
      </c>
    </row>
    <row r="667" spans="1:13" ht="12">
      <c r="A667" s="168" t="s">
        <v>4</v>
      </c>
      <c r="B667" s="168"/>
      <c r="C667" s="171" t="s">
        <v>20</v>
      </c>
      <c r="E667" s="168" t="s">
        <v>4</v>
      </c>
      <c r="F667" s="168"/>
      <c r="G667" s="197" t="s">
        <v>6</v>
      </c>
      <c r="H667" s="151" t="s">
        <v>7</v>
      </c>
      <c r="I667" s="197" t="s">
        <v>6</v>
      </c>
      <c r="J667" s="151" t="s">
        <v>7</v>
      </c>
      <c r="K667" s="151"/>
      <c r="L667" s="197" t="s">
        <v>6</v>
      </c>
      <c r="M667" s="151" t="s">
        <v>8</v>
      </c>
    </row>
    <row r="668" spans="1:13" ht="12">
      <c r="A668" s="166" t="s">
        <v>1</v>
      </c>
      <c r="B668" s="166"/>
      <c r="C668" s="166" t="s">
        <v>1</v>
      </c>
      <c r="D668" s="166" t="s">
        <v>1</v>
      </c>
      <c r="E668" s="166" t="s">
        <v>1</v>
      </c>
      <c r="F668" s="166"/>
      <c r="G668" s="40" t="s">
        <v>1</v>
      </c>
      <c r="H668" s="40" t="s">
        <v>1</v>
      </c>
      <c r="I668" s="40" t="s">
        <v>1</v>
      </c>
      <c r="J668" s="40" t="s">
        <v>1</v>
      </c>
      <c r="K668" s="40"/>
      <c r="L668" s="40" t="s">
        <v>1</v>
      </c>
      <c r="M668" s="176" t="s">
        <v>1</v>
      </c>
    </row>
    <row r="669" spans="1:13" ht="12">
      <c r="A669" s="174">
        <v>1</v>
      </c>
      <c r="B669" s="174"/>
      <c r="C669" s="169" t="s">
        <v>36</v>
      </c>
      <c r="E669" s="174">
        <v>1</v>
      </c>
      <c r="F669" s="174"/>
      <c r="G669" s="203">
        <f>56+63.72</f>
        <v>119.72</v>
      </c>
      <c r="H669" s="107">
        <f>5906906.37+5095509</f>
        <v>11002415.370000001</v>
      </c>
      <c r="I669" s="203">
        <f>65+71.2</f>
        <v>136.2</v>
      </c>
      <c r="J669" s="107">
        <f>7221842.27+6165603</f>
        <v>13387445.27</v>
      </c>
      <c r="K669" s="107"/>
      <c r="L669" s="203">
        <f>64.3+60.42</f>
        <v>124.72</v>
      </c>
      <c r="M669" s="107">
        <f>7151680+5562486</f>
        <v>12714166</v>
      </c>
    </row>
    <row r="670" spans="1:13" ht="12">
      <c r="A670" s="174">
        <v>2</v>
      </c>
      <c r="B670" s="174"/>
      <c r="C670" s="169" t="s">
        <v>37</v>
      </c>
      <c r="E670" s="174">
        <v>2</v>
      </c>
      <c r="F670" s="174"/>
      <c r="G670" s="203"/>
      <c r="H670" s="107">
        <f>1599232.01+920645</f>
        <v>2519877.01</v>
      </c>
      <c r="I670" s="203"/>
      <c r="J670" s="107">
        <f>1979223.13+1166205</f>
        <v>3145428.13</v>
      </c>
      <c r="K670" s="107"/>
      <c r="L670" s="203"/>
      <c r="M670" s="107">
        <f>2116626+1310043</f>
        <v>3426669</v>
      </c>
    </row>
    <row r="671" spans="1:13" ht="12">
      <c r="A671" s="174">
        <v>3</v>
      </c>
      <c r="B671" s="174"/>
      <c r="E671" s="174">
        <v>3</v>
      </c>
      <c r="F671" s="174"/>
      <c r="G671" s="203"/>
      <c r="H671" s="107"/>
      <c r="I671" s="203"/>
      <c r="J671" s="107"/>
      <c r="K671" s="107"/>
      <c r="L671" s="203"/>
      <c r="M671" s="107"/>
    </row>
    <row r="672" spans="1:13" ht="12">
      <c r="A672" s="174">
        <v>4</v>
      </c>
      <c r="B672" s="174"/>
      <c r="C672" s="169" t="s">
        <v>23</v>
      </c>
      <c r="E672" s="174">
        <v>4</v>
      </c>
      <c r="F672" s="174"/>
      <c r="G672" s="87">
        <f>G669</f>
        <v>119.72</v>
      </c>
      <c r="H672" s="78">
        <f>SUM(H669:H670)</f>
        <v>13522292.38</v>
      </c>
      <c r="I672" s="87">
        <f>I669</f>
        <v>136.2</v>
      </c>
      <c r="J672" s="78">
        <f>SUM(J669:J670)</f>
        <v>16532873.399999999</v>
      </c>
      <c r="K672" s="78"/>
      <c r="L672" s="87">
        <f>L669</f>
        <v>124.72</v>
      </c>
      <c r="M672" s="78">
        <f>SUM(M669:M670)</f>
        <v>16140835</v>
      </c>
    </row>
    <row r="673" spans="1:13" ht="12">
      <c r="A673" s="174">
        <v>5</v>
      </c>
      <c r="B673" s="174"/>
      <c r="E673" s="174">
        <v>5</v>
      </c>
      <c r="F673" s="174"/>
      <c r="G673" s="87"/>
      <c r="H673" s="78"/>
      <c r="I673" s="87"/>
      <c r="J673" s="78"/>
      <c r="K673" s="78"/>
      <c r="L673" s="213"/>
      <c r="M673" s="78"/>
    </row>
    <row r="674" spans="1:13" ht="12">
      <c r="A674" s="174">
        <v>6</v>
      </c>
      <c r="B674" s="174"/>
      <c r="E674" s="174">
        <v>6</v>
      </c>
      <c r="F674" s="174"/>
      <c r="G674" s="87"/>
      <c r="H674" s="78"/>
      <c r="I674" s="87"/>
      <c r="J674" s="78"/>
      <c r="K674" s="78"/>
      <c r="L674" s="87"/>
      <c r="M674" s="78"/>
    </row>
    <row r="675" spans="1:13" ht="12">
      <c r="A675" s="174">
        <v>7</v>
      </c>
      <c r="B675" s="174"/>
      <c r="C675" s="169" t="s">
        <v>25</v>
      </c>
      <c r="E675" s="174">
        <v>7</v>
      </c>
      <c r="F675" s="174"/>
      <c r="G675" s="203">
        <f>142.6+107.18</f>
        <v>249.78</v>
      </c>
      <c r="H675" s="107">
        <f>7696434.86+5570373</f>
        <v>13266807.86</v>
      </c>
      <c r="I675" s="203">
        <f>152.9+91.78</f>
        <v>244.68</v>
      </c>
      <c r="J675" s="107">
        <f>8688905.08+5684934</f>
        <v>14373839.08</v>
      </c>
      <c r="K675" s="107"/>
      <c r="L675" s="203">
        <f>155.9+77.09</f>
        <v>232.99</v>
      </c>
      <c r="M675" s="107">
        <f>8856168+4562873</f>
        <v>13419041</v>
      </c>
    </row>
    <row r="676" spans="1:13" ht="12">
      <c r="A676" s="174">
        <v>8</v>
      </c>
      <c r="B676" s="174"/>
      <c r="C676" s="169" t="s">
        <v>26</v>
      </c>
      <c r="E676" s="174">
        <v>8</v>
      </c>
      <c r="F676" s="174"/>
      <c r="G676" s="203"/>
      <c r="H676" s="107">
        <f>1977100.04+1295357</f>
        <v>3272457.04</v>
      </c>
      <c r="I676" s="203"/>
      <c r="J676" s="107">
        <f>2457035.64+1370986</f>
        <v>3828021.64</v>
      </c>
      <c r="K676" s="107"/>
      <c r="L676" s="203"/>
      <c r="M676" s="107">
        <f>2730165+1036500</f>
        <v>3766665</v>
      </c>
    </row>
    <row r="677" spans="1:13" ht="12">
      <c r="A677" s="174">
        <v>9</v>
      </c>
      <c r="B677" s="174"/>
      <c r="C677" s="169" t="s">
        <v>27</v>
      </c>
      <c r="E677" s="174">
        <v>9</v>
      </c>
      <c r="F677" s="174"/>
      <c r="G677" s="87">
        <f>G675</f>
        <v>249.78</v>
      </c>
      <c r="H677" s="78">
        <f>SUM(H675:H676)</f>
        <v>16539264.899999999</v>
      </c>
      <c r="I677" s="87">
        <f>I675</f>
        <v>244.68</v>
      </c>
      <c r="J677" s="78">
        <f>SUM(J675:J676)</f>
        <v>18201860.72</v>
      </c>
      <c r="K677" s="78"/>
      <c r="L677" s="87">
        <f>L675</f>
        <v>232.99</v>
      </c>
      <c r="M677" s="78">
        <f>SUM(M675:M676)</f>
        <v>17185706</v>
      </c>
    </row>
    <row r="678" spans="1:13" ht="12">
      <c r="A678" s="174">
        <v>10</v>
      </c>
      <c r="B678" s="174"/>
      <c r="E678" s="174">
        <v>10</v>
      </c>
      <c r="F678" s="174"/>
      <c r="G678" s="26"/>
      <c r="H678" s="26"/>
      <c r="I678" s="26"/>
      <c r="J678" s="26"/>
      <c r="K678" s="26"/>
      <c r="L678" s="26"/>
      <c r="M678" s="26"/>
    </row>
    <row r="679" spans="1:13" ht="12">
      <c r="A679" s="174">
        <v>11</v>
      </c>
      <c r="B679" s="174"/>
      <c r="C679" s="169" t="s">
        <v>28</v>
      </c>
      <c r="E679" s="174">
        <v>11</v>
      </c>
      <c r="F679" s="174"/>
      <c r="G679" s="87">
        <f aca="true" t="shared" si="27" ref="G679:M679">SUM(G677,G672)</f>
        <v>369.5</v>
      </c>
      <c r="H679" s="78">
        <f t="shared" si="27"/>
        <v>30061557.28</v>
      </c>
      <c r="I679" s="87">
        <f t="shared" si="27"/>
        <v>380.88</v>
      </c>
      <c r="J679" s="78">
        <f t="shared" si="27"/>
        <v>34734734.12</v>
      </c>
      <c r="K679" s="78"/>
      <c r="L679" s="87">
        <f t="shared" si="27"/>
        <v>357.71000000000004</v>
      </c>
      <c r="M679" s="78">
        <f t="shared" si="27"/>
        <v>33326541</v>
      </c>
    </row>
    <row r="680" spans="1:13" ht="12">
      <c r="A680" s="174">
        <v>12</v>
      </c>
      <c r="B680" s="174"/>
      <c r="E680" s="174">
        <v>12</v>
      </c>
      <c r="F680" s="174"/>
      <c r="G680" s="26"/>
      <c r="H680" s="26"/>
      <c r="I680" s="26"/>
      <c r="J680" s="26"/>
      <c r="K680" s="26"/>
      <c r="L680" s="26"/>
      <c r="M680" s="26"/>
    </row>
    <row r="681" spans="1:13" ht="12">
      <c r="A681" s="174">
        <v>13</v>
      </c>
      <c r="B681" s="174"/>
      <c r="C681" s="169" t="s">
        <v>38</v>
      </c>
      <c r="E681" s="174">
        <v>13</v>
      </c>
      <c r="F681" s="174"/>
      <c r="G681" s="203">
        <f>0.029+5.6+7.11</f>
        <v>12.739</v>
      </c>
      <c r="H681" s="107">
        <f>1050+110378.8+71.4+441.52+141135</f>
        <v>253076.72</v>
      </c>
      <c r="I681" s="203">
        <f>0.8+8.6+10.09</f>
        <v>19.490000000000002</v>
      </c>
      <c r="J681" s="107">
        <f>30768+170459.19+17905.6+1875.05+199405+632</f>
        <v>421044.83999999997</v>
      </c>
      <c r="K681" s="107"/>
      <c r="L681" s="203">
        <f>1.1+9.4+6.86</f>
        <v>17.36</v>
      </c>
      <c r="M681" s="107">
        <f>310948+1990+2093+135640+15695</f>
        <v>466366</v>
      </c>
    </row>
    <row r="682" spans="1:13" ht="12">
      <c r="A682" s="174">
        <v>14</v>
      </c>
      <c r="B682" s="174"/>
      <c r="E682" s="174">
        <v>14</v>
      </c>
      <c r="F682" s="174"/>
      <c r="G682" s="203"/>
      <c r="H682" s="32"/>
      <c r="I682" s="203"/>
      <c r="J682" s="32"/>
      <c r="K682" s="32"/>
      <c r="L682" s="203"/>
      <c r="M682" s="32"/>
    </row>
    <row r="683" spans="1:13" ht="12">
      <c r="A683" s="174">
        <v>15</v>
      </c>
      <c r="B683" s="174"/>
      <c r="C683" s="169" t="s">
        <v>30</v>
      </c>
      <c r="E683" s="174">
        <v>15</v>
      </c>
      <c r="F683" s="174"/>
      <c r="G683" s="203"/>
      <c r="H683" s="107">
        <f>190300.52</f>
        <v>190300.52</v>
      </c>
      <c r="I683" s="203"/>
      <c r="J683" s="107">
        <f>188773.31</f>
        <v>188773.31</v>
      </c>
      <c r="K683" s="107"/>
      <c r="L683" s="203"/>
      <c r="M683" s="107">
        <f>185096</f>
        <v>185096</v>
      </c>
    </row>
    <row r="684" spans="1:13" ht="12">
      <c r="A684" s="30">
        <v>16</v>
      </c>
      <c r="B684" s="30"/>
      <c r="C684" s="169" t="s">
        <v>31</v>
      </c>
      <c r="E684" s="30">
        <v>16</v>
      </c>
      <c r="F684" s="30"/>
      <c r="G684" s="203"/>
      <c r="H684" s="107">
        <f>-1062862.64+6961455.66+71399.87+7057167.37-13023019</f>
        <v>4141.260000001639</v>
      </c>
      <c r="I684" s="203"/>
      <c r="J684" s="107">
        <f>-1306413.08+6569884.43+77581.86+7194585.56-14587765</f>
        <v>-2052126.2300000004</v>
      </c>
      <c r="K684" s="107"/>
      <c r="L684" s="203"/>
      <c r="M684" s="107">
        <f>12159722-12623237</f>
        <v>-463515</v>
      </c>
    </row>
    <row r="685" spans="1:13" ht="12">
      <c r="A685" s="30"/>
      <c r="B685" s="30"/>
      <c r="C685" s="169"/>
      <c r="E685" s="30"/>
      <c r="F685" s="30"/>
      <c r="G685" s="203"/>
      <c r="H685" s="107"/>
      <c r="I685" s="203"/>
      <c r="J685" s="107"/>
      <c r="K685" s="107"/>
      <c r="L685" s="203"/>
      <c r="M685" s="107"/>
    </row>
    <row r="686" spans="1:13" ht="12">
      <c r="A686" s="30">
        <v>17</v>
      </c>
      <c r="B686" s="30"/>
      <c r="C686" s="169" t="s">
        <v>377</v>
      </c>
      <c r="E686" s="30">
        <v>17</v>
      </c>
      <c r="F686" s="30"/>
      <c r="G686" s="203"/>
      <c r="H686" s="107"/>
      <c r="I686" s="203"/>
      <c r="J686" s="107"/>
      <c r="K686" s="107"/>
      <c r="L686" s="203"/>
      <c r="M686" s="107"/>
    </row>
    <row r="687" spans="1:13" ht="12">
      <c r="A687" s="30">
        <v>18</v>
      </c>
      <c r="B687" s="30"/>
      <c r="C687" s="161" t="s">
        <v>391</v>
      </c>
      <c r="E687" s="30">
        <v>18</v>
      </c>
      <c r="F687" s="30"/>
      <c r="G687" s="203"/>
      <c r="H687" s="107"/>
      <c r="I687" s="203"/>
      <c r="J687" s="107"/>
      <c r="K687" s="107"/>
      <c r="L687" s="203"/>
      <c r="M687" s="107"/>
    </row>
    <row r="688" spans="1:13" ht="12">
      <c r="A688" s="30">
        <v>19</v>
      </c>
      <c r="B688" s="30"/>
      <c r="C688" s="169" t="s">
        <v>42</v>
      </c>
      <c r="E688" s="30">
        <v>19</v>
      </c>
      <c r="F688" s="30"/>
      <c r="G688" s="203"/>
      <c r="H688" s="107"/>
      <c r="I688" s="203"/>
      <c r="J688" s="107"/>
      <c r="K688" s="107"/>
      <c r="L688" s="203"/>
      <c r="M688" s="107"/>
    </row>
    <row r="689" spans="1:13" ht="12">
      <c r="A689" s="174">
        <v>20</v>
      </c>
      <c r="B689" s="174"/>
      <c r="E689" s="30">
        <v>20</v>
      </c>
      <c r="F689" s="30"/>
      <c r="G689" s="109"/>
      <c r="H689" s="109"/>
      <c r="I689" s="109"/>
      <c r="J689" s="109"/>
      <c r="K689" s="109"/>
      <c r="L689" s="109"/>
      <c r="M689" s="109"/>
    </row>
    <row r="690" spans="1:13" s="26" customFormat="1" ht="12">
      <c r="A690" s="30">
        <v>21</v>
      </c>
      <c r="B690" s="30"/>
      <c r="E690" s="30">
        <v>21</v>
      </c>
      <c r="F690" s="30"/>
      <c r="H690" s="109"/>
      <c r="I690" s="109"/>
      <c r="J690" s="78"/>
      <c r="K690" s="78"/>
      <c r="L690" s="109"/>
      <c r="M690" s="78"/>
    </row>
    <row r="691" spans="1:13" s="26" customFormat="1" ht="12">
      <c r="A691" s="30">
        <v>22</v>
      </c>
      <c r="B691" s="30"/>
      <c r="E691" s="30">
        <v>22</v>
      </c>
      <c r="F691" s="30"/>
      <c r="H691" s="109"/>
      <c r="I691" s="87"/>
      <c r="J691" s="78"/>
      <c r="K691" s="78"/>
      <c r="L691" s="87"/>
      <c r="M691" s="78"/>
    </row>
    <row r="692" spans="1:13" s="26" customFormat="1" ht="12">
      <c r="A692" s="30">
        <v>23</v>
      </c>
      <c r="B692" s="30"/>
      <c r="D692" s="100"/>
      <c r="E692" s="30">
        <v>23</v>
      </c>
      <c r="F692" s="30"/>
      <c r="H692" s="109"/>
      <c r="J692" s="78"/>
      <c r="K692" s="78"/>
      <c r="M692" s="78"/>
    </row>
    <row r="693" spans="1:13" s="26" customFormat="1" ht="12">
      <c r="A693" s="30">
        <v>24</v>
      </c>
      <c r="B693" s="30"/>
      <c r="D693" s="100"/>
      <c r="E693" s="30">
        <v>24</v>
      </c>
      <c r="F693" s="30"/>
      <c r="H693" s="109"/>
      <c r="J693" s="78"/>
      <c r="K693" s="78"/>
      <c r="M693" s="78"/>
    </row>
    <row r="694" spans="7:13" ht="12">
      <c r="G694" s="109" t="s">
        <v>1</v>
      </c>
      <c r="H694" s="109" t="s">
        <v>1</v>
      </c>
      <c r="I694" s="109" t="s">
        <v>1</v>
      </c>
      <c r="J694" s="109" t="s">
        <v>1</v>
      </c>
      <c r="K694" s="109"/>
      <c r="L694" s="109" t="s">
        <v>1</v>
      </c>
      <c r="M694" s="109" t="s">
        <v>1</v>
      </c>
    </row>
    <row r="695" spans="1:13" ht="12">
      <c r="A695" s="174">
        <v>25</v>
      </c>
      <c r="B695" s="174"/>
      <c r="C695" s="169" t="s">
        <v>392</v>
      </c>
      <c r="E695" s="174">
        <v>25</v>
      </c>
      <c r="F695" s="174"/>
      <c r="G695" s="55">
        <f>G679</f>
        <v>369.5</v>
      </c>
      <c r="H695" s="74">
        <f>SUM(H679:H693)</f>
        <v>30509075.78</v>
      </c>
      <c r="I695" s="55">
        <f>I679</f>
        <v>380.88</v>
      </c>
      <c r="J695" s="74">
        <f>SUM(J679:J693)</f>
        <v>33292426.040000003</v>
      </c>
      <c r="K695" s="74"/>
      <c r="L695" s="55">
        <f>L679</f>
        <v>357.71000000000004</v>
      </c>
      <c r="M695" s="78">
        <f>SUM(M679:M693)</f>
        <v>33514488</v>
      </c>
    </row>
    <row r="696" spans="5:13" ht="12">
      <c r="E696" s="184"/>
      <c r="F696" s="184"/>
      <c r="G696" s="109" t="s">
        <v>1</v>
      </c>
      <c r="H696" s="109" t="s">
        <v>1</v>
      </c>
      <c r="I696" s="109" t="s">
        <v>1</v>
      </c>
      <c r="J696" s="109" t="s">
        <v>1</v>
      </c>
      <c r="L696" s="109" t="s">
        <v>1</v>
      </c>
      <c r="M696" s="109" t="s">
        <v>1</v>
      </c>
    </row>
    <row r="697" spans="1:2" ht="12">
      <c r="A697" s="169"/>
      <c r="B697" s="169"/>
    </row>
    <row r="699" spans="1:13" ht="12">
      <c r="A699" s="223" t="s">
        <v>299</v>
      </c>
      <c r="B699" s="223"/>
      <c r="E699" s="184"/>
      <c r="F699" s="184"/>
      <c r="G699" s="178"/>
      <c r="H699" s="165"/>
      <c r="I699" s="178"/>
      <c r="J699" s="165"/>
      <c r="K699" s="178"/>
      <c r="L699" s="178"/>
      <c r="M699" s="163" t="s">
        <v>44</v>
      </c>
    </row>
    <row r="700" spans="1:13" ht="12">
      <c r="A700" s="407" t="s">
        <v>153</v>
      </c>
      <c r="B700" s="407"/>
      <c r="C700" s="407"/>
      <c r="D700" s="407"/>
      <c r="E700" s="407"/>
      <c r="F700" s="407"/>
      <c r="G700" s="407"/>
      <c r="H700" s="407"/>
      <c r="I700" s="407"/>
      <c r="J700" s="407"/>
      <c r="K700" s="407"/>
      <c r="L700" s="407"/>
      <c r="M700" s="407"/>
    </row>
    <row r="701" spans="1:13" ht="12">
      <c r="A701" s="223" t="s">
        <v>274</v>
      </c>
      <c r="B701" s="223"/>
      <c r="G701" s="199"/>
      <c r="H701" s="195"/>
      <c r="I701" s="195"/>
      <c r="J701" s="196"/>
      <c r="K701" s="178"/>
      <c r="L701" s="178"/>
      <c r="M701" s="264" t="str">
        <f>M664</f>
        <v>Date: 10/1/2009</v>
      </c>
    </row>
    <row r="702" spans="1:13" ht="12">
      <c r="A702" s="166" t="s">
        <v>1</v>
      </c>
      <c r="B702" s="166"/>
      <c r="C702" s="166" t="s">
        <v>1</v>
      </c>
      <c r="D702" s="166" t="s">
        <v>1</v>
      </c>
      <c r="E702" s="166" t="s">
        <v>1</v>
      </c>
      <c r="F702" s="166"/>
      <c r="G702" s="166" t="s">
        <v>1</v>
      </c>
      <c r="H702" s="166" t="s">
        <v>1</v>
      </c>
      <c r="I702" s="166" t="s">
        <v>1</v>
      </c>
      <c r="J702" s="166" t="s">
        <v>1</v>
      </c>
      <c r="K702" s="166" t="s">
        <v>1</v>
      </c>
      <c r="L702" s="166"/>
      <c r="M702" s="166" t="s">
        <v>1</v>
      </c>
    </row>
    <row r="703" spans="1:13" ht="12">
      <c r="A703" s="168" t="s">
        <v>2</v>
      </c>
      <c r="B703" s="168"/>
      <c r="E703" s="168" t="s">
        <v>2</v>
      </c>
      <c r="F703" s="168"/>
      <c r="G703" s="197"/>
      <c r="H703" s="151" t="s">
        <v>240</v>
      </c>
      <c r="I703" s="170"/>
      <c r="J703" s="151" t="s">
        <v>247</v>
      </c>
      <c r="K703" s="151"/>
      <c r="L703" s="87"/>
      <c r="M703" s="151" t="s">
        <v>576</v>
      </c>
    </row>
    <row r="704" spans="1:13" ht="12">
      <c r="A704" s="168" t="s">
        <v>4</v>
      </c>
      <c r="B704" s="168"/>
      <c r="C704" s="171" t="s">
        <v>20</v>
      </c>
      <c r="E704" s="168" t="s">
        <v>4</v>
      </c>
      <c r="F704" s="168"/>
      <c r="G704" s="197" t="s">
        <v>6</v>
      </c>
      <c r="H704" s="151" t="s">
        <v>7</v>
      </c>
      <c r="I704" s="164" t="s">
        <v>6</v>
      </c>
      <c r="J704" s="173" t="s">
        <v>7</v>
      </c>
      <c r="K704" s="173"/>
      <c r="L704" s="164" t="s">
        <v>6</v>
      </c>
      <c r="M704" s="173" t="s">
        <v>8</v>
      </c>
    </row>
    <row r="705" spans="1:13" ht="12">
      <c r="A705" s="166" t="s">
        <v>1</v>
      </c>
      <c r="B705" s="166"/>
      <c r="C705" s="166" t="s">
        <v>1</v>
      </c>
      <c r="D705" s="166" t="s">
        <v>1</v>
      </c>
      <c r="E705" s="166" t="s">
        <v>1</v>
      </c>
      <c r="F705" s="166"/>
      <c r="G705" s="40" t="s">
        <v>1</v>
      </c>
      <c r="H705" s="40" t="s">
        <v>1</v>
      </c>
      <c r="I705" s="166" t="s">
        <v>1</v>
      </c>
      <c r="J705" s="166" t="s">
        <v>1</v>
      </c>
      <c r="K705" s="166"/>
      <c r="L705" s="166" t="s">
        <v>1</v>
      </c>
      <c r="M705" s="177" t="s">
        <v>1</v>
      </c>
    </row>
    <row r="706" spans="1:13" ht="12">
      <c r="A706" s="174">
        <v>1</v>
      </c>
      <c r="B706" s="174"/>
      <c r="C706" s="169" t="s">
        <v>36</v>
      </c>
      <c r="E706" s="174">
        <v>1</v>
      </c>
      <c r="F706" s="174"/>
      <c r="G706" s="209">
        <f>8.1</f>
        <v>8.1</v>
      </c>
      <c r="H706" s="210">
        <f>961820.53</f>
        <v>961820.53</v>
      </c>
      <c r="I706" s="209">
        <f>10.1</f>
        <v>10.1</v>
      </c>
      <c r="J706" s="210">
        <f>1256547.7</f>
        <v>1256547.7</v>
      </c>
      <c r="K706" s="210"/>
      <c r="L706" s="209">
        <f>9.8</f>
        <v>9.8</v>
      </c>
      <c r="M706" s="210">
        <f>1222543</f>
        <v>1222543</v>
      </c>
    </row>
    <row r="707" spans="1:13" ht="12">
      <c r="A707" s="174">
        <v>2</v>
      </c>
      <c r="B707" s="174"/>
      <c r="C707" s="169" t="s">
        <v>37</v>
      </c>
      <c r="E707" s="174">
        <v>2</v>
      </c>
      <c r="F707" s="174"/>
      <c r="G707" s="209"/>
      <c r="H707" s="210">
        <f>275051.19</f>
        <v>275051.19</v>
      </c>
      <c r="I707" s="209"/>
      <c r="J707" s="210">
        <f>347409.53</f>
        <v>347409.53</v>
      </c>
      <c r="K707" s="210"/>
      <c r="L707" s="209"/>
      <c r="M707" s="210">
        <f>347975</f>
        <v>347975</v>
      </c>
    </row>
    <row r="708" spans="1:13" ht="12">
      <c r="A708" s="174">
        <v>3</v>
      </c>
      <c r="B708" s="174"/>
      <c r="E708" s="174">
        <v>3</v>
      </c>
      <c r="F708" s="174"/>
      <c r="G708" s="209"/>
      <c r="H708" s="210"/>
      <c r="I708" s="209"/>
      <c r="J708" s="210"/>
      <c r="K708" s="210"/>
      <c r="L708" s="212"/>
      <c r="M708" s="210"/>
    </row>
    <row r="709" spans="1:13" ht="12">
      <c r="A709" s="174">
        <v>4</v>
      </c>
      <c r="B709" s="174"/>
      <c r="C709" s="169" t="s">
        <v>23</v>
      </c>
      <c r="E709" s="174">
        <v>4</v>
      </c>
      <c r="F709" s="174"/>
      <c r="G709" s="162">
        <f>G706</f>
        <v>8.1</v>
      </c>
      <c r="H709" s="165">
        <f>SUM(H706:H707)</f>
        <v>1236871.72</v>
      </c>
      <c r="I709" s="162">
        <f>I706</f>
        <v>10.1</v>
      </c>
      <c r="J709" s="165">
        <f>SUM(J706:J707)</f>
        <v>1603957.23</v>
      </c>
      <c r="K709" s="165"/>
      <c r="L709" s="162">
        <f>L706</f>
        <v>9.8</v>
      </c>
      <c r="M709" s="165">
        <f>SUM(M706:M707)</f>
        <v>1570518</v>
      </c>
    </row>
    <row r="710" spans="1:13" ht="12">
      <c r="A710" s="174">
        <v>5</v>
      </c>
      <c r="B710" s="174"/>
      <c r="E710" s="174">
        <v>5</v>
      </c>
      <c r="F710" s="174"/>
      <c r="G710" s="162"/>
      <c r="H710" s="165"/>
      <c r="I710" s="162"/>
      <c r="J710" s="165"/>
      <c r="K710" s="165"/>
      <c r="L710" s="211"/>
      <c r="M710" s="165"/>
    </row>
    <row r="711" spans="1:13" ht="12">
      <c r="A711" s="174">
        <v>6</v>
      </c>
      <c r="B711" s="174"/>
      <c r="E711" s="174">
        <v>6</v>
      </c>
      <c r="F711" s="174"/>
      <c r="G711" s="162"/>
      <c r="H711" s="165"/>
      <c r="I711" s="162"/>
      <c r="J711" s="165"/>
      <c r="K711" s="165"/>
      <c r="L711" s="162"/>
      <c r="M711" s="165"/>
    </row>
    <row r="712" spans="1:13" ht="12">
      <c r="A712" s="174">
        <v>7</v>
      </c>
      <c r="B712" s="174"/>
      <c r="C712" s="169" t="s">
        <v>25</v>
      </c>
      <c r="E712" s="174">
        <v>7</v>
      </c>
      <c r="F712" s="174"/>
      <c r="G712" s="209">
        <f>401.6</f>
        <v>401.6</v>
      </c>
      <c r="H712" s="210">
        <f>18845101.66</f>
        <v>18845101.66</v>
      </c>
      <c r="I712" s="209">
        <f>402.1</f>
        <v>402.1</v>
      </c>
      <c r="J712" s="210">
        <f>19868994.83</f>
        <v>19868994.83</v>
      </c>
      <c r="K712" s="210"/>
      <c r="L712" s="209">
        <f>401</f>
        <v>401</v>
      </c>
      <c r="M712" s="210">
        <f>19815393</f>
        <v>19815393</v>
      </c>
    </row>
    <row r="713" spans="1:13" ht="12">
      <c r="A713" s="174">
        <v>8</v>
      </c>
      <c r="B713" s="174"/>
      <c r="C713" s="169" t="s">
        <v>26</v>
      </c>
      <c r="E713" s="174">
        <v>8</v>
      </c>
      <c r="F713" s="174"/>
      <c r="G713" s="209"/>
      <c r="H713" s="210">
        <f>4842922.22</f>
        <v>4842922.22</v>
      </c>
      <c r="I713" s="209"/>
      <c r="J713" s="210">
        <f>5470644.29</f>
        <v>5470644.29</v>
      </c>
      <c r="K713" s="210"/>
      <c r="L713" s="209"/>
      <c r="M713" s="210">
        <f>5625387</f>
        <v>5625387</v>
      </c>
    </row>
    <row r="714" spans="1:13" ht="12">
      <c r="A714" s="174">
        <v>9</v>
      </c>
      <c r="B714" s="174"/>
      <c r="C714" s="169" t="s">
        <v>27</v>
      </c>
      <c r="E714" s="174">
        <v>9</v>
      </c>
      <c r="F714" s="174"/>
      <c r="G714" s="162">
        <f>G712</f>
        <v>401.6</v>
      </c>
      <c r="H714" s="165">
        <f>SUM(H712:H713)</f>
        <v>23688023.88</v>
      </c>
      <c r="I714" s="162">
        <f>I712</f>
        <v>402.1</v>
      </c>
      <c r="J714" s="165">
        <f>SUM(J712:J713)</f>
        <v>25339639.119999997</v>
      </c>
      <c r="K714" s="165"/>
      <c r="L714" s="162">
        <f>L712</f>
        <v>401</v>
      </c>
      <c r="M714" s="165">
        <f>SUM(M712:M713)</f>
        <v>25440780</v>
      </c>
    </row>
    <row r="715" spans="1:13" ht="12">
      <c r="A715" s="174">
        <v>10</v>
      </c>
      <c r="B715" s="174"/>
      <c r="E715" s="174">
        <v>10</v>
      </c>
      <c r="F715" s="174"/>
      <c r="G715" s="162"/>
      <c r="H715" s="165"/>
      <c r="I715" s="162"/>
      <c r="J715" s="165"/>
      <c r="K715" s="165"/>
      <c r="L715" s="162"/>
      <c r="M715" s="165"/>
    </row>
    <row r="716" spans="1:13" ht="12">
      <c r="A716" s="174">
        <v>11</v>
      </c>
      <c r="B716" s="174"/>
      <c r="C716" s="169" t="s">
        <v>28</v>
      </c>
      <c r="E716" s="174">
        <v>11</v>
      </c>
      <c r="F716" s="174"/>
      <c r="G716" s="162">
        <f aca="true" t="shared" si="28" ref="G716:M716">SUM(G714,G709)</f>
        <v>409.70000000000005</v>
      </c>
      <c r="H716" s="165">
        <f t="shared" si="28"/>
        <v>24924895.599999998</v>
      </c>
      <c r="I716" s="162">
        <f t="shared" si="28"/>
        <v>412.20000000000005</v>
      </c>
      <c r="J716" s="165">
        <f t="shared" si="28"/>
        <v>26943596.349999998</v>
      </c>
      <c r="K716" s="165"/>
      <c r="L716" s="162">
        <f t="shared" si="28"/>
        <v>410.8</v>
      </c>
      <c r="M716" s="165">
        <f t="shared" si="28"/>
        <v>27011298</v>
      </c>
    </row>
    <row r="717" spans="1:6" ht="12">
      <c r="A717" s="174">
        <v>12</v>
      </c>
      <c r="B717" s="174"/>
      <c r="E717" s="174">
        <v>12</v>
      </c>
      <c r="F717" s="174"/>
    </row>
    <row r="718" spans="1:13" ht="12">
      <c r="A718" s="174">
        <v>13</v>
      </c>
      <c r="B718" s="174"/>
      <c r="C718" s="169" t="s">
        <v>38</v>
      </c>
      <c r="E718" s="174">
        <v>13</v>
      </c>
      <c r="F718" s="174"/>
      <c r="G718" s="209">
        <f>29.4</f>
        <v>29.4</v>
      </c>
      <c r="H718" s="210">
        <f>584166.48</f>
        <v>584166.48</v>
      </c>
      <c r="I718" s="209">
        <f>0+30.9</f>
        <v>30.9</v>
      </c>
      <c r="J718" s="210">
        <f>618278.96</f>
        <v>618278.96</v>
      </c>
      <c r="K718" s="210"/>
      <c r="L718" s="209">
        <f>34.4</f>
        <v>34.4</v>
      </c>
      <c r="M718" s="210">
        <f>685695</f>
        <v>685695</v>
      </c>
    </row>
    <row r="719" spans="1:13" ht="12">
      <c r="A719" s="174"/>
      <c r="B719" s="174"/>
      <c r="C719" s="169"/>
      <c r="E719" s="174"/>
      <c r="F719" s="174"/>
      <c r="G719" s="209"/>
      <c r="H719" s="210"/>
      <c r="I719" s="209"/>
      <c r="J719" s="210"/>
      <c r="K719" s="210"/>
      <c r="L719" s="209"/>
      <c r="M719" s="210"/>
    </row>
    <row r="720" spans="1:13" ht="12">
      <c r="A720" s="30">
        <v>14</v>
      </c>
      <c r="B720" s="30"/>
      <c r="C720" s="169" t="s">
        <v>46</v>
      </c>
      <c r="E720" s="174">
        <v>14</v>
      </c>
      <c r="F720" s="174"/>
      <c r="G720" s="209"/>
      <c r="H720" s="210">
        <f>2846757.5</f>
        <v>2846757.5</v>
      </c>
      <c r="I720" s="209"/>
      <c r="J720" s="210">
        <f>3854507.45</f>
        <v>3854507.45</v>
      </c>
      <c r="K720" s="210"/>
      <c r="L720" s="209"/>
      <c r="M720" s="210">
        <f>3946515</f>
        <v>3946515</v>
      </c>
    </row>
    <row r="721" spans="1:13" ht="12">
      <c r="A721" s="30">
        <v>15</v>
      </c>
      <c r="B721" s="30"/>
      <c r="C721" s="169" t="s">
        <v>30</v>
      </c>
      <c r="E721" s="174">
        <v>15</v>
      </c>
      <c r="F721" s="174"/>
      <c r="G721" s="209"/>
      <c r="H721" s="210">
        <f>101355.29</f>
        <v>101355.29</v>
      </c>
      <c r="I721" s="209"/>
      <c r="J721" s="210">
        <f>106701.21</f>
        <v>106701.21</v>
      </c>
      <c r="K721" s="210"/>
      <c r="L721" s="209"/>
      <c r="M721" s="210">
        <f>101992</f>
        <v>101992</v>
      </c>
    </row>
    <row r="722" spans="1:13" ht="12">
      <c r="A722" s="30">
        <v>16</v>
      </c>
      <c r="B722" s="30"/>
      <c r="C722" s="169" t="s">
        <v>45</v>
      </c>
      <c r="E722" s="174">
        <v>16</v>
      </c>
      <c r="F722" s="174"/>
      <c r="G722" s="209"/>
      <c r="H722" s="210">
        <f>17087918.86</f>
        <v>17087918.86</v>
      </c>
      <c r="I722" s="209"/>
      <c r="J722" s="210">
        <f>16591943.84</f>
        <v>16591943.84</v>
      </c>
      <c r="K722" s="210"/>
      <c r="L722" s="209"/>
      <c r="M722" s="210">
        <f>19556285</f>
        <v>19556285</v>
      </c>
    </row>
    <row r="723" spans="1:13" ht="12">
      <c r="A723" s="30">
        <v>17</v>
      </c>
      <c r="B723" s="30"/>
      <c r="C723" s="169" t="s">
        <v>31</v>
      </c>
      <c r="E723" s="174">
        <v>17</v>
      </c>
      <c r="F723" s="174"/>
      <c r="G723" s="209"/>
      <c r="H723" s="210">
        <f>-75436.07-H720</f>
        <v>-2922193.57</v>
      </c>
      <c r="I723" s="209"/>
      <c r="J723" s="210">
        <f>5863986.63-J720</f>
        <v>2009479.1799999997</v>
      </c>
      <c r="K723" s="210"/>
      <c r="L723" s="209"/>
      <c r="M723" s="210">
        <f>5996496-M720</f>
        <v>2049981</v>
      </c>
    </row>
    <row r="724" spans="1:13" ht="12">
      <c r="A724" s="30"/>
      <c r="B724" s="30"/>
      <c r="C724" s="169"/>
      <c r="E724" s="174"/>
      <c r="F724" s="174"/>
      <c r="G724" s="209"/>
      <c r="H724" s="210"/>
      <c r="I724" s="209"/>
      <c r="J724" s="210"/>
      <c r="K724" s="210"/>
      <c r="L724" s="209"/>
      <c r="M724" s="210"/>
    </row>
    <row r="725" spans="1:13" ht="12">
      <c r="A725" s="30">
        <v>18</v>
      </c>
      <c r="B725" s="30"/>
      <c r="C725" s="169" t="s">
        <v>32</v>
      </c>
      <c r="E725" s="30">
        <v>18</v>
      </c>
      <c r="F725" s="30"/>
      <c r="G725" s="209"/>
      <c r="H725" s="210"/>
      <c r="I725" s="209"/>
      <c r="J725" s="210"/>
      <c r="K725" s="210"/>
      <c r="L725" s="209"/>
      <c r="M725" s="210"/>
    </row>
    <row r="726" spans="1:13" ht="12">
      <c r="A726" s="30">
        <v>19</v>
      </c>
      <c r="B726" s="30"/>
      <c r="C726" s="161" t="s">
        <v>42</v>
      </c>
      <c r="E726" s="30">
        <v>19</v>
      </c>
      <c r="F726" s="30"/>
      <c r="G726" s="209"/>
      <c r="H726" s="210"/>
      <c r="I726" s="209"/>
      <c r="J726" s="210"/>
      <c r="K726" s="210"/>
      <c r="L726" s="209"/>
      <c r="M726" s="210"/>
    </row>
    <row r="727" spans="1:13" ht="12">
      <c r="A727" s="174">
        <v>20</v>
      </c>
      <c r="B727" s="174"/>
      <c r="E727" s="30">
        <v>20</v>
      </c>
      <c r="F727" s="30"/>
      <c r="G727" s="109"/>
      <c r="H727" s="109"/>
      <c r="I727" s="167"/>
      <c r="J727" s="167"/>
      <c r="K727" s="167"/>
      <c r="L727" s="167"/>
      <c r="M727" s="167"/>
    </row>
    <row r="728" spans="1:13" ht="12">
      <c r="A728" s="174">
        <v>21</v>
      </c>
      <c r="B728" s="174"/>
      <c r="E728" s="174">
        <v>21</v>
      </c>
      <c r="F728" s="174"/>
      <c r="G728" s="109"/>
      <c r="H728" s="109"/>
      <c r="I728" s="167"/>
      <c r="J728" s="167"/>
      <c r="K728" s="167"/>
      <c r="L728" s="167"/>
      <c r="M728" s="167"/>
    </row>
    <row r="729" spans="1:13" ht="12">
      <c r="A729" s="174">
        <v>22</v>
      </c>
      <c r="B729" s="174"/>
      <c r="E729" s="174">
        <v>22</v>
      </c>
      <c r="F729" s="174"/>
      <c r="G729" s="109"/>
      <c r="H729" s="109"/>
      <c r="I729" s="167"/>
      <c r="J729" s="167"/>
      <c r="K729" s="167"/>
      <c r="L729" s="167"/>
      <c r="M729" s="167"/>
    </row>
    <row r="730" spans="1:13" ht="12">
      <c r="A730" s="174">
        <v>23</v>
      </c>
      <c r="B730" s="174"/>
      <c r="E730" s="174">
        <v>23</v>
      </c>
      <c r="F730" s="174"/>
      <c r="G730" s="109"/>
      <c r="H730" s="109"/>
      <c r="I730" s="167"/>
      <c r="J730" s="167"/>
      <c r="K730" s="167"/>
      <c r="L730" s="167"/>
      <c r="M730" s="167"/>
    </row>
    <row r="731" spans="1:13" ht="12">
      <c r="A731" s="174">
        <v>24</v>
      </c>
      <c r="B731" s="174"/>
      <c r="E731" s="174">
        <v>24</v>
      </c>
      <c r="F731" s="174"/>
      <c r="G731" s="109"/>
      <c r="H731" s="109"/>
      <c r="I731" s="167"/>
      <c r="J731" s="167"/>
      <c r="K731" s="167"/>
      <c r="L731" s="167"/>
      <c r="M731" s="167"/>
    </row>
    <row r="732" spans="1:13" s="26" customFormat="1" ht="12">
      <c r="A732" s="30"/>
      <c r="B732" s="30"/>
      <c r="D732" s="100"/>
      <c r="E732" s="30"/>
      <c r="F732" s="30"/>
      <c r="G732" s="109" t="s">
        <v>1</v>
      </c>
      <c r="H732" s="109" t="s">
        <v>1</v>
      </c>
      <c r="I732" s="167" t="s">
        <v>1</v>
      </c>
      <c r="J732" s="167" t="s">
        <v>1</v>
      </c>
      <c r="K732" s="167"/>
      <c r="L732" s="167" t="s">
        <v>1</v>
      </c>
      <c r="M732" s="167" t="s">
        <v>1</v>
      </c>
    </row>
    <row r="733" spans="1:13" ht="12">
      <c r="A733" s="174">
        <v>25</v>
      </c>
      <c r="B733" s="174"/>
      <c r="C733" s="169" t="s">
        <v>393</v>
      </c>
      <c r="E733" s="174">
        <v>25</v>
      </c>
      <c r="F733" s="174"/>
      <c r="G733" s="179">
        <f>G716</f>
        <v>409.70000000000005</v>
      </c>
      <c r="H733" s="191">
        <f>SUM(H716:H732)</f>
        <v>42622900.16</v>
      </c>
      <c r="I733" s="179">
        <f>I716</f>
        <v>412.20000000000005</v>
      </c>
      <c r="J733" s="191">
        <f>SUM(J716:J732)</f>
        <v>50124506.99</v>
      </c>
      <c r="K733" s="191"/>
      <c r="L733" s="179">
        <f>L716</f>
        <v>410.8</v>
      </c>
      <c r="M733" s="165">
        <f>SUM(M716:M732)</f>
        <v>53351766</v>
      </c>
    </row>
    <row r="734" spans="1:13" ht="12">
      <c r="A734" s="174"/>
      <c r="B734" s="174"/>
      <c r="C734" s="169" t="s">
        <v>394</v>
      </c>
      <c r="E734" s="174"/>
      <c r="F734" s="174"/>
      <c r="G734" s="109" t="s">
        <v>1</v>
      </c>
      <c r="H734" s="109" t="s">
        <v>1</v>
      </c>
      <c r="I734" s="167" t="s">
        <v>1</v>
      </c>
      <c r="J734" s="167" t="s">
        <v>1</v>
      </c>
      <c r="L734" s="167" t="s">
        <v>1</v>
      </c>
      <c r="M734" s="167" t="s">
        <v>1</v>
      </c>
    </row>
    <row r="735" spans="1:13" ht="12">
      <c r="A735" s="174"/>
      <c r="B735" s="174"/>
      <c r="C735" s="169"/>
      <c r="E735" s="174"/>
      <c r="F735" s="174"/>
      <c r="G735" s="179"/>
      <c r="H735" s="191"/>
      <c r="I735" s="179"/>
      <c r="J735" s="191"/>
      <c r="K735" s="179"/>
      <c r="L735" s="179"/>
      <c r="M735" s="165"/>
    </row>
    <row r="736" spans="1:13" ht="12">
      <c r="A736" s="174" t="s">
        <v>395</v>
      </c>
      <c r="B736" s="174"/>
      <c r="C736" s="169"/>
      <c r="E736" s="174"/>
      <c r="F736" s="174"/>
      <c r="G736" s="179"/>
      <c r="H736" s="191"/>
      <c r="I736" s="179"/>
      <c r="J736" s="191"/>
      <c r="K736" s="179"/>
      <c r="L736" s="179"/>
      <c r="M736" s="165"/>
    </row>
    <row r="737" spans="1:13" ht="12">
      <c r="A737" s="174"/>
      <c r="B737" s="174"/>
      <c r="C737" s="169"/>
      <c r="E737" s="174"/>
      <c r="F737" s="174"/>
      <c r="G737" s="179"/>
      <c r="H737" s="191"/>
      <c r="I737" s="179"/>
      <c r="J737" s="191"/>
      <c r="K737" s="179"/>
      <c r="L737" s="179"/>
      <c r="M737" s="165"/>
    </row>
    <row r="738" spans="1:13" ht="12">
      <c r="A738" s="223" t="s">
        <v>299</v>
      </c>
      <c r="B738" s="223"/>
      <c r="E738" s="184"/>
      <c r="F738" s="184"/>
      <c r="G738" s="178"/>
      <c r="H738" s="165"/>
      <c r="I738" s="178"/>
      <c r="J738" s="165"/>
      <c r="K738" s="178"/>
      <c r="L738" s="178"/>
      <c r="M738" s="163" t="s">
        <v>44</v>
      </c>
    </row>
    <row r="739" spans="1:13" ht="12">
      <c r="A739" s="407" t="s">
        <v>396</v>
      </c>
      <c r="B739" s="407"/>
      <c r="C739" s="407"/>
      <c r="D739" s="407"/>
      <c r="E739" s="407"/>
      <c r="F739" s="407"/>
      <c r="G739" s="407"/>
      <c r="H739" s="407"/>
      <c r="I739" s="407"/>
      <c r="J739" s="407"/>
      <c r="K739" s="407"/>
      <c r="L739" s="407"/>
      <c r="M739" s="407"/>
    </row>
    <row r="740" spans="1:13" ht="12">
      <c r="A740" s="223" t="s">
        <v>274</v>
      </c>
      <c r="B740" s="223"/>
      <c r="G740" s="199"/>
      <c r="H740" s="195"/>
      <c r="I740" s="195"/>
      <c r="J740" s="196"/>
      <c r="K740" s="178"/>
      <c r="L740" s="178"/>
      <c r="M740" s="264" t="str">
        <f>M701</f>
        <v>Date: 10/1/2009</v>
      </c>
    </row>
    <row r="741" spans="1:13" ht="12">
      <c r="A741" s="166" t="s">
        <v>1</v>
      </c>
      <c r="B741" s="166"/>
      <c r="C741" s="166" t="s">
        <v>1</v>
      </c>
      <c r="D741" s="166" t="s">
        <v>1</v>
      </c>
      <c r="E741" s="166" t="s">
        <v>1</v>
      </c>
      <c r="F741" s="166"/>
      <c r="G741" s="166" t="s">
        <v>1</v>
      </c>
      <c r="H741" s="166" t="s">
        <v>1</v>
      </c>
      <c r="I741" s="166" t="s">
        <v>1</v>
      </c>
      <c r="J741" s="166" t="s">
        <v>1</v>
      </c>
      <c r="K741" s="166" t="s">
        <v>1</v>
      </c>
      <c r="L741" s="166"/>
      <c r="M741" s="166" t="s">
        <v>1</v>
      </c>
    </row>
    <row r="742" spans="1:13" ht="12">
      <c r="A742" s="168" t="s">
        <v>2</v>
      </c>
      <c r="B742" s="168"/>
      <c r="E742" s="168" t="s">
        <v>2</v>
      </c>
      <c r="F742" s="168"/>
      <c r="G742" s="197"/>
      <c r="H742" s="151" t="s">
        <v>240</v>
      </c>
      <c r="I742" s="170"/>
      <c r="J742" s="151" t="s">
        <v>247</v>
      </c>
      <c r="K742" s="151"/>
      <c r="L742" s="87"/>
      <c r="M742" s="151" t="s">
        <v>576</v>
      </c>
    </row>
    <row r="743" spans="1:13" ht="12">
      <c r="A743" s="168" t="s">
        <v>4</v>
      </c>
      <c r="B743" s="168"/>
      <c r="C743" s="171" t="s">
        <v>20</v>
      </c>
      <c r="E743" s="168" t="s">
        <v>4</v>
      </c>
      <c r="F743" s="168"/>
      <c r="G743" s="197" t="s">
        <v>6</v>
      </c>
      <c r="H743" s="151" t="s">
        <v>7</v>
      </c>
      <c r="I743" s="164" t="s">
        <v>6</v>
      </c>
      <c r="J743" s="173" t="s">
        <v>7</v>
      </c>
      <c r="K743" s="173"/>
      <c r="L743" s="164" t="s">
        <v>6</v>
      </c>
      <c r="M743" s="173" t="s">
        <v>8</v>
      </c>
    </row>
    <row r="744" spans="1:13" ht="12">
      <c r="A744" s="166" t="s">
        <v>1</v>
      </c>
      <c r="B744" s="166"/>
      <c r="C744" s="166" t="s">
        <v>1</v>
      </c>
      <c r="D744" s="166" t="s">
        <v>1</v>
      </c>
      <c r="E744" s="166" t="s">
        <v>1</v>
      </c>
      <c r="F744" s="166"/>
      <c r="G744" s="40" t="s">
        <v>1</v>
      </c>
      <c r="H744" s="40" t="s">
        <v>1</v>
      </c>
      <c r="I744" s="166" t="s">
        <v>1</v>
      </c>
      <c r="J744" s="166" t="s">
        <v>1</v>
      </c>
      <c r="K744" s="166"/>
      <c r="L744" s="166" t="s">
        <v>1</v>
      </c>
      <c r="M744" s="177" t="s">
        <v>1</v>
      </c>
    </row>
    <row r="745" spans="1:13" ht="12">
      <c r="A745" s="174"/>
      <c r="B745" s="174"/>
      <c r="C745" s="169"/>
      <c r="E745" s="174"/>
      <c r="F745" s="174"/>
      <c r="G745" s="179"/>
      <c r="H745" s="191"/>
      <c r="I745" s="179"/>
      <c r="J745" s="191"/>
      <c r="K745" s="191"/>
      <c r="L745" s="179"/>
      <c r="M745" s="165"/>
    </row>
    <row r="746" spans="1:6" ht="12">
      <c r="A746" s="174">
        <v>26</v>
      </c>
      <c r="B746" s="174"/>
      <c r="C746" s="169" t="s">
        <v>47</v>
      </c>
      <c r="E746" s="174">
        <v>26</v>
      </c>
      <c r="F746" s="174"/>
    </row>
    <row r="747" spans="1:6" ht="12">
      <c r="A747" s="174"/>
      <c r="B747" s="174"/>
      <c r="C747" s="169"/>
      <c r="E747" s="174"/>
      <c r="F747" s="174"/>
    </row>
    <row r="748" spans="1:13" ht="12">
      <c r="A748" s="174">
        <v>27</v>
      </c>
      <c r="B748" s="174"/>
      <c r="C748" s="169" t="s">
        <v>48</v>
      </c>
      <c r="E748" s="174">
        <v>27</v>
      </c>
      <c r="F748" s="174"/>
      <c r="G748" s="24"/>
      <c r="H748" s="210">
        <f>5040764</f>
        <v>5040764</v>
      </c>
      <c r="I748" s="210"/>
      <c r="J748" s="210">
        <f>H767</f>
        <v>5009847</v>
      </c>
      <c r="K748" s="210"/>
      <c r="L748" s="210"/>
      <c r="M748" s="210">
        <f>J767</f>
        <v>5009847</v>
      </c>
    </row>
    <row r="749" spans="1:13" ht="12">
      <c r="A749" s="174"/>
      <c r="B749" s="174"/>
      <c r="C749" s="169"/>
      <c r="E749" s="174"/>
      <c r="F749" s="174"/>
      <c r="G749" s="24"/>
      <c r="H749" s="210"/>
      <c r="I749" s="210"/>
      <c r="J749" s="210"/>
      <c r="K749" s="210"/>
      <c r="L749" s="210"/>
      <c r="M749" s="210"/>
    </row>
    <row r="750" spans="1:13" ht="12">
      <c r="A750" s="161">
        <v>28</v>
      </c>
      <c r="C750" s="169" t="s">
        <v>397</v>
      </c>
      <c r="E750" s="161">
        <v>28</v>
      </c>
      <c r="G750" s="24"/>
      <c r="H750" s="210"/>
      <c r="I750" s="210"/>
      <c r="J750" s="210"/>
      <c r="K750" s="210"/>
      <c r="L750" s="210"/>
      <c r="M750" s="210"/>
    </row>
    <row r="751" spans="1:13" ht="12">
      <c r="A751" s="174">
        <v>29</v>
      </c>
      <c r="B751" s="174"/>
      <c r="C751" s="26" t="s">
        <v>398</v>
      </c>
      <c r="E751" s="174">
        <v>29</v>
      </c>
      <c r="F751" s="174"/>
      <c r="G751" s="24"/>
      <c r="H751" s="210">
        <v>67887</v>
      </c>
      <c r="I751" s="210"/>
      <c r="L751" s="210"/>
      <c r="M751" s="210"/>
    </row>
    <row r="752" spans="1:12" ht="12">
      <c r="A752" s="174">
        <v>30</v>
      </c>
      <c r="B752" s="174"/>
      <c r="C752" s="26" t="s">
        <v>399</v>
      </c>
      <c r="E752" s="174">
        <v>30</v>
      </c>
      <c r="F752" s="174"/>
      <c r="G752" s="24"/>
      <c r="H752" s="180">
        <v>1516</v>
      </c>
      <c r="I752" s="210"/>
      <c r="J752" s="210"/>
      <c r="K752" s="210"/>
      <c r="L752" s="210"/>
    </row>
    <row r="753" spans="1:13" ht="12">
      <c r="A753" s="174">
        <v>31</v>
      </c>
      <c r="B753" s="174"/>
      <c r="C753" s="26" t="s">
        <v>634</v>
      </c>
      <c r="E753" s="174">
        <v>31</v>
      </c>
      <c r="F753" s="174"/>
      <c r="G753" s="24"/>
      <c r="H753" s="210"/>
      <c r="I753" s="210"/>
      <c r="J753" s="210"/>
      <c r="K753" s="210"/>
      <c r="L753" s="210"/>
      <c r="M753" s="210">
        <f>184512</f>
        <v>184512</v>
      </c>
    </row>
    <row r="754" spans="1:13" ht="12">
      <c r="A754" s="174">
        <v>32</v>
      </c>
      <c r="B754" s="174"/>
      <c r="C754" s="26" t="s">
        <v>635</v>
      </c>
      <c r="E754" s="174">
        <v>32</v>
      </c>
      <c r="F754" s="174"/>
      <c r="G754" s="24"/>
      <c r="I754" s="210"/>
      <c r="J754" s="210"/>
      <c r="K754" s="210"/>
      <c r="L754" s="210"/>
      <c r="M754" s="210">
        <v>8009</v>
      </c>
    </row>
    <row r="755" spans="1:13" ht="12">
      <c r="A755" s="174">
        <v>33</v>
      </c>
      <c r="B755" s="174"/>
      <c r="C755" s="26"/>
      <c r="E755" s="174">
        <v>33</v>
      </c>
      <c r="F755" s="174"/>
      <c r="G755" s="24"/>
      <c r="H755" s="210"/>
      <c r="I755" s="210"/>
      <c r="J755" s="210"/>
      <c r="K755" s="210"/>
      <c r="L755" s="210"/>
      <c r="M755" s="210"/>
    </row>
    <row r="756" spans="1:13" ht="12">
      <c r="A756" s="174">
        <v>34</v>
      </c>
      <c r="B756" s="174"/>
      <c r="C756" s="26"/>
      <c r="E756" s="174">
        <v>34</v>
      </c>
      <c r="F756" s="174"/>
      <c r="G756" s="24"/>
      <c r="H756" s="210"/>
      <c r="I756" s="210"/>
      <c r="J756" s="210"/>
      <c r="K756" s="210"/>
      <c r="L756" s="210"/>
      <c r="M756" s="210"/>
    </row>
    <row r="757" spans="1:13" ht="12">
      <c r="A757" s="174">
        <v>35</v>
      </c>
      <c r="B757" s="174"/>
      <c r="C757" s="26"/>
      <c r="E757" s="174">
        <v>35</v>
      </c>
      <c r="F757" s="174"/>
      <c r="G757" s="24"/>
      <c r="I757" s="210"/>
      <c r="L757" s="210"/>
      <c r="M757" s="210"/>
    </row>
    <row r="758" spans="1:13" ht="12">
      <c r="A758" s="174"/>
      <c r="B758" s="174"/>
      <c r="C758" s="26"/>
      <c r="E758" s="174"/>
      <c r="F758" s="174"/>
      <c r="G758" s="24"/>
      <c r="I758" s="210"/>
      <c r="L758" s="210"/>
      <c r="M758" s="210"/>
    </row>
    <row r="759" spans="1:13" ht="12">
      <c r="A759" s="174"/>
      <c r="B759" s="174"/>
      <c r="C759" s="26"/>
      <c r="E759" s="174"/>
      <c r="F759" s="174"/>
      <c r="G759" s="24"/>
      <c r="I759" s="210"/>
      <c r="L759" s="210"/>
      <c r="M759" s="210"/>
    </row>
    <row r="760" spans="1:13" ht="12">
      <c r="A760" s="174"/>
      <c r="B760" s="174"/>
      <c r="C760" s="26"/>
      <c r="E760" s="174"/>
      <c r="F760" s="174"/>
      <c r="G760" s="24"/>
      <c r="I760" s="210"/>
      <c r="L760" s="210"/>
      <c r="M760" s="210"/>
    </row>
    <row r="761" spans="1:7" ht="12">
      <c r="A761" s="161">
        <v>36</v>
      </c>
      <c r="C761" s="31" t="s">
        <v>400</v>
      </c>
      <c r="E761" s="161">
        <v>36</v>
      </c>
      <c r="G761" s="24"/>
    </row>
    <row r="762" spans="1:13" ht="12">
      <c r="A762" s="174">
        <v>37</v>
      </c>
      <c r="B762" s="174"/>
      <c r="C762" s="26" t="s">
        <v>401</v>
      </c>
      <c r="E762" s="174">
        <v>37</v>
      </c>
      <c r="F762" s="174"/>
      <c r="G762" s="24"/>
      <c r="H762" s="210">
        <v>-100320</v>
      </c>
      <c r="I762" s="210"/>
      <c r="J762" s="210"/>
      <c r="K762" s="210"/>
      <c r="L762" s="210"/>
      <c r="M762" s="210"/>
    </row>
    <row r="763" spans="1:13" ht="12">
      <c r="A763" s="174">
        <v>38</v>
      </c>
      <c r="B763" s="174"/>
      <c r="C763" s="377"/>
      <c r="E763" s="174">
        <v>38</v>
      </c>
      <c r="F763" s="174"/>
      <c r="G763" s="24"/>
      <c r="I763" s="210"/>
      <c r="J763" s="210"/>
      <c r="K763" s="210"/>
      <c r="L763" s="210"/>
      <c r="M763" s="210"/>
    </row>
    <row r="764" spans="1:13" ht="12">
      <c r="A764" s="174"/>
      <c r="B764" s="174"/>
      <c r="C764" s="377"/>
      <c r="E764" s="174"/>
      <c r="F764" s="174"/>
      <c r="G764" s="24"/>
      <c r="H764" s="210"/>
      <c r="I764" s="210"/>
      <c r="J764" s="210"/>
      <c r="K764" s="210"/>
      <c r="L764" s="210"/>
      <c r="M764" s="210"/>
    </row>
    <row r="765" spans="1:13" ht="12">
      <c r="A765" s="174"/>
      <c r="B765" s="174"/>
      <c r="C765" s="377"/>
      <c r="E765" s="174"/>
      <c r="F765" s="174"/>
      <c r="G765" s="24"/>
      <c r="H765" s="210"/>
      <c r="I765" s="210"/>
      <c r="J765" s="210"/>
      <c r="K765" s="210"/>
      <c r="L765" s="210"/>
      <c r="M765" s="210"/>
    </row>
    <row r="766" spans="1:13" ht="12">
      <c r="A766" s="174"/>
      <c r="B766" s="174"/>
      <c r="C766" s="377"/>
      <c r="E766" s="174"/>
      <c r="F766" s="174"/>
      <c r="G766" s="24"/>
      <c r="H766" s="210"/>
      <c r="I766" s="210"/>
      <c r="J766" s="210"/>
      <c r="K766" s="210"/>
      <c r="L766" s="210"/>
      <c r="M766" s="210"/>
    </row>
    <row r="767" spans="1:13" ht="12">
      <c r="A767" s="174">
        <v>39</v>
      </c>
      <c r="B767" s="174"/>
      <c r="C767" s="169" t="s">
        <v>402</v>
      </c>
      <c r="E767" s="174">
        <v>39</v>
      </c>
      <c r="F767" s="174"/>
      <c r="G767" s="24"/>
      <c r="H767" s="165">
        <f>SUM(H748:H766)</f>
        <v>5009847</v>
      </c>
      <c r="I767" s="165"/>
      <c r="J767" s="165">
        <f>SUM(J748:J766)</f>
        <v>5009847</v>
      </c>
      <c r="K767" s="165"/>
      <c r="L767" s="165"/>
      <c r="M767" s="165">
        <f>SUM(M748:M766)</f>
        <v>5202368</v>
      </c>
    </row>
    <row r="768" spans="1:13" ht="12">
      <c r="A768" s="174"/>
      <c r="B768" s="174"/>
      <c r="C768" s="169"/>
      <c r="E768" s="174"/>
      <c r="F768" s="174"/>
      <c r="G768" s="24"/>
      <c r="H768" s="165"/>
      <c r="I768" s="165"/>
      <c r="J768" s="165"/>
      <c r="K768" s="165"/>
      <c r="L768" s="165"/>
      <c r="M768" s="165"/>
    </row>
    <row r="769" spans="1:13" ht="12">
      <c r="A769" s="174">
        <v>40</v>
      </c>
      <c r="B769" s="174"/>
      <c r="C769" s="169" t="s">
        <v>52</v>
      </c>
      <c r="E769" s="174">
        <v>40</v>
      </c>
      <c r="F769" s="174"/>
      <c r="G769" s="24"/>
      <c r="H769" s="210">
        <v>258</v>
      </c>
      <c r="I769" s="165"/>
      <c r="J769" s="210">
        <v>258</v>
      </c>
      <c r="K769" s="210"/>
      <c r="L769" s="165"/>
      <c r="M769" s="210">
        <v>258</v>
      </c>
    </row>
    <row r="770" spans="1:13" ht="12">
      <c r="A770" s="174"/>
      <c r="B770" s="174"/>
      <c r="C770" s="169"/>
      <c r="E770" s="174"/>
      <c r="F770" s="174"/>
      <c r="G770" s="24"/>
      <c r="H770" s="210"/>
      <c r="I770" s="165"/>
      <c r="J770" s="210"/>
      <c r="K770" s="165"/>
      <c r="L770" s="165"/>
      <c r="M770" s="210"/>
    </row>
    <row r="771" spans="1:13" ht="12">
      <c r="A771" s="174"/>
      <c r="B771" s="174"/>
      <c r="C771" s="169"/>
      <c r="E771" s="174"/>
      <c r="F771" s="174"/>
      <c r="G771" s="24"/>
      <c r="H771" s="210"/>
      <c r="I771" s="165"/>
      <c r="J771" s="210"/>
      <c r="K771" s="165"/>
      <c r="L771" s="165"/>
      <c r="M771" s="210"/>
    </row>
    <row r="772" spans="1:13" ht="12">
      <c r="A772" s="223" t="s">
        <v>299</v>
      </c>
      <c r="B772" s="223"/>
      <c r="E772" s="184"/>
      <c r="F772" s="184"/>
      <c r="G772" s="178"/>
      <c r="H772" s="165"/>
      <c r="I772" s="178"/>
      <c r="J772" s="165"/>
      <c r="K772" s="178"/>
      <c r="L772" s="178"/>
      <c r="M772" s="163" t="s">
        <v>53</v>
      </c>
    </row>
    <row r="773" spans="1:13" ht="12">
      <c r="A773" s="407" t="s">
        <v>403</v>
      </c>
      <c r="B773" s="407"/>
      <c r="C773" s="407"/>
      <c r="D773" s="407"/>
      <c r="E773" s="407"/>
      <c r="F773" s="407"/>
      <c r="G773" s="407"/>
      <c r="H773" s="407"/>
      <c r="I773" s="407"/>
      <c r="J773" s="407"/>
      <c r="K773" s="407"/>
      <c r="L773" s="407"/>
      <c r="M773" s="407"/>
    </row>
    <row r="774" spans="1:13" ht="12">
      <c r="A774" s="223" t="s">
        <v>274</v>
      </c>
      <c r="B774" s="223"/>
      <c r="G774" s="178"/>
      <c r="H774" s="199"/>
      <c r="I774" s="195"/>
      <c r="J774" s="196"/>
      <c r="K774" s="178"/>
      <c r="L774" s="178"/>
      <c r="M774" s="264" t="str">
        <f>M740</f>
        <v>Date: 10/1/2009</v>
      </c>
    </row>
    <row r="775" spans="1:13" ht="12">
      <c r="A775" s="166" t="s">
        <v>1</v>
      </c>
      <c r="B775" s="166"/>
      <c r="C775" s="166" t="s">
        <v>1</v>
      </c>
      <c r="D775" s="166" t="s">
        <v>1</v>
      </c>
      <c r="E775" s="166" t="s">
        <v>1</v>
      </c>
      <c r="F775" s="166"/>
      <c r="G775" s="166" t="s">
        <v>1</v>
      </c>
      <c r="H775" s="166" t="s">
        <v>1</v>
      </c>
      <c r="I775" s="166" t="s">
        <v>1</v>
      </c>
      <c r="J775" s="166" t="s">
        <v>1</v>
      </c>
      <c r="K775" s="166" t="s">
        <v>1</v>
      </c>
      <c r="L775" s="166"/>
      <c r="M775" s="166" t="s">
        <v>1</v>
      </c>
    </row>
    <row r="776" spans="1:13" ht="12">
      <c r="A776" s="168" t="s">
        <v>2</v>
      </c>
      <c r="B776" s="168"/>
      <c r="E776" s="168" t="s">
        <v>2</v>
      </c>
      <c r="F776" s="168"/>
      <c r="G776" s="24"/>
      <c r="H776" s="151" t="s">
        <v>238</v>
      </c>
      <c r="I776" s="87"/>
      <c r="J776" s="151" t="s">
        <v>240</v>
      </c>
      <c r="K776" s="87"/>
      <c r="L776" s="87"/>
      <c r="M776" s="151" t="s">
        <v>247</v>
      </c>
    </row>
    <row r="777" spans="1:13" ht="12">
      <c r="A777" s="168" t="s">
        <v>4</v>
      </c>
      <c r="B777" s="168"/>
      <c r="C777" s="171" t="s">
        <v>20</v>
      </c>
      <c r="E777" s="168" t="s">
        <v>4</v>
      </c>
      <c r="F777" s="168"/>
      <c r="G777" s="178"/>
      <c r="H777" s="151" t="s">
        <v>7</v>
      </c>
      <c r="I777" s="24"/>
      <c r="J777" s="151" t="s">
        <v>7</v>
      </c>
      <c r="K777" s="24"/>
      <c r="L777" s="24"/>
      <c r="M777" s="151" t="s">
        <v>8</v>
      </c>
    </row>
    <row r="778" spans="1:13" ht="12">
      <c r="A778" s="166" t="s">
        <v>1</v>
      </c>
      <c r="B778" s="166"/>
      <c r="C778" s="166" t="s">
        <v>1</v>
      </c>
      <c r="D778" s="166" t="s">
        <v>1</v>
      </c>
      <c r="E778" s="166" t="s">
        <v>1</v>
      </c>
      <c r="F778" s="166"/>
      <c r="G778" s="166" t="s">
        <v>1</v>
      </c>
      <c r="H778" s="40" t="s">
        <v>1</v>
      </c>
      <c r="I778" s="40" t="s">
        <v>1</v>
      </c>
      <c r="J778" s="40" t="s">
        <v>1</v>
      </c>
      <c r="K778" s="40" t="s">
        <v>1</v>
      </c>
      <c r="L778" s="40"/>
      <c r="M778" s="176" t="s">
        <v>1</v>
      </c>
    </row>
    <row r="779" spans="1:13" ht="12">
      <c r="A779" s="174">
        <v>1</v>
      </c>
      <c r="B779" s="174"/>
      <c r="C779" s="169" t="s">
        <v>633</v>
      </c>
      <c r="E779" s="174">
        <v>1</v>
      </c>
      <c r="F779" s="174"/>
      <c r="G779" s="162"/>
      <c r="H779" s="192">
        <f>30120682.11</f>
        <v>30120682.11</v>
      </c>
      <c r="I779" s="215"/>
      <c r="J779" s="192">
        <f>35746154.85</f>
        <v>35746154.85</v>
      </c>
      <c r="K779" s="192"/>
      <c r="L779" s="203"/>
      <c r="M779" s="107">
        <f>38225361</f>
        <v>38225361</v>
      </c>
    </row>
    <row r="780" spans="1:13" ht="12">
      <c r="A780" s="174">
        <f aca="true" t="shared" si="29" ref="A780:A797">(A779+1)</f>
        <v>2</v>
      </c>
      <c r="B780" s="174"/>
      <c r="C780" s="375"/>
      <c r="E780" s="174">
        <f aca="true" t="shared" si="30" ref="E780:E797">(E779+1)</f>
        <v>2</v>
      </c>
      <c r="F780" s="174"/>
      <c r="G780" s="162"/>
      <c r="H780" s="373"/>
      <c r="I780" s="376"/>
      <c r="J780" s="373"/>
      <c r="K780" s="373"/>
      <c r="L780" s="376"/>
      <c r="M780" s="373"/>
    </row>
    <row r="781" spans="1:13" ht="12">
      <c r="A781" s="174">
        <f t="shared" si="29"/>
        <v>3</v>
      </c>
      <c r="B781" s="174"/>
      <c r="E781" s="174">
        <f t="shared" si="30"/>
        <v>3</v>
      </c>
      <c r="F781" s="174"/>
      <c r="G781" s="162"/>
      <c r="H781" s="373"/>
      <c r="I781" s="376"/>
      <c r="J781" s="192"/>
      <c r="K781" s="192"/>
      <c r="L781" s="376"/>
      <c r="M781" s="373"/>
    </row>
    <row r="782" spans="1:13" ht="12">
      <c r="A782" s="174">
        <f t="shared" si="29"/>
        <v>4</v>
      </c>
      <c r="B782" s="174"/>
      <c r="C782" s="375"/>
      <c r="E782" s="174">
        <f t="shared" si="30"/>
        <v>4</v>
      </c>
      <c r="F782" s="174"/>
      <c r="G782" s="162"/>
      <c r="H782" s="373"/>
      <c r="I782" s="376"/>
      <c r="J782" s="376"/>
      <c r="K782" s="376"/>
      <c r="L782" s="376"/>
      <c r="M782" s="373"/>
    </row>
    <row r="783" spans="1:13" ht="12">
      <c r="A783" s="174">
        <f t="shared" si="29"/>
        <v>5</v>
      </c>
      <c r="B783" s="174"/>
      <c r="C783" s="375"/>
      <c r="E783" s="174">
        <f t="shared" si="30"/>
        <v>5</v>
      </c>
      <c r="F783" s="174"/>
      <c r="G783" s="162"/>
      <c r="H783" s="373"/>
      <c r="I783" s="376"/>
      <c r="J783" s="215"/>
      <c r="K783" s="215"/>
      <c r="L783" s="376"/>
      <c r="M783" s="373"/>
    </row>
    <row r="784" spans="1:13" ht="12">
      <c r="A784" s="174">
        <f t="shared" si="29"/>
        <v>6</v>
      </c>
      <c r="B784" s="174"/>
      <c r="E784" s="174">
        <f t="shared" si="30"/>
        <v>6</v>
      </c>
      <c r="F784" s="174"/>
      <c r="G784" s="162"/>
      <c r="H784" s="373"/>
      <c r="I784" s="376"/>
      <c r="L784" s="376"/>
      <c r="M784" s="373"/>
    </row>
    <row r="785" spans="1:13" ht="12">
      <c r="A785" s="174">
        <f t="shared" si="29"/>
        <v>7</v>
      </c>
      <c r="B785" s="174"/>
      <c r="C785" s="375"/>
      <c r="E785" s="174">
        <f t="shared" si="30"/>
        <v>7</v>
      </c>
      <c r="F785" s="174"/>
      <c r="G785" s="162"/>
      <c r="H785" s="373"/>
      <c r="I785" s="376"/>
      <c r="J785" s="373"/>
      <c r="K785" s="373"/>
      <c r="L785" s="376"/>
      <c r="M785" s="373"/>
    </row>
    <row r="786" spans="1:13" ht="12">
      <c r="A786" s="174">
        <f t="shared" si="29"/>
        <v>8</v>
      </c>
      <c r="B786" s="174"/>
      <c r="C786" s="375"/>
      <c r="E786" s="174">
        <f t="shared" si="30"/>
        <v>8</v>
      </c>
      <c r="F786" s="174"/>
      <c r="G786" s="162"/>
      <c r="H786" s="373"/>
      <c r="I786" s="376"/>
      <c r="J786" s="373"/>
      <c r="K786" s="373"/>
      <c r="L786" s="376"/>
      <c r="M786" s="373"/>
    </row>
    <row r="787" spans="1:13" ht="12">
      <c r="A787" s="174">
        <f t="shared" si="29"/>
        <v>9</v>
      </c>
      <c r="B787" s="174"/>
      <c r="C787" s="375"/>
      <c r="E787" s="174">
        <f t="shared" si="30"/>
        <v>9</v>
      </c>
      <c r="F787" s="174"/>
      <c r="G787" s="162"/>
      <c r="H787" s="373"/>
      <c r="I787" s="376"/>
      <c r="J787" s="373"/>
      <c r="K787" s="373"/>
      <c r="L787" s="376"/>
      <c r="M787" s="373"/>
    </row>
    <row r="788" spans="1:13" ht="12">
      <c r="A788" s="174">
        <f t="shared" si="29"/>
        <v>10</v>
      </c>
      <c r="B788" s="174"/>
      <c r="C788" s="375"/>
      <c r="E788" s="174">
        <f t="shared" si="30"/>
        <v>10</v>
      </c>
      <c r="F788" s="174"/>
      <c r="G788" s="162"/>
      <c r="H788" s="373"/>
      <c r="I788" s="376"/>
      <c r="J788" s="373"/>
      <c r="K788" s="373"/>
      <c r="L788" s="376"/>
      <c r="M788" s="373"/>
    </row>
    <row r="789" spans="1:13" ht="12">
      <c r="A789" s="174">
        <f t="shared" si="29"/>
        <v>11</v>
      </c>
      <c r="B789" s="174"/>
      <c r="C789" s="375"/>
      <c r="E789" s="174">
        <f t="shared" si="30"/>
        <v>11</v>
      </c>
      <c r="F789" s="174"/>
      <c r="G789" s="162"/>
      <c r="H789" s="373"/>
      <c r="I789" s="376"/>
      <c r="J789" s="373"/>
      <c r="K789" s="373"/>
      <c r="L789" s="376"/>
      <c r="M789" s="373"/>
    </row>
    <row r="790" spans="1:13" ht="12">
      <c r="A790" s="174">
        <f t="shared" si="29"/>
        <v>12</v>
      </c>
      <c r="B790" s="174"/>
      <c r="C790" s="375"/>
      <c r="E790" s="174">
        <f t="shared" si="30"/>
        <v>12</v>
      </c>
      <c r="F790" s="174"/>
      <c r="G790" s="162"/>
      <c r="H790" s="373"/>
      <c r="I790" s="376"/>
      <c r="J790" s="373"/>
      <c r="K790" s="373"/>
      <c r="L790" s="376"/>
      <c r="M790" s="373"/>
    </row>
    <row r="791" spans="1:13" ht="12">
      <c r="A791" s="174">
        <f t="shared" si="29"/>
        <v>13</v>
      </c>
      <c r="B791" s="174"/>
      <c r="C791" s="375"/>
      <c r="E791" s="174">
        <f t="shared" si="30"/>
        <v>13</v>
      </c>
      <c r="F791" s="174"/>
      <c r="G791" s="162"/>
      <c r="H791" s="373"/>
      <c r="I791" s="376"/>
      <c r="J791" s="373"/>
      <c r="K791" s="373"/>
      <c r="L791" s="376"/>
      <c r="M791" s="373"/>
    </row>
    <row r="792" spans="1:13" ht="12">
      <c r="A792" s="174">
        <f t="shared" si="29"/>
        <v>14</v>
      </c>
      <c r="B792" s="174"/>
      <c r="C792" s="375"/>
      <c r="E792" s="174">
        <f t="shared" si="30"/>
        <v>14</v>
      </c>
      <c r="F792" s="174"/>
      <c r="G792" s="162"/>
      <c r="H792" s="373"/>
      <c r="I792" s="376"/>
      <c r="J792" s="373"/>
      <c r="K792" s="373"/>
      <c r="L792" s="376"/>
      <c r="M792" s="373"/>
    </row>
    <row r="793" spans="1:13" ht="12">
      <c r="A793" s="174">
        <f t="shared" si="29"/>
        <v>15</v>
      </c>
      <c r="B793" s="174"/>
      <c r="C793" s="375"/>
      <c r="E793" s="174">
        <f t="shared" si="30"/>
        <v>15</v>
      </c>
      <c r="F793" s="174"/>
      <c r="G793" s="162"/>
      <c r="H793" s="373"/>
      <c r="I793" s="376"/>
      <c r="J793" s="373"/>
      <c r="K793" s="373"/>
      <c r="L793" s="376"/>
      <c r="M793" s="373"/>
    </row>
    <row r="794" spans="1:13" ht="12">
      <c r="A794" s="174">
        <f t="shared" si="29"/>
        <v>16</v>
      </c>
      <c r="B794" s="174"/>
      <c r="C794" s="375"/>
      <c r="E794" s="174">
        <f t="shared" si="30"/>
        <v>16</v>
      </c>
      <c r="F794" s="174"/>
      <c r="G794" s="162"/>
      <c r="H794" s="373"/>
      <c r="I794" s="376"/>
      <c r="J794" s="373"/>
      <c r="K794" s="373"/>
      <c r="L794" s="376"/>
      <c r="M794" s="373"/>
    </row>
    <row r="795" spans="1:13" ht="12">
      <c r="A795" s="174">
        <f t="shared" si="29"/>
        <v>17</v>
      </c>
      <c r="B795" s="174"/>
      <c r="C795" s="375"/>
      <c r="E795" s="174">
        <f t="shared" si="30"/>
        <v>17</v>
      </c>
      <c r="F795" s="174"/>
      <c r="G795" s="162"/>
      <c r="H795" s="373"/>
      <c r="I795" s="376"/>
      <c r="J795" s="373"/>
      <c r="K795" s="373"/>
      <c r="L795" s="376"/>
      <c r="M795" s="373"/>
    </row>
    <row r="796" spans="1:13" ht="12">
      <c r="A796" s="174">
        <f t="shared" si="29"/>
        <v>18</v>
      </c>
      <c r="B796" s="174"/>
      <c r="C796" s="375"/>
      <c r="E796" s="174">
        <f t="shared" si="30"/>
        <v>18</v>
      </c>
      <c r="F796" s="174"/>
      <c r="G796" s="162"/>
      <c r="H796" s="373"/>
      <c r="I796" s="376"/>
      <c r="J796" s="373"/>
      <c r="K796" s="373"/>
      <c r="L796" s="376"/>
      <c r="M796" s="373"/>
    </row>
    <row r="797" spans="1:13" ht="12">
      <c r="A797" s="174">
        <f t="shared" si="29"/>
        <v>19</v>
      </c>
      <c r="B797" s="174"/>
      <c r="C797" s="375"/>
      <c r="E797" s="174">
        <f t="shared" si="30"/>
        <v>19</v>
      </c>
      <c r="F797" s="174"/>
      <c r="G797" s="162"/>
      <c r="H797" s="373"/>
      <c r="I797" s="376"/>
      <c r="J797" s="373"/>
      <c r="K797" s="373"/>
      <c r="L797" s="376"/>
      <c r="M797" s="373"/>
    </row>
    <row r="798" spans="1:13" ht="12">
      <c r="A798" s="174">
        <v>20</v>
      </c>
      <c r="B798" s="174"/>
      <c r="E798" s="174">
        <v>20</v>
      </c>
      <c r="F798" s="174"/>
      <c r="G798" s="109"/>
      <c r="H798" s="109"/>
      <c r="I798" s="109"/>
      <c r="J798" s="109"/>
      <c r="K798" s="109"/>
      <c r="L798" s="109"/>
      <c r="M798" s="109"/>
    </row>
    <row r="799" spans="1:13" s="26" customFormat="1" ht="12">
      <c r="A799" s="30">
        <v>21</v>
      </c>
      <c r="B799" s="30"/>
      <c r="E799" s="30">
        <v>21</v>
      </c>
      <c r="F799" s="30"/>
      <c r="H799" s="109"/>
      <c r="I799" s="109"/>
      <c r="J799" s="78"/>
      <c r="K799" s="78"/>
      <c r="L799" s="109"/>
      <c r="M799" s="78"/>
    </row>
    <row r="800" spans="1:13" s="26" customFormat="1" ht="12">
      <c r="A800" s="30">
        <v>22</v>
      </c>
      <c r="B800" s="30"/>
      <c r="E800" s="30">
        <v>22</v>
      </c>
      <c r="F800" s="30"/>
      <c r="H800" s="109"/>
      <c r="I800" s="87"/>
      <c r="J800" s="78"/>
      <c r="K800" s="78"/>
      <c r="L800" s="87"/>
      <c r="M800" s="78"/>
    </row>
    <row r="801" spans="1:13" s="26" customFormat="1" ht="12">
      <c r="A801" s="30">
        <v>23</v>
      </c>
      <c r="B801" s="30"/>
      <c r="D801" s="100"/>
      <c r="E801" s="30">
        <v>23</v>
      </c>
      <c r="F801" s="30"/>
      <c r="H801" s="109"/>
      <c r="J801" s="78"/>
      <c r="K801" s="78"/>
      <c r="M801" s="78"/>
    </row>
    <row r="802" spans="1:13" s="26" customFormat="1" ht="12">
      <c r="A802" s="30">
        <v>24</v>
      </c>
      <c r="B802" s="30"/>
      <c r="D802" s="100"/>
      <c r="E802" s="30">
        <v>24</v>
      </c>
      <c r="F802" s="30"/>
      <c r="H802" s="109"/>
      <c r="J802" s="78"/>
      <c r="K802" s="78"/>
      <c r="M802" s="78"/>
    </row>
    <row r="803" spans="7:13" ht="12">
      <c r="G803" s="109" t="s">
        <v>1</v>
      </c>
      <c r="H803" s="109" t="s">
        <v>1</v>
      </c>
      <c r="I803" s="109" t="s">
        <v>1</v>
      </c>
      <c r="J803" s="109" t="s">
        <v>1</v>
      </c>
      <c r="K803" s="109"/>
      <c r="L803" s="109" t="s">
        <v>1</v>
      </c>
      <c r="M803" s="109" t="s">
        <v>1</v>
      </c>
    </row>
    <row r="804" spans="1:13" ht="12">
      <c r="A804" s="174">
        <v>25</v>
      </c>
      <c r="B804" s="174"/>
      <c r="C804" s="169" t="s">
        <v>404</v>
      </c>
      <c r="E804" s="174">
        <v>25</v>
      </c>
      <c r="F804" s="174"/>
      <c r="G804" s="24"/>
      <c r="H804" s="78">
        <f>SUM(H779:H802)</f>
        <v>30120682.11</v>
      </c>
      <c r="I804" s="24"/>
      <c r="J804" s="78">
        <f>SUM(J779:J802)</f>
        <v>35746154.85</v>
      </c>
      <c r="K804" s="78"/>
      <c r="L804" s="24"/>
      <c r="M804" s="78">
        <f>SUM(M779:M802)</f>
        <v>38225361</v>
      </c>
    </row>
    <row r="805" spans="4:13" ht="12">
      <c r="D805" s="216"/>
      <c r="E805" s="184"/>
      <c r="F805" s="184"/>
      <c r="G805" s="109" t="s">
        <v>1</v>
      </c>
      <c r="H805" s="109" t="s">
        <v>1</v>
      </c>
      <c r="I805" s="109" t="s">
        <v>1</v>
      </c>
      <c r="J805" s="109" t="s">
        <v>1</v>
      </c>
      <c r="K805" s="109" t="s">
        <v>1</v>
      </c>
      <c r="L805" s="109"/>
      <c r="M805" s="109" t="s">
        <v>1</v>
      </c>
    </row>
    <row r="806" spans="4:13" ht="12">
      <c r="D806" s="216"/>
      <c r="E806" s="184"/>
      <c r="F806" s="184"/>
      <c r="G806" s="109"/>
      <c r="H806" s="109"/>
      <c r="I806" s="109"/>
      <c r="J806" s="109"/>
      <c r="K806" s="109"/>
      <c r="L806" s="109"/>
      <c r="M806" s="109"/>
    </row>
    <row r="807" spans="5:13" ht="12">
      <c r="E807" s="184"/>
      <c r="F807" s="184"/>
      <c r="G807" s="167"/>
      <c r="H807" s="165"/>
      <c r="I807" s="109"/>
      <c r="J807" s="109"/>
      <c r="K807" s="109"/>
      <c r="L807" s="109"/>
      <c r="M807" s="109"/>
    </row>
    <row r="808" spans="1:13" ht="1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">
      <c r="A809" s="267" t="s">
        <v>299</v>
      </c>
      <c r="B809" s="267"/>
      <c r="C809" s="4"/>
      <c r="D809" s="4"/>
      <c r="E809" s="18"/>
      <c r="F809" s="18"/>
      <c r="G809" s="13"/>
      <c r="H809" s="19"/>
      <c r="I809" s="13"/>
      <c r="J809" s="19"/>
      <c r="K809" s="13"/>
      <c r="L809" s="13"/>
      <c r="M809" s="217" t="s">
        <v>55</v>
      </c>
    </row>
    <row r="810" spans="1:13" ht="12">
      <c r="A810" s="407" t="s">
        <v>155</v>
      </c>
      <c r="B810" s="407"/>
      <c r="C810" s="407"/>
      <c r="D810" s="407"/>
      <c r="E810" s="407"/>
      <c r="F810" s="407"/>
      <c r="G810" s="407"/>
      <c r="H810" s="407"/>
      <c r="I810" s="407"/>
      <c r="J810" s="407"/>
      <c r="K810" s="407"/>
      <c r="L810" s="407"/>
      <c r="M810" s="407"/>
    </row>
    <row r="811" spans="1:13" ht="12">
      <c r="A811" s="267" t="s">
        <v>274</v>
      </c>
      <c r="B811" s="267"/>
      <c r="C811" s="4"/>
      <c r="D811" s="4"/>
      <c r="E811" s="4"/>
      <c r="F811" s="4"/>
      <c r="G811" s="13"/>
      <c r="H811" s="4"/>
      <c r="I811" s="9"/>
      <c r="J811" s="19"/>
      <c r="K811" s="13"/>
      <c r="L811" s="13"/>
      <c r="M811" s="268" t="str">
        <f>M774</f>
        <v>Date: 10/1/2009</v>
      </c>
    </row>
    <row r="812" spans="1:13" ht="12">
      <c r="A812" s="14" t="s">
        <v>1</v>
      </c>
      <c r="B812" s="14"/>
      <c r="C812" s="14" t="s">
        <v>1</v>
      </c>
      <c r="D812" s="14" t="s">
        <v>1</v>
      </c>
      <c r="E812" s="14" t="s">
        <v>1</v>
      </c>
      <c r="F812" s="14"/>
      <c r="G812" s="14" t="s">
        <v>1</v>
      </c>
      <c r="H812" s="14" t="s">
        <v>1</v>
      </c>
      <c r="I812" s="14" t="s">
        <v>1</v>
      </c>
      <c r="J812" s="14" t="s">
        <v>1</v>
      </c>
      <c r="K812" s="14" t="s">
        <v>1</v>
      </c>
      <c r="L812" s="14"/>
      <c r="M812" s="14" t="s">
        <v>1</v>
      </c>
    </row>
    <row r="813" spans="1:13" ht="12">
      <c r="A813" s="15" t="s">
        <v>2</v>
      </c>
      <c r="B813" s="15"/>
      <c r="C813" s="4"/>
      <c r="D813" s="4"/>
      <c r="E813" s="15" t="s">
        <v>2</v>
      </c>
      <c r="F813" s="15"/>
      <c r="G813" s="151"/>
      <c r="H813" s="151" t="s">
        <v>238</v>
      </c>
      <c r="I813" s="17"/>
      <c r="J813" s="151" t="s">
        <v>240</v>
      </c>
      <c r="K813" s="87"/>
      <c r="L813" s="87"/>
      <c r="M813" s="151" t="s">
        <v>247</v>
      </c>
    </row>
    <row r="814" spans="1:13" ht="12">
      <c r="A814" s="15" t="s">
        <v>4</v>
      </c>
      <c r="B814" s="15"/>
      <c r="C814" s="16" t="s">
        <v>20</v>
      </c>
      <c r="D814" s="4"/>
      <c r="E814" s="15" t="s">
        <v>4</v>
      </c>
      <c r="F814" s="15"/>
      <c r="G814" s="197" t="s">
        <v>21</v>
      </c>
      <c r="H814" s="151" t="s">
        <v>7</v>
      </c>
      <c r="I814" s="218" t="s">
        <v>21</v>
      </c>
      <c r="J814" s="23" t="s">
        <v>7</v>
      </c>
      <c r="L814" s="218" t="s">
        <v>21</v>
      </c>
      <c r="M814" s="23" t="s">
        <v>8</v>
      </c>
    </row>
    <row r="815" spans="1:13" ht="12">
      <c r="A815" s="14" t="s">
        <v>1</v>
      </c>
      <c r="B815" s="14"/>
      <c r="C815" s="14" t="s">
        <v>1</v>
      </c>
      <c r="D815" s="14" t="s">
        <v>1</v>
      </c>
      <c r="E815" s="14" t="s">
        <v>1</v>
      </c>
      <c r="F815" s="14"/>
      <c r="G815" s="40" t="s">
        <v>1</v>
      </c>
      <c r="H815" s="40" t="s">
        <v>1</v>
      </c>
      <c r="I815" s="14" t="s">
        <v>1</v>
      </c>
      <c r="J815" s="14" t="s">
        <v>1</v>
      </c>
      <c r="L815" s="14" t="s">
        <v>1</v>
      </c>
      <c r="M815" s="219" t="s">
        <v>1</v>
      </c>
    </row>
    <row r="816" spans="1:13" ht="12">
      <c r="A816" s="3">
        <v>1</v>
      </c>
      <c r="B816" s="3"/>
      <c r="C816" s="9" t="s">
        <v>36</v>
      </c>
      <c r="D816" s="4"/>
      <c r="E816" s="3">
        <v>1</v>
      </c>
      <c r="F816" s="3"/>
      <c r="G816" s="220"/>
      <c r="H816" s="21"/>
      <c r="I816" s="220"/>
      <c r="J816" s="21"/>
      <c r="L816" s="220"/>
      <c r="M816" s="21"/>
    </row>
    <row r="817" spans="1:13" ht="12">
      <c r="A817" s="3">
        <v>2</v>
      </c>
      <c r="B817" s="3"/>
      <c r="C817" s="9" t="s">
        <v>37</v>
      </c>
      <c r="D817" s="4"/>
      <c r="E817" s="3">
        <v>2</v>
      </c>
      <c r="F817" s="3"/>
      <c r="G817" s="220"/>
      <c r="H817" s="21"/>
      <c r="I817" s="220"/>
      <c r="J817" s="21"/>
      <c r="L817" s="220"/>
      <c r="M817" s="21"/>
    </row>
    <row r="818" spans="1:13" ht="12">
      <c r="A818" s="3">
        <v>3</v>
      </c>
      <c r="B818" s="3"/>
      <c r="C818" s="4"/>
      <c r="D818" s="4"/>
      <c r="E818" s="3">
        <v>3</v>
      </c>
      <c r="F818" s="3"/>
      <c r="G818" s="220"/>
      <c r="H818" s="21"/>
      <c r="I818" s="220"/>
      <c r="J818" s="21"/>
      <c r="L818" s="220"/>
      <c r="M818" s="21"/>
    </row>
    <row r="819" spans="1:13" ht="12">
      <c r="A819" s="3">
        <v>4</v>
      </c>
      <c r="B819" s="3"/>
      <c r="C819" s="9" t="s">
        <v>23</v>
      </c>
      <c r="D819" s="4"/>
      <c r="E819" s="3">
        <v>4</v>
      </c>
      <c r="F819" s="3"/>
      <c r="G819" s="20">
        <f>G816</f>
        <v>0</v>
      </c>
      <c r="H819" s="19">
        <f>SUM(H816:H817)</f>
        <v>0</v>
      </c>
      <c r="I819" s="20">
        <f>I816</f>
        <v>0</v>
      </c>
      <c r="J819" s="19">
        <f>SUM(J816:J817)</f>
        <v>0</v>
      </c>
      <c r="L819" s="20">
        <f>L816</f>
        <v>0</v>
      </c>
      <c r="M819" s="19">
        <f>SUM(M816:M817)</f>
        <v>0</v>
      </c>
    </row>
    <row r="820" spans="1:13" ht="12">
      <c r="A820" s="3">
        <v>5</v>
      </c>
      <c r="B820" s="3"/>
      <c r="C820" s="4"/>
      <c r="D820" s="4"/>
      <c r="E820" s="3">
        <v>5</v>
      </c>
      <c r="F820" s="3"/>
      <c r="G820" s="20"/>
      <c r="H820" s="19"/>
      <c r="I820" s="20"/>
      <c r="J820" s="19"/>
      <c r="L820" s="20"/>
      <c r="M820" s="19"/>
    </row>
    <row r="821" spans="1:13" ht="12">
      <c r="A821" s="3">
        <v>6</v>
      </c>
      <c r="B821" s="3"/>
      <c r="C821" s="4"/>
      <c r="D821" s="4"/>
      <c r="E821" s="3">
        <v>6</v>
      </c>
      <c r="F821" s="3"/>
      <c r="G821" s="20"/>
      <c r="H821" s="19"/>
      <c r="I821" s="20"/>
      <c r="J821" s="19"/>
      <c r="L821" s="20"/>
      <c r="M821" s="19"/>
    </row>
    <row r="822" spans="1:13" ht="12">
      <c r="A822" s="3">
        <v>7</v>
      </c>
      <c r="B822" s="3"/>
      <c r="C822" s="9" t="s">
        <v>25</v>
      </c>
      <c r="D822" s="4"/>
      <c r="E822" s="3">
        <v>7</v>
      </c>
      <c r="F822" s="3"/>
      <c r="G822" s="220"/>
      <c r="H822" s="21"/>
      <c r="I822" s="220"/>
      <c r="J822" s="21"/>
      <c r="L822" s="220"/>
      <c r="M822" s="21"/>
    </row>
    <row r="823" spans="1:13" ht="12">
      <c r="A823" s="3">
        <v>8</v>
      </c>
      <c r="B823" s="3"/>
      <c r="C823" s="9" t="s">
        <v>26</v>
      </c>
      <c r="D823" s="4"/>
      <c r="E823" s="3">
        <v>8</v>
      </c>
      <c r="F823" s="3"/>
      <c r="G823" s="220"/>
      <c r="H823" s="21"/>
      <c r="I823" s="220"/>
      <c r="J823" s="21"/>
      <c r="L823" s="220"/>
      <c r="M823" s="21"/>
    </row>
    <row r="824" spans="1:13" ht="12">
      <c r="A824" s="3">
        <v>9</v>
      </c>
      <c r="B824" s="3"/>
      <c r="C824" s="9" t="s">
        <v>27</v>
      </c>
      <c r="D824" s="4"/>
      <c r="E824" s="3">
        <v>9</v>
      </c>
      <c r="F824" s="3"/>
      <c r="G824" s="20">
        <f>G822</f>
        <v>0</v>
      </c>
      <c r="H824" s="19">
        <f>SUM(H822:H823)</f>
        <v>0</v>
      </c>
      <c r="I824" s="20">
        <f>I822</f>
        <v>0</v>
      </c>
      <c r="J824" s="19">
        <f>SUM(J822:J823)</f>
        <v>0</v>
      </c>
      <c r="L824" s="20">
        <f>L822</f>
        <v>0</v>
      </c>
      <c r="M824" s="19">
        <f>SUM(M822:M823)</f>
        <v>0</v>
      </c>
    </row>
    <row r="825" spans="1:13" ht="12">
      <c r="A825" s="3">
        <v>10</v>
      </c>
      <c r="B825" s="3"/>
      <c r="C825" s="4"/>
      <c r="D825" s="4"/>
      <c r="E825" s="3">
        <v>10</v>
      </c>
      <c r="F825" s="3"/>
      <c r="G825" s="20"/>
      <c r="H825" s="19"/>
      <c r="I825" s="20"/>
      <c r="J825" s="19"/>
      <c r="L825" s="20"/>
      <c r="M825" s="19"/>
    </row>
    <row r="826" spans="1:13" ht="12">
      <c r="A826" s="3">
        <v>11</v>
      </c>
      <c r="B826" s="3"/>
      <c r="C826" s="9" t="s">
        <v>28</v>
      </c>
      <c r="D826" s="4"/>
      <c r="E826" s="3">
        <v>11</v>
      </c>
      <c r="F826" s="3"/>
      <c r="G826" s="20">
        <f aca="true" t="shared" si="31" ref="G826:M826">SUM(G824,G819)</f>
        <v>0</v>
      </c>
      <c r="H826" s="19">
        <f t="shared" si="31"/>
        <v>0</v>
      </c>
      <c r="I826" s="20">
        <f t="shared" si="31"/>
        <v>0</v>
      </c>
      <c r="J826" s="19">
        <f t="shared" si="31"/>
        <v>0</v>
      </c>
      <c r="L826" s="20">
        <f>SUM(L824,L819)</f>
        <v>0</v>
      </c>
      <c r="M826" s="19">
        <f t="shared" si="31"/>
        <v>0</v>
      </c>
    </row>
    <row r="827" spans="1:13" ht="12">
      <c r="A827" s="3">
        <v>12</v>
      </c>
      <c r="B827" s="3"/>
      <c r="C827" s="4"/>
      <c r="D827" s="4"/>
      <c r="E827" s="3">
        <v>12</v>
      </c>
      <c r="F827" s="3"/>
      <c r="G827" s="4"/>
      <c r="H827" s="4"/>
      <c r="I827" s="4"/>
      <c r="J827" s="4"/>
      <c r="L827" s="4"/>
      <c r="M827" s="4"/>
    </row>
    <row r="828" spans="1:13" ht="12">
      <c r="A828" s="3">
        <v>13</v>
      </c>
      <c r="B828" s="3"/>
      <c r="C828" s="9" t="s">
        <v>38</v>
      </c>
      <c r="D828" s="4"/>
      <c r="E828" s="3">
        <v>13</v>
      </c>
      <c r="F828" s="3"/>
      <c r="G828" s="220"/>
      <c r="H828" s="21"/>
      <c r="I828" s="220"/>
      <c r="J828" s="21"/>
      <c r="L828" s="220"/>
      <c r="M828" s="21"/>
    </row>
    <row r="829" spans="1:13" ht="12">
      <c r="A829" s="3">
        <v>14</v>
      </c>
      <c r="B829" s="3"/>
      <c r="C829" s="4"/>
      <c r="D829" s="4"/>
      <c r="E829" s="3">
        <v>14</v>
      </c>
      <c r="F829" s="3"/>
      <c r="G829" s="220"/>
      <c r="H829" s="6"/>
      <c r="I829" s="220"/>
      <c r="J829" s="6"/>
      <c r="L829" s="220"/>
      <c r="M829" s="6"/>
    </row>
    <row r="830" spans="1:13" ht="12">
      <c r="A830" s="174">
        <v>15</v>
      </c>
      <c r="B830" s="174"/>
      <c r="C830" s="169" t="s">
        <v>30</v>
      </c>
      <c r="E830" s="174">
        <v>15</v>
      </c>
      <c r="F830" s="174"/>
      <c r="G830" s="220"/>
      <c r="H830" s="21"/>
      <c r="I830" s="220"/>
      <c r="J830" s="21"/>
      <c r="L830" s="220"/>
      <c r="M830" s="21"/>
    </row>
    <row r="831" spans="1:13" ht="12">
      <c r="A831" s="30">
        <v>16</v>
      </c>
      <c r="B831" s="30"/>
      <c r="C831" s="169" t="s">
        <v>31</v>
      </c>
      <c r="E831" s="174">
        <v>17</v>
      </c>
      <c r="F831" s="174"/>
      <c r="G831" s="220"/>
      <c r="H831" s="21"/>
      <c r="I831" s="220"/>
      <c r="J831" s="21"/>
      <c r="L831" s="220"/>
      <c r="M831" s="21"/>
    </row>
    <row r="832" spans="1:13" ht="12">
      <c r="A832" s="30"/>
      <c r="B832" s="30"/>
      <c r="C832" s="169"/>
      <c r="E832" s="174"/>
      <c r="F832" s="174"/>
      <c r="G832" s="220"/>
      <c r="H832" s="21"/>
      <c r="I832" s="220"/>
      <c r="J832" s="21"/>
      <c r="L832" s="220"/>
      <c r="M832" s="21"/>
    </row>
    <row r="833" spans="1:13" ht="12">
      <c r="A833" s="30">
        <v>17</v>
      </c>
      <c r="B833" s="30"/>
      <c r="C833" s="169" t="s">
        <v>32</v>
      </c>
      <c r="E833" s="30">
        <v>17</v>
      </c>
      <c r="F833" s="30"/>
      <c r="G833" s="220"/>
      <c r="H833" s="21"/>
      <c r="I833" s="220"/>
      <c r="J833" s="21"/>
      <c r="L833" s="220"/>
      <c r="M833" s="21"/>
    </row>
    <row r="834" spans="1:13" ht="12">
      <c r="A834" s="30">
        <v>18</v>
      </c>
      <c r="B834" s="30"/>
      <c r="C834" s="161" t="s">
        <v>385</v>
      </c>
      <c r="E834" s="30">
        <v>18</v>
      </c>
      <c r="F834" s="30"/>
      <c r="G834" s="26"/>
      <c r="H834" s="107"/>
      <c r="I834" s="220"/>
      <c r="J834" s="21"/>
      <c r="L834" s="220"/>
      <c r="M834" s="21"/>
    </row>
    <row r="835" spans="1:9" ht="12">
      <c r="A835" s="30">
        <v>19</v>
      </c>
      <c r="B835" s="30"/>
      <c r="E835" s="30">
        <v>19</v>
      </c>
      <c r="F835" s="30"/>
      <c r="G835" s="26"/>
      <c r="H835" s="107"/>
      <c r="I835" s="220"/>
    </row>
    <row r="836" spans="1:13" ht="12">
      <c r="A836" s="174">
        <v>20</v>
      </c>
      <c r="B836" s="174"/>
      <c r="E836" s="30">
        <v>20</v>
      </c>
      <c r="F836" s="30"/>
      <c r="G836" s="109"/>
      <c r="H836" s="109"/>
      <c r="I836" s="167"/>
      <c r="J836" s="167"/>
      <c r="L836" s="167"/>
      <c r="M836" s="167"/>
    </row>
    <row r="837" spans="1:13" s="26" customFormat="1" ht="12">
      <c r="A837" s="30">
        <v>21</v>
      </c>
      <c r="B837" s="30"/>
      <c r="E837" s="30">
        <v>21</v>
      </c>
      <c r="F837" s="30"/>
      <c r="H837" s="109"/>
      <c r="I837" s="109"/>
      <c r="J837" s="78"/>
      <c r="L837" s="109"/>
      <c r="M837" s="78"/>
    </row>
    <row r="838" spans="1:13" s="26" customFormat="1" ht="12">
      <c r="A838" s="30">
        <v>22</v>
      </c>
      <c r="B838" s="30"/>
      <c r="E838" s="30">
        <v>22</v>
      </c>
      <c r="F838" s="30"/>
      <c r="H838" s="109"/>
      <c r="I838" s="87"/>
      <c r="J838" s="78"/>
      <c r="L838" s="87"/>
      <c r="M838" s="78"/>
    </row>
    <row r="839" spans="1:13" s="26" customFormat="1" ht="12">
      <c r="A839" s="30">
        <v>23</v>
      </c>
      <c r="B839" s="30"/>
      <c r="D839" s="100"/>
      <c r="E839" s="30">
        <v>23</v>
      </c>
      <c r="F839" s="30"/>
      <c r="H839" s="109"/>
      <c r="J839" s="78"/>
      <c r="M839" s="78"/>
    </row>
    <row r="840" spans="1:13" s="26" customFormat="1" ht="12">
      <c r="A840" s="30">
        <v>24</v>
      </c>
      <c r="B840" s="30"/>
      <c r="D840" s="100"/>
      <c r="E840" s="30">
        <v>24</v>
      </c>
      <c r="F840" s="30"/>
      <c r="H840" s="109"/>
      <c r="J840" s="78"/>
      <c r="M840" s="78"/>
    </row>
    <row r="841" spans="7:13" ht="12">
      <c r="G841" s="109" t="s">
        <v>1</v>
      </c>
      <c r="H841" s="109" t="s">
        <v>1</v>
      </c>
      <c r="I841" s="167" t="s">
        <v>1</v>
      </c>
      <c r="J841" s="167" t="s">
        <v>1</v>
      </c>
      <c r="L841" s="167" t="s">
        <v>1</v>
      </c>
      <c r="M841" s="167" t="s">
        <v>1</v>
      </c>
    </row>
    <row r="842" spans="1:13" ht="12">
      <c r="A842" s="174">
        <v>25</v>
      </c>
      <c r="B842" s="174"/>
      <c r="C842" s="169" t="s">
        <v>405</v>
      </c>
      <c r="E842" s="174">
        <v>25</v>
      </c>
      <c r="F842" s="174"/>
      <c r="G842" s="179">
        <f>G826</f>
        <v>0</v>
      </c>
      <c r="H842" s="184">
        <f>SUM(H826:H840)</f>
        <v>0</v>
      </c>
      <c r="I842" s="179">
        <f>I826</f>
        <v>0</v>
      </c>
      <c r="J842" s="184">
        <f>SUM(J826:J840)</f>
        <v>0</v>
      </c>
      <c r="L842" s="179">
        <f>L826</f>
        <v>0</v>
      </c>
      <c r="M842" s="165">
        <f>SUM(M826:M840)</f>
        <v>0</v>
      </c>
    </row>
    <row r="843" spans="5:13" ht="12">
      <c r="E843" s="184"/>
      <c r="F843" s="184"/>
      <c r="G843" s="109" t="s">
        <v>1</v>
      </c>
      <c r="H843" s="109" t="s">
        <v>1</v>
      </c>
      <c r="I843" s="167" t="s">
        <v>1</v>
      </c>
      <c r="J843" s="167" t="s">
        <v>1</v>
      </c>
      <c r="L843" s="167" t="s">
        <v>1</v>
      </c>
      <c r="M843" s="167" t="s">
        <v>1</v>
      </c>
    </row>
    <row r="844" spans="1:13" ht="1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">
      <c r="A845" s="169"/>
      <c r="B845" s="169"/>
      <c r="H845" s="165"/>
      <c r="J845" s="165"/>
      <c r="M845" s="165"/>
    </row>
    <row r="846" spans="1:13" ht="12">
      <c r="A846" s="223" t="s">
        <v>299</v>
      </c>
      <c r="B846" s="223"/>
      <c r="E846" s="184"/>
      <c r="F846" s="184"/>
      <c r="G846" s="178"/>
      <c r="H846" s="165"/>
      <c r="I846" s="178"/>
      <c r="J846" s="165"/>
      <c r="K846" s="178"/>
      <c r="L846" s="178"/>
      <c r="M846" s="163" t="s">
        <v>56</v>
      </c>
    </row>
    <row r="847" spans="1:13" ht="12">
      <c r="A847" s="408" t="s">
        <v>406</v>
      </c>
      <c r="B847" s="408"/>
      <c r="C847" s="408"/>
      <c r="D847" s="408"/>
      <c r="E847" s="408"/>
      <c r="F847" s="408"/>
      <c r="G847" s="408"/>
      <c r="H847" s="408"/>
      <c r="I847" s="408"/>
      <c r="J847" s="408"/>
      <c r="K847" s="408"/>
      <c r="L847" s="408"/>
      <c r="M847" s="408"/>
    </row>
    <row r="848" spans="1:13" ht="12">
      <c r="A848" s="223" t="s">
        <v>274</v>
      </c>
      <c r="B848" s="223"/>
      <c r="G848" s="178"/>
      <c r="H848" s="165"/>
      <c r="J848" s="221"/>
      <c r="K848" s="178"/>
      <c r="L848" s="178"/>
      <c r="M848" s="264" t="str">
        <f>M811</f>
        <v>Date: 10/1/2009</v>
      </c>
    </row>
    <row r="849" spans="1:13" ht="12">
      <c r="A849" s="166" t="s">
        <v>1</v>
      </c>
      <c r="B849" s="166"/>
      <c r="C849" s="166" t="s">
        <v>1</v>
      </c>
      <c r="D849" s="166" t="s">
        <v>1</v>
      </c>
      <c r="E849" s="166" t="s">
        <v>1</v>
      </c>
      <c r="F849" s="166"/>
      <c r="G849" s="166" t="s">
        <v>1</v>
      </c>
      <c r="H849" s="166" t="s">
        <v>1</v>
      </c>
      <c r="I849" s="166" t="s">
        <v>1</v>
      </c>
      <c r="J849" s="166" t="s">
        <v>1</v>
      </c>
      <c r="K849" s="166" t="s">
        <v>1</v>
      </c>
      <c r="L849" s="166"/>
      <c r="M849" s="166" t="s">
        <v>1</v>
      </c>
    </row>
    <row r="850" spans="1:13" ht="12">
      <c r="A850" s="168" t="s">
        <v>2</v>
      </c>
      <c r="B850" s="168"/>
      <c r="E850" s="168" t="s">
        <v>2</v>
      </c>
      <c r="F850" s="168"/>
      <c r="G850" s="151"/>
      <c r="H850" s="151" t="s">
        <v>240</v>
      </c>
      <c r="I850" s="170"/>
      <c r="J850" s="151" t="s">
        <v>247</v>
      </c>
      <c r="K850" s="151"/>
      <c r="L850" s="87"/>
      <c r="M850" s="151" t="s">
        <v>576</v>
      </c>
    </row>
    <row r="851" spans="1:13" ht="12">
      <c r="A851" s="168" t="s">
        <v>4</v>
      </c>
      <c r="B851" s="168"/>
      <c r="C851" s="171" t="s">
        <v>20</v>
      </c>
      <c r="E851" s="168" t="s">
        <v>4</v>
      </c>
      <c r="F851" s="168"/>
      <c r="G851" s="164"/>
      <c r="H851" s="151" t="s">
        <v>7</v>
      </c>
      <c r="I851" s="164"/>
      <c r="J851" s="173" t="s">
        <v>7</v>
      </c>
      <c r="K851" s="173"/>
      <c r="L851" s="164"/>
      <c r="M851" s="173" t="s">
        <v>8</v>
      </c>
    </row>
    <row r="852" spans="1:13" ht="12">
      <c r="A852" s="166" t="s">
        <v>1</v>
      </c>
      <c r="B852" s="166"/>
      <c r="C852" s="166" t="s">
        <v>1</v>
      </c>
      <c r="D852" s="166" t="s">
        <v>1</v>
      </c>
      <c r="E852" s="166" t="s">
        <v>1</v>
      </c>
      <c r="F852" s="166"/>
      <c r="G852" s="166" t="s">
        <v>1</v>
      </c>
      <c r="H852" s="40" t="s">
        <v>1</v>
      </c>
      <c r="I852" s="166" t="s">
        <v>1</v>
      </c>
      <c r="J852" s="166" t="s">
        <v>1</v>
      </c>
      <c r="K852" s="166"/>
      <c r="L852" s="166" t="s">
        <v>1</v>
      </c>
      <c r="M852" s="177" t="s">
        <v>1</v>
      </c>
    </row>
    <row r="853" spans="1:13" ht="12">
      <c r="A853" s="200">
        <v>1</v>
      </c>
      <c r="B853" s="200"/>
      <c r="C853" s="161" t="s">
        <v>407</v>
      </c>
      <c r="E853" s="200">
        <v>1</v>
      </c>
      <c r="F853" s="200"/>
      <c r="G853" s="162"/>
      <c r="H853" s="210">
        <f>572837.28</f>
        <v>572837.28</v>
      </c>
      <c r="I853" s="209"/>
      <c r="J853" s="210">
        <v>0</v>
      </c>
      <c r="K853" s="210"/>
      <c r="L853" s="209"/>
      <c r="M853" s="210">
        <v>0</v>
      </c>
    </row>
    <row r="854" spans="1:13" ht="12">
      <c r="A854" s="200">
        <v>2</v>
      </c>
      <c r="B854" s="200"/>
      <c r="E854" s="200">
        <v>2</v>
      </c>
      <c r="F854" s="200"/>
      <c r="G854" s="162"/>
      <c r="H854" s="180"/>
      <c r="I854" s="209"/>
      <c r="J854" s="180"/>
      <c r="K854" s="180"/>
      <c r="L854" s="209"/>
      <c r="M854" s="210"/>
    </row>
    <row r="855" spans="1:13" ht="12">
      <c r="A855" s="200">
        <v>3</v>
      </c>
      <c r="B855" s="200"/>
      <c r="C855" s="32"/>
      <c r="D855" s="26"/>
      <c r="E855" s="200">
        <v>3</v>
      </c>
      <c r="F855" s="200"/>
      <c r="G855" s="162"/>
      <c r="H855" s="210"/>
      <c r="I855" s="209"/>
      <c r="J855" s="210"/>
      <c r="K855" s="210"/>
      <c r="L855" s="209"/>
      <c r="M855" s="210"/>
    </row>
    <row r="856" spans="1:13" ht="12">
      <c r="A856" s="200">
        <v>4</v>
      </c>
      <c r="B856" s="200"/>
      <c r="C856" s="32"/>
      <c r="D856" s="26"/>
      <c r="E856" s="200">
        <v>4</v>
      </c>
      <c r="F856" s="200"/>
      <c r="G856" s="162"/>
      <c r="H856" s="210"/>
      <c r="I856" s="209"/>
      <c r="J856" s="210"/>
      <c r="K856" s="210"/>
      <c r="L856" s="209"/>
      <c r="M856" s="210"/>
    </row>
    <row r="857" spans="1:13" ht="12">
      <c r="A857" s="200">
        <v>5</v>
      </c>
      <c r="B857" s="200"/>
      <c r="C857" s="31"/>
      <c r="D857" s="26"/>
      <c r="E857" s="200">
        <v>5</v>
      </c>
      <c r="F857" s="200"/>
      <c r="G857" s="162"/>
      <c r="H857" s="107"/>
      <c r="I857" s="209"/>
      <c r="J857" s="210"/>
      <c r="K857" s="210"/>
      <c r="L857" s="209"/>
      <c r="M857" s="210"/>
    </row>
    <row r="858" spans="1:13" ht="12">
      <c r="A858" s="200">
        <v>6</v>
      </c>
      <c r="B858" s="200"/>
      <c r="C858" s="32"/>
      <c r="D858" s="26"/>
      <c r="E858" s="200">
        <v>6</v>
      </c>
      <c r="F858" s="200"/>
      <c r="G858" s="162"/>
      <c r="H858" s="107"/>
      <c r="I858" s="209"/>
      <c r="J858" s="210"/>
      <c r="K858" s="210"/>
      <c r="L858" s="209"/>
      <c r="M858" s="210"/>
    </row>
    <row r="859" spans="1:13" ht="12">
      <c r="A859" s="200">
        <v>7</v>
      </c>
      <c r="B859" s="200"/>
      <c r="C859" s="32"/>
      <c r="D859" s="26"/>
      <c r="E859" s="200">
        <v>7</v>
      </c>
      <c r="F859" s="200"/>
      <c r="G859" s="162"/>
      <c r="H859" s="107"/>
      <c r="I859" s="209"/>
      <c r="J859" s="210"/>
      <c r="K859" s="210"/>
      <c r="L859" s="209"/>
      <c r="M859" s="210"/>
    </row>
    <row r="860" spans="1:13" ht="12">
      <c r="A860" s="200">
        <v>8</v>
      </c>
      <c r="B860" s="200"/>
      <c r="C860" s="26"/>
      <c r="D860" s="26"/>
      <c r="E860" s="200">
        <v>8</v>
      </c>
      <c r="F860" s="200"/>
      <c r="G860" s="162"/>
      <c r="H860" s="107"/>
      <c r="I860" s="209"/>
      <c r="J860" s="210"/>
      <c r="K860" s="210"/>
      <c r="L860" s="209"/>
      <c r="M860" s="210"/>
    </row>
    <row r="861" spans="1:13" ht="12">
      <c r="A861" s="200">
        <v>9</v>
      </c>
      <c r="B861" s="200"/>
      <c r="C861" s="26"/>
      <c r="D861" s="26"/>
      <c r="E861" s="200">
        <v>9</v>
      </c>
      <c r="F861" s="200"/>
      <c r="G861" s="162"/>
      <c r="H861" s="107"/>
      <c r="I861" s="209"/>
      <c r="J861" s="210"/>
      <c r="K861" s="210"/>
      <c r="L861" s="209"/>
      <c r="M861" s="210"/>
    </row>
    <row r="862" spans="1:13" ht="12">
      <c r="A862" s="202"/>
      <c r="B862" s="202"/>
      <c r="C862" s="26"/>
      <c r="D862" s="26"/>
      <c r="E862" s="202"/>
      <c r="F862" s="202"/>
      <c r="G862" s="167" t="s">
        <v>1</v>
      </c>
      <c r="H862" s="109" t="s">
        <v>1</v>
      </c>
      <c r="I862" s="167" t="s">
        <v>1</v>
      </c>
      <c r="J862" s="167" t="s">
        <v>1</v>
      </c>
      <c r="K862" s="167"/>
      <c r="L862" s="167" t="s">
        <v>1</v>
      </c>
      <c r="M862" s="167" t="s">
        <v>1</v>
      </c>
    </row>
    <row r="863" spans="1:13" ht="12">
      <c r="A863" s="200">
        <v>10</v>
      </c>
      <c r="B863" s="200"/>
      <c r="C863" s="161" t="s">
        <v>408</v>
      </c>
      <c r="D863" s="26"/>
      <c r="E863" s="200">
        <v>10</v>
      </c>
      <c r="F863" s="200"/>
      <c r="G863" s="162"/>
      <c r="H863" s="210">
        <f>SUM(H853:H859)</f>
        <v>572837.28</v>
      </c>
      <c r="I863" s="162"/>
      <c r="J863" s="210">
        <f>SUM(J853:J859)</f>
        <v>0</v>
      </c>
      <c r="K863" s="210"/>
      <c r="L863" s="162"/>
      <c r="M863" s="210">
        <f>SUM(M853:M859)</f>
        <v>0</v>
      </c>
    </row>
    <row r="864" spans="1:13" ht="12">
      <c r="A864" s="200"/>
      <c r="B864" s="200"/>
      <c r="D864" s="26"/>
      <c r="E864" s="200"/>
      <c r="F864" s="200"/>
      <c r="G864" s="167" t="s">
        <v>1</v>
      </c>
      <c r="H864" s="109" t="s">
        <v>1</v>
      </c>
      <c r="I864" s="167" t="s">
        <v>1</v>
      </c>
      <c r="J864" s="167" t="s">
        <v>1</v>
      </c>
      <c r="K864" s="167"/>
      <c r="L864" s="167" t="s">
        <v>1</v>
      </c>
      <c r="M864" s="167" t="s">
        <v>1</v>
      </c>
    </row>
    <row r="865" spans="1:13" ht="12">
      <c r="A865" s="200">
        <v>11</v>
      </c>
      <c r="B865" s="200"/>
      <c r="C865" s="32"/>
      <c r="D865" s="26"/>
      <c r="E865" s="200">
        <v>11</v>
      </c>
      <c r="F865" s="200"/>
      <c r="G865" s="162"/>
      <c r="H865" s="107"/>
      <c r="I865" s="209"/>
      <c r="J865" s="210"/>
      <c r="K865" s="210"/>
      <c r="L865" s="209"/>
      <c r="M865" s="210"/>
    </row>
    <row r="866" spans="1:13" ht="12">
      <c r="A866" s="200">
        <v>12</v>
      </c>
      <c r="B866" s="200"/>
      <c r="C866" s="169" t="s">
        <v>409</v>
      </c>
      <c r="D866" s="26"/>
      <c r="E866" s="200">
        <v>12</v>
      </c>
      <c r="F866" s="200"/>
      <c r="G866" s="162"/>
      <c r="H866" s="210">
        <f>44983593.12</f>
        <v>44983593.12</v>
      </c>
      <c r="I866" s="209"/>
      <c r="J866" s="210">
        <f>56291413.1</f>
        <v>56291413.1</v>
      </c>
      <c r="K866" s="210"/>
      <c r="L866" s="209"/>
      <c r="M866" s="210">
        <f>50637503</f>
        <v>50637503</v>
      </c>
    </row>
    <row r="867" spans="1:13" ht="12">
      <c r="A867" s="200">
        <v>13</v>
      </c>
      <c r="B867" s="200"/>
      <c r="C867" s="32" t="s">
        <v>410</v>
      </c>
      <c r="D867" s="26"/>
      <c r="E867" s="200">
        <v>13</v>
      </c>
      <c r="F867" s="200"/>
      <c r="G867" s="162"/>
      <c r="H867" s="210">
        <f>13493904</f>
        <v>13493904</v>
      </c>
      <c r="I867" s="209"/>
      <c r="J867" s="210">
        <f>13810529</f>
        <v>13810529</v>
      </c>
      <c r="K867" s="210"/>
      <c r="L867" s="209"/>
      <c r="M867" s="210">
        <f>12749132</f>
        <v>12749132</v>
      </c>
    </row>
    <row r="868" spans="1:13" ht="12">
      <c r="A868" s="200">
        <v>14</v>
      </c>
      <c r="B868" s="200"/>
      <c r="C868" s="26" t="s">
        <v>411</v>
      </c>
      <c r="D868" s="26"/>
      <c r="E868" s="200">
        <v>14</v>
      </c>
      <c r="F868" s="200"/>
      <c r="G868" s="162"/>
      <c r="H868" s="210">
        <f>H613</f>
        <v>11566355.09</v>
      </c>
      <c r="I868" s="209"/>
      <c r="J868" s="210">
        <f>J613</f>
        <v>12413825.45</v>
      </c>
      <c r="K868" s="210"/>
      <c r="L868" s="209"/>
      <c r="M868" s="210">
        <f>M613</f>
        <v>12749132</v>
      </c>
    </row>
    <row r="869" spans="1:13" ht="12">
      <c r="A869" s="200">
        <v>15</v>
      </c>
      <c r="B869" s="200"/>
      <c r="E869" s="200">
        <v>15</v>
      </c>
      <c r="F869" s="200"/>
      <c r="G869" s="162"/>
      <c r="H869" s="107"/>
      <c r="I869" s="209"/>
      <c r="J869" s="210"/>
      <c r="K869" s="210"/>
      <c r="L869" s="209"/>
      <c r="M869" s="210"/>
    </row>
    <row r="870" spans="1:13" ht="12">
      <c r="A870" s="200">
        <v>16</v>
      </c>
      <c r="B870" s="200"/>
      <c r="E870" s="200">
        <v>16</v>
      </c>
      <c r="F870" s="200"/>
      <c r="G870" s="162"/>
      <c r="H870" s="107"/>
      <c r="I870" s="209"/>
      <c r="J870" s="210"/>
      <c r="K870" s="210"/>
      <c r="L870" s="209"/>
      <c r="M870" s="210"/>
    </row>
    <row r="871" spans="1:13" ht="12">
      <c r="A871" s="200">
        <v>17</v>
      </c>
      <c r="B871" s="200"/>
      <c r="C871" s="115"/>
      <c r="D871" s="116"/>
      <c r="E871" s="200">
        <v>17</v>
      </c>
      <c r="F871" s="200"/>
      <c r="G871" s="162"/>
      <c r="H871" s="373"/>
      <c r="I871" s="374"/>
      <c r="J871" s="210"/>
      <c r="K871" s="210"/>
      <c r="L871" s="209"/>
      <c r="M871" s="210"/>
    </row>
    <row r="872" spans="1:13" ht="12">
      <c r="A872" s="200">
        <v>18</v>
      </c>
      <c r="B872" s="200"/>
      <c r="C872" s="116"/>
      <c r="D872" s="116"/>
      <c r="E872" s="200">
        <v>18</v>
      </c>
      <c r="F872" s="200"/>
      <c r="G872" s="162"/>
      <c r="H872" s="373"/>
      <c r="I872" s="374"/>
      <c r="J872" s="210"/>
      <c r="K872" s="210"/>
      <c r="L872" s="209"/>
      <c r="M872" s="210"/>
    </row>
    <row r="873" spans="1:13" ht="12">
      <c r="A873" s="200"/>
      <c r="B873" s="200"/>
      <c r="C873" s="149"/>
      <c r="D873" s="116"/>
      <c r="E873" s="200"/>
      <c r="F873" s="200"/>
      <c r="G873" s="167" t="s">
        <v>1</v>
      </c>
      <c r="H873" s="109" t="s">
        <v>1</v>
      </c>
      <c r="I873" s="167" t="s">
        <v>1</v>
      </c>
      <c r="J873" s="167" t="s">
        <v>1</v>
      </c>
      <c r="K873" s="167"/>
      <c r="L873" s="167" t="s">
        <v>1</v>
      </c>
      <c r="M873" s="167" t="s">
        <v>1</v>
      </c>
    </row>
    <row r="874" spans="1:13" ht="12">
      <c r="A874" s="200">
        <v>19</v>
      </c>
      <c r="B874" s="200"/>
      <c r="C874" s="161" t="s">
        <v>412</v>
      </c>
      <c r="D874" s="116"/>
      <c r="E874" s="200">
        <v>19</v>
      </c>
      <c r="F874" s="200"/>
      <c r="H874" s="180">
        <f>SUM(H866:H872)-H868</f>
        <v>58477497.11999999</v>
      </c>
      <c r="J874" s="180">
        <f>SUM(J866:J872)-J868</f>
        <v>70101942.1</v>
      </c>
      <c r="K874" s="180"/>
      <c r="L874" s="209"/>
      <c r="M874" s="180">
        <f>SUM(M866:M872)-M868</f>
        <v>63386635</v>
      </c>
    </row>
    <row r="875" spans="1:13" ht="12">
      <c r="A875" s="200"/>
      <c r="B875" s="200"/>
      <c r="C875" s="149"/>
      <c r="D875" s="116"/>
      <c r="E875" s="200"/>
      <c r="F875" s="200"/>
      <c r="G875" s="167" t="s">
        <v>1</v>
      </c>
      <c r="H875" s="109" t="s">
        <v>1</v>
      </c>
      <c r="I875" s="167" t="s">
        <v>1</v>
      </c>
      <c r="J875" s="167" t="s">
        <v>1</v>
      </c>
      <c r="K875" s="167"/>
      <c r="L875" s="167" t="s">
        <v>1</v>
      </c>
      <c r="M875" s="167" t="s">
        <v>1</v>
      </c>
    </row>
    <row r="876" spans="1:11" ht="12">
      <c r="A876" s="200"/>
      <c r="B876" s="200"/>
      <c r="C876" s="116"/>
      <c r="D876" s="116"/>
      <c r="E876" s="200"/>
      <c r="F876" s="200"/>
      <c r="H876" s="26"/>
      <c r="J876" s="210"/>
      <c r="K876" s="210"/>
    </row>
    <row r="877" spans="1:13" ht="12">
      <c r="A877" s="200">
        <v>20</v>
      </c>
      <c r="B877" s="200"/>
      <c r="C877" s="169" t="s">
        <v>413</v>
      </c>
      <c r="E877" s="200">
        <v>20</v>
      </c>
      <c r="F877" s="200"/>
      <c r="G877" s="162"/>
      <c r="H877" s="165">
        <f>SUM(H863,H874)</f>
        <v>59050334.39999999</v>
      </c>
      <c r="I877" s="162"/>
      <c r="J877" s="165">
        <f>SUM(J863,J874)</f>
        <v>70101942.1</v>
      </c>
      <c r="K877" s="165"/>
      <c r="L877" s="162"/>
      <c r="M877" s="165">
        <f>SUM(M863,M874)</f>
        <v>63386635</v>
      </c>
    </row>
    <row r="878" spans="3:13" ht="12">
      <c r="C878" s="169" t="s">
        <v>87</v>
      </c>
      <c r="E878" s="184"/>
      <c r="F878" s="184"/>
      <c r="G878" s="167" t="s">
        <v>1</v>
      </c>
      <c r="H878" s="109" t="s">
        <v>1</v>
      </c>
      <c r="I878" s="167" t="s">
        <v>1</v>
      </c>
      <c r="J878" s="167" t="s">
        <v>1</v>
      </c>
      <c r="K878" s="167"/>
      <c r="L878" s="167" t="s">
        <v>1</v>
      </c>
      <c r="M878" s="167" t="s">
        <v>1</v>
      </c>
    </row>
    <row r="879" ht="12">
      <c r="C879" s="169" t="s">
        <v>0</v>
      </c>
    </row>
    <row r="880" spans="3:10" ht="12">
      <c r="C880" s="222"/>
      <c r="D880" s="188"/>
      <c r="I880" s="178"/>
      <c r="J880" s="165"/>
    </row>
    <row r="881" spans="1:13" ht="12">
      <c r="A881" s="223" t="s">
        <v>299</v>
      </c>
      <c r="B881" s="223"/>
      <c r="C881" s="222"/>
      <c r="D881" s="188"/>
      <c r="I881" s="178"/>
      <c r="J881" s="165"/>
      <c r="M881" s="163" t="s">
        <v>98</v>
      </c>
    </row>
    <row r="882" spans="1:13" ht="12">
      <c r="A882" s="406" t="s">
        <v>414</v>
      </c>
      <c r="B882" s="406"/>
      <c r="C882" s="406"/>
      <c r="D882" s="406"/>
      <c r="E882" s="406"/>
      <c r="F882" s="406"/>
      <c r="G882" s="406"/>
      <c r="H882" s="406"/>
      <c r="I882" s="406"/>
      <c r="J882" s="406"/>
      <c r="K882" s="406"/>
      <c r="L882" s="406"/>
      <c r="M882" s="406"/>
    </row>
    <row r="883" spans="1:13" ht="12">
      <c r="A883" s="409" t="s">
        <v>328</v>
      </c>
      <c r="B883" s="409"/>
      <c r="C883" s="409"/>
      <c r="D883" s="409"/>
      <c r="E883" s="409"/>
      <c r="F883" s="409"/>
      <c r="G883" s="409"/>
      <c r="H883" s="409"/>
      <c r="M883" s="264" t="str">
        <f>M848</f>
        <v>Date: 10/1/2009</v>
      </c>
    </row>
    <row r="884" spans="1:13" ht="12">
      <c r="A884" s="166" t="s">
        <v>1</v>
      </c>
      <c r="B884" s="166"/>
      <c r="C884" s="224" t="s">
        <v>1</v>
      </c>
      <c r="D884" s="166" t="s">
        <v>1</v>
      </c>
      <c r="E884" s="166" t="s">
        <v>1</v>
      </c>
      <c r="F884" s="166"/>
      <c r="G884" s="166" t="s">
        <v>1</v>
      </c>
      <c r="H884" s="166" t="s">
        <v>1</v>
      </c>
      <c r="I884" s="166" t="s">
        <v>1</v>
      </c>
      <c r="J884" s="166" t="s">
        <v>1</v>
      </c>
      <c r="K884" s="166" t="s">
        <v>1</v>
      </c>
      <c r="L884" s="166"/>
      <c r="M884" s="166" t="s">
        <v>1</v>
      </c>
    </row>
    <row r="885" spans="1:13" ht="12">
      <c r="A885" s="168" t="s">
        <v>2</v>
      </c>
      <c r="B885" s="168"/>
      <c r="C885" s="222"/>
      <c r="D885" s="188"/>
      <c r="E885" s="168" t="s">
        <v>2</v>
      </c>
      <c r="F885" s="168"/>
      <c r="G885" s="405" t="s">
        <v>241</v>
      </c>
      <c r="H885" s="405"/>
      <c r="I885" s="405" t="s">
        <v>256</v>
      </c>
      <c r="J885" s="405"/>
      <c r="K885" s="405" t="s">
        <v>624</v>
      </c>
      <c r="L885" s="405"/>
      <c r="M885" s="405"/>
    </row>
    <row r="886" spans="1:13" ht="24">
      <c r="A886" s="168" t="s">
        <v>4</v>
      </c>
      <c r="B886" s="168"/>
      <c r="C886" s="225" t="s">
        <v>415</v>
      </c>
      <c r="D886" s="226" t="s">
        <v>416</v>
      </c>
      <c r="E886" s="168" t="s">
        <v>4</v>
      </c>
      <c r="F886" s="168"/>
      <c r="G886" s="151" t="s">
        <v>91</v>
      </c>
      <c r="H886" s="151" t="s">
        <v>92</v>
      </c>
      <c r="I886" s="151" t="s">
        <v>91</v>
      </c>
      <c r="J886" s="151" t="s">
        <v>92</v>
      </c>
      <c r="K886" s="151" t="s">
        <v>91</v>
      </c>
      <c r="L886" s="151"/>
      <c r="M886" s="151" t="s">
        <v>92</v>
      </c>
    </row>
    <row r="887" spans="3:13" ht="12">
      <c r="C887" s="222"/>
      <c r="D887" s="226" t="s">
        <v>417</v>
      </c>
      <c r="E887" s="188"/>
      <c r="F887" s="188"/>
      <c r="G887" s="197" t="s">
        <v>418</v>
      </c>
      <c r="H887" s="151" t="s">
        <v>94</v>
      </c>
      <c r="I887" s="197" t="s">
        <v>418</v>
      </c>
      <c r="J887" s="151" t="s">
        <v>94</v>
      </c>
      <c r="K887" s="197" t="s">
        <v>418</v>
      </c>
      <c r="L887" s="197"/>
      <c r="M887" s="151" t="s">
        <v>94</v>
      </c>
    </row>
    <row r="888" spans="1:13" ht="12">
      <c r="A888" s="166" t="s">
        <v>1</v>
      </c>
      <c r="B888" s="166"/>
      <c r="C888" s="224" t="s">
        <v>1</v>
      </c>
      <c r="D888" s="166" t="s">
        <v>1</v>
      </c>
      <c r="E888" s="166" t="s">
        <v>1</v>
      </c>
      <c r="F888" s="166"/>
      <c r="G888" s="40" t="s">
        <v>1</v>
      </c>
      <c r="H888" s="40" t="s">
        <v>1</v>
      </c>
      <c r="I888" s="40" t="s">
        <v>1</v>
      </c>
      <c r="J888" s="40" t="s">
        <v>1</v>
      </c>
      <c r="K888" s="40" t="s">
        <v>1</v>
      </c>
      <c r="L888" s="40"/>
      <c r="M888" s="176" t="s">
        <v>1</v>
      </c>
    </row>
    <row r="889" spans="1:13" ht="12">
      <c r="A889" s="174">
        <v>1</v>
      </c>
      <c r="B889" s="174"/>
      <c r="C889" s="161" t="s">
        <v>95</v>
      </c>
      <c r="E889" s="174">
        <v>1</v>
      </c>
      <c r="F889" s="174"/>
      <c r="G889" s="180"/>
      <c r="H889" s="180"/>
      <c r="I889" s="180"/>
      <c r="J889" s="180"/>
      <c r="K889" s="180"/>
      <c r="L889" s="180"/>
      <c r="M889" s="180"/>
    </row>
    <row r="890" spans="1:13" ht="12">
      <c r="A890" s="174">
        <v>2</v>
      </c>
      <c r="B890" s="174"/>
      <c r="C890" s="161" t="s">
        <v>419</v>
      </c>
      <c r="D890" s="161" t="s">
        <v>271</v>
      </c>
      <c r="E890" s="174">
        <v>2</v>
      </c>
      <c r="F890" s="174"/>
      <c r="G890" s="180">
        <f>9168742</f>
        <v>9168742</v>
      </c>
      <c r="H890" s="180">
        <f>20219881</f>
        <v>20219881</v>
      </c>
      <c r="I890" s="180"/>
      <c r="J890" s="180"/>
      <c r="K890" s="180"/>
      <c r="L890" s="180"/>
      <c r="M890" s="180"/>
    </row>
    <row r="891" spans="1:13" ht="12">
      <c r="A891" s="174">
        <v>3</v>
      </c>
      <c r="B891" s="174"/>
      <c r="C891" s="161" t="s">
        <v>419</v>
      </c>
      <c r="D891" s="161" t="s">
        <v>270</v>
      </c>
      <c r="E891" s="174">
        <v>3</v>
      </c>
      <c r="F891" s="174"/>
      <c r="I891" s="180">
        <f>7070000</f>
        <v>7070000</v>
      </c>
      <c r="J891" s="180">
        <f>19895263</f>
        <v>19895263</v>
      </c>
      <c r="K891" s="180"/>
      <c r="L891" s="180"/>
      <c r="M891" s="180"/>
    </row>
    <row r="892" spans="1:13" ht="12">
      <c r="A892" s="174">
        <v>4</v>
      </c>
      <c r="B892" s="174"/>
      <c r="C892" s="161" t="s">
        <v>420</v>
      </c>
      <c r="D892" s="161" t="s">
        <v>271</v>
      </c>
      <c r="E892" s="174">
        <v>4</v>
      </c>
      <c r="F892" s="174"/>
      <c r="H892" s="180">
        <f>5101051</f>
        <v>5101051</v>
      </c>
      <c r="I892" s="180"/>
      <c r="J892" s="180"/>
      <c r="K892" s="180"/>
      <c r="L892" s="180"/>
      <c r="M892" s="180"/>
    </row>
    <row r="893" spans="1:13" ht="12">
      <c r="A893" s="174">
        <v>5</v>
      </c>
      <c r="B893" s="174"/>
      <c r="C893" s="161" t="s">
        <v>421</v>
      </c>
      <c r="D893" s="161" t="s">
        <v>422</v>
      </c>
      <c r="E893" s="174">
        <v>5</v>
      </c>
      <c r="F893" s="174"/>
      <c r="G893" s="180"/>
      <c r="H893" s="180">
        <v>12960000</v>
      </c>
      <c r="I893" s="180"/>
      <c r="J893" s="180"/>
      <c r="K893" s="180"/>
      <c r="L893" s="180"/>
      <c r="M893" s="180"/>
    </row>
    <row r="894" spans="1:13" ht="12">
      <c r="A894" s="174">
        <v>6</v>
      </c>
      <c r="B894" s="174"/>
      <c r="C894" s="161" t="s">
        <v>423</v>
      </c>
      <c r="D894" s="161" t="s">
        <v>422</v>
      </c>
      <c r="E894" s="174">
        <v>6</v>
      </c>
      <c r="F894" s="174"/>
      <c r="G894" s="180"/>
      <c r="H894" s="180">
        <v>2637041</v>
      </c>
      <c r="I894" s="180"/>
      <c r="J894" s="180"/>
      <c r="K894" s="180"/>
      <c r="L894" s="180"/>
      <c r="M894" s="180"/>
    </row>
    <row r="895" spans="1:13" ht="12">
      <c r="A895" s="174">
        <v>7</v>
      </c>
      <c r="B895" s="174"/>
      <c r="C895" s="161" t="s">
        <v>424</v>
      </c>
      <c r="D895" s="161" t="s">
        <v>422</v>
      </c>
      <c r="E895" s="174">
        <v>7</v>
      </c>
      <c r="F895" s="174"/>
      <c r="G895" s="180"/>
      <c r="H895" s="180">
        <v>67000000</v>
      </c>
      <c r="I895" s="180"/>
      <c r="J895" s="180"/>
      <c r="K895" s="180"/>
      <c r="L895" s="180"/>
      <c r="M895" s="180"/>
    </row>
    <row r="896" spans="1:13" ht="12">
      <c r="A896" s="174">
        <v>8</v>
      </c>
      <c r="B896" s="174"/>
      <c r="C896" s="161" t="s">
        <v>425</v>
      </c>
      <c r="D896" s="161" t="s">
        <v>426</v>
      </c>
      <c r="E896" s="174">
        <v>8</v>
      </c>
      <c r="F896" s="174"/>
      <c r="G896" s="180">
        <f>2657767</f>
        <v>2657767</v>
      </c>
      <c r="H896" s="180">
        <f>285308</f>
        <v>285308</v>
      </c>
      <c r="I896" s="180"/>
      <c r="J896" s="180"/>
      <c r="K896" s="180"/>
      <c r="L896" s="180"/>
      <c r="M896" s="180"/>
    </row>
    <row r="897" spans="1:13" ht="12">
      <c r="A897" s="174">
        <v>9</v>
      </c>
      <c r="B897" s="174"/>
      <c r="C897" s="161" t="s">
        <v>427</v>
      </c>
      <c r="D897" s="161" t="s">
        <v>270</v>
      </c>
      <c r="E897" s="174">
        <v>9</v>
      </c>
      <c r="F897" s="174"/>
      <c r="H897" s="180"/>
      <c r="I897" s="180">
        <f>11559536</f>
        <v>11559536</v>
      </c>
      <c r="J897" s="180">
        <f>1284396</f>
        <v>1284396</v>
      </c>
      <c r="K897" s="180"/>
      <c r="L897" s="180"/>
      <c r="M897" s="180"/>
    </row>
    <row r="898" spans="1:13" ht="12">
      <c r="A898" s="174">
        <v>10</v>
      </c>
      <c r="B898" s="174"/>
      <c r="C898" s="161" t="s">
        <v>428</v>
      </c>
      <c r="D898" s="161" t="s">
        <v>426</v>
      </c>
      <c r="E898" s="174">
        <v>10</v>
      </c>
      <c r="F898" s="174"/>
      <c r="G898" s="180">
        <f>991015</f>
        <v>991015</v>
      </c>
      <c r="I898" s="180"/>
      <c r="J898" s="180"/>
      <c r="K898" s="180"/>
      <c r="L898" s="180"/>
      <c r="M898" s="180"/>
    </row>
    <row r="899" spans="1:13" ht="12">
      <c r="A899" s="174">
        <v>11</v>
      </c>
      <c r="B899" s="174"/>
      <c r="C899" s="161" t="s">
        <v>429</v>
      </c>
      <c r="D899" s="161" t="s">
        <v>270</v>
      </c>
      <c r="E899" s="174">
        <v>11</v>
      </c>
      <c r="F899" s="174"/>
      <c r="G899" s="180"/>
      <c r="H899" s="180"/>
      <c r="I899" s="180">
        <f>8435946</f>
        <v>8435946</v>
      </c>
      <c r="J899" s="180"/>
      <c r="K899" s="180"/>
      <c r="L899" s="180"/>
      <c r="M899" s="180"/>
    </row>
    <row r="900" spans="1:13" ht="12">
      <c r="A900" s="174">
        <v>12</v>
      </c>
      <c r="B900" s="174"/>
      <c r="C900" s="161" t="s">
        <v>430</v>
      </c>
      <c r="D900" s="161" t="s">
        <v>431</v>
      </c>
      <c r="E900" s="174">
        <v>12</v>
      </c>
      <c r="F900" s="174"/>
      <c r="G900" s="180"/>
      <c r="H900" s="180"/>
      <c r="I900" s="180"/>
      <c r="J900" s="180">
        <f>41295359</f>
        <v>41295359</v>
      </c>
      <c r="K900" s="180"/>
      <c r="L900" s="180"/>
      <c r="M900" s="180"/>
    </row>
    <row r="901" spans="1:13" ht="12">
      <c r="A901" s="174">
        <v>13</v>
      </c>
      <c r="B901" s="174"/>
      <c r="C901" s="161" t="s">
        <v>432</v>
      </c>
      <c r="D901" s="161" t="s">
        <v>431</v>
      </c>
      <c r="E901" s="174">
        <v>13</v>
      </c>
      <c r="F901" s="174"/>
      <c r="G901" s="180"/>
      <c r="H901" s="180"/>
      <c r="I901" s="180"/>
      <c r="J901" s="180">
        <f>13894624</f>
        <v>13894624</v>
      </c>
      <c r="K901" s="180"/>
      <c r="L901" s="180"/>
      <c r="M901" s="180"/>
    </row>
    <row r="902" spans="1:13" ht="12">
      <c r="A902" s="174">
        <v>14</v>
      </c>
      <c r="B902" s="174"/>
      <c r="C902" s="161" t="s">
        <v>433</v>
      </c>
      <c r="D902" s="161" t="s">
        <v>270</v>
      </c>
      <c r="E902" s="174">
        <v>14</v>
      </c>
      <c r="F902" s="174"/>
      <c r="G902" s="180"/>
      <c r="H902" s="180"/>
      <c r="I902" s="180"/>
      <c r="J902" s="180">
        <f>12888973</f>
        <v>12888973</v>
      </c>
      <c r="K902" s="180"/>
      <c r="L902" s="180"/>
      <c r="M902" s="180"/>
    </row>
    <row r="903" spans="1:13" ht="12">
      <c r="A903" s="174">
        <v>15</v>
      </c>
      <c r="B903" s="174"/>
      <c r="C903" s="161" t="s">
        <v>434</v>
      </c>
      <c r="D903" s="161" t="s">
        <v>431</v>
      </c>
      <c r="E903" s="174">
        <v>15</v>
      </c>
      <c r="F903" s="174"/>
      <c r="G903" s="180"/>
      <c r="H903" s="180"/>
      <c r="I903" s="180"/>
      <c r="J903" s="180">
        <f>65595535</f>
        <v>65595535</v>
      </c>
      <c r="K903" s="180"/>
      <c r="L903" s="180"/>
      <c r="M903" s="180"/>
    </row>
    <row r="904" spans="1:13" ht="12">
      <c r="A904" s="174">
        <v>16</v>
      </c>
      <c r="B904" s="174"/>
      <c r="C904" s="161" t="s">
        <v>435</v>
      </c>
      <c r="D904" s="161" t="s">
        <v>431</v>
      </c>
      <c r="E904" s="174">
        <v>16</v>
      </c>
      <c r="F904" s="174"/>
      <c r="G904" s="180"/>
      <c r="H904" s="180"/>
      <c r="I904" s="180"/>
      <c r="J904" s="180">
        <f>75190106</f>
        <v>75190106</v>
      </c>
      <c r="K904" s="180"/>
      <c r="L904" s="180"/>
      <c r="M904" s="180"/>
    </row>
    <row r="905" spans="1:13" ht="12">
      <c r="A905" s="174">
        <v>17</v>
      </c>
      <c r="B905" s="174"/>
      <c r="C905" s="161" t="s">
        <v>628</v>
      </c>
      <c r="D905" s="161" t="s">
        <v>431</v>
      </c>
      <c r="E905" s="174">
        <v>17</v>
      </c>
      <c r="F905" s="174"/>
      <c r="G905" s="180"/>
      <c r="H905" s="180"/>
      <c r="I905" s="180"/>
      <c r="J905" s="180">
        <f>5500000</f>
        <v>5500000</v>
      </c>
      <c r="K905" s="180"/>
      <c r="L905" s="180"/>
      <c r="M905" s="180"/>
    </row>
    <row r="906" spans="1:13" ht="12">
      <c r="A906" s="174">
        <v>18</v>
      </c>
      <c r="B906" s="174"/>
      <c r="C906" s="161" t="s">
        <v>436</v>
      </c>
      <c r="D906" s="161" t="s">
        <v>431</v>
      </c>
      <c r="E906" s="174">
        <v>18</v>
      </c>
      <c r="F906" s="174"/>
      <c r="G906" s="180"/>
      <c r="H906" s="180"/>
      <c r="I906" s="180"/>
      <c r="J906" s="180">
        <f>2021000</f>
        <v>2021000</v>
      </c>
      <c r="K906" s="180"/>
      <c r="L906" s="180"/>
      <c r="M906" s="180"/>
    </row>
    <row r="907" spans="1:13" ht="12">
      <c r="A907" s="174">
        <v>19</v>
      </c>
      <c r="B907" s="174"/>
      <c r="C907" s="161" t="s">
        <v>629</v>
      </c>
      <c r="D907" s="161" t="s">
        <v>630</v>
      </c>
      <c r="E907" s="174">
        <v>19</v>
      </c>
      <c r="F907" s="174"/>
      <c r="L907" s="180"/>
      <c r="M907" s="180">
        <f>9985000</f>
        <v>9985000</v>
      </c>
    </row>
    <row r="908" spans="1:13" ht="12">
      <c r="A908" s="174">
        <v>20</v>
      </c>
      <c r="B908" s="174"/>
      <c r="C908" s="161" t="s">
        <v>432</v>
      </c>
      <c r="D908" s="161" t="s">
        <v>630</v>
      </c>
      <c r="E908" s="174">
        <v>20</v>
      </c>
      <c r="F908" s="174"/>
      <c r="L908" s="180"/>
      <c r="M908" s="180">
        <f>1805376</f>
        <v>1805376</v>
      </c>
    </row>
    <row r="909" spans="1:13" ht="12">
      <c r="A909" s="174">
        <v>21</v>
      </c>
      <c r="B909" s="174"/>
      <c r="C909" s="161" t="s">
        <v>631</v>
      </c>
      <c r="D909" s="161" t="s">
        <v>630</v>
      </c>
      <c r="E909" s="174">
        <v>21</v>
      </c>
      <c r="F909" s="174"/>
      <c r="L909" s="180"/>
      <c r="M909" s="180">
        <f>51535000</f>
        <v>51535000</v>
      </c>
    </row>
    <row r="910" spans="1:13" ht="12">
      <c r="A910" s="174">
        <v>22</v>
      </c>
      <c r="B910" s="174"/>
      <c r="C910" s="161" t="s">
        <v>632</v>
      </c>
      <c r="D910" s="161" t="s">
        <v>630</v>
      </c>
      <c r="E910" s="174">
        <v>22</v>
      </c>
      <c r="F910" s="174"/>
      <c r="I910" s="180"/>
      <c r="J910" s="180"/>
      <c r="K910" s="180"/>
      <c r="L910" s="180"/>
      <c r="M910" s="180">
        <f>10925000</f>
        <v>10925000</v>
      </c>
    </row>
    <row r="911" spans="1:13" ht="12">
      <c r="A911" s="174">
        <v>23</v>
      </c>
      <c r="B911" s="174"/>
      <c r="E911" s="174">
        <v>23</v>
      </c>
      <c r="F911" s="174"/>
      <c r="I911" s="180"/>
      <c r="J911" s="180"/>
      <c r="K911" s="180"/>
      <c r="L911" s="180"/>
      <c r="M911" s="180"/>
    </row>
    <row r="912" spans="1:13" ht="12">
      <c r="A912" s="161">
        <v>24</v>
      </c>
      <c r="E912" s="161">
        <v>24</v>
      </c>
      <c r="I912" s="180"/>
      <c r="J912" s="180"/>
      <c r="K912" s="180"/>
      <c r="L912" s="180"/>
      <c r="M912" s="180"/>
    </row>
    <row r="913" spans="1:13" ht="12">
      <c r="A913" s="161">
        <v>25</v>
      </c>
      <c r="E913" s="161">
        <v>25</v>
      </c>
      <c r="I913" s="180"/>
      <c r="J913" s="180"/>
      <c r="K913" s="180"/>
      <c r="L913" s="180"/>
      <c r="M913" s="180"/>
    </row>
    <row r="914" spans="1:13" ht="12">
      <c r="A914" s="161" t="s">
        <v>437</v>
      </c>
      <c r="I914" s="180"/>
      <c r="J914" s="180"/>
      <c r="K914" s="180"/>
      <c r="L914" s="180"/>
      <c r="M914" s="180"/>
    </row>
    <row r="915" spans="9:13" ht="12">
      <c r="I915" s="180"/>
      <c r="J915" s="180"/>
      <c r="K915" s="180"/>
      <c r="L915" s="180"/>
      <c r="M915" s="180"/>
    </row>
    <row r="916" spans="1:13" ht="12">
      <c r="A916" s="227" t="s">
        <v>438</v>
      </c>
      <c r="B916" s="227"/>
      <c r="I916" s="180"/>
      <c r="J916" s="180"/>
      <c r="K916" s="180"/>
      <c r="L916" s="180"/>
      <c r="M916" s="180"/>
    </row>
    <row r="917" spans="1:13" ht="12">
      <c r="A917" s="227" t="s">
        <v>439</v>
      </c>
      <c r="B917" s="227"/>
      <c r="D917" s="109"/>
      <c r="E917" s="109"/>
      <c r="F917" s="109"/>
      <c r="G917" s="176"/>
      <c r="H917" s="176"/>
      <c r="I917" s="177"/>
      <c r="J917" s="177"/>
      <c r="K917" s="177"/>
      <c r="L917" s="177"/>
      <c r="M917" s="177"/>
    </row>
    <row r="918" spans="1:13" ht="12">
      <c r="A918" s="161" t="s">
        <v>440</v>
      </c>
      <c r="D918" s="109"/>
      <c r="E918" s="109"/>
      <c r="F918" s="109"/>
      <c r="G918" s="176"/>
      <c r="H918" s="176"/>
      <c r="I918" s="177"/>
      <c r="J918" s="177"/>
      <c r="K918" s="177"/>
      <c r="L918" s="177"/>
      <c r="M918" s="177"/>
    </row>
    <row r="919" spans="3:10" ht="12">
      <c r="C919" s="222"/>
      <c r="D919" s="188"/>
      <c r="I919" s="178"/>
      <c r="J919" s="165"/>
    </row>
    <row r="920" spans="1:13" ht="12">
      <c r="A920" s="223" t="s">
        <v>299</v>
      </c>
      <c r="B920" s="223"/>
      <c r="C920" s="222"/>
      <c r="D920" s="188"/>
      <c r="I920" s="178"/>
      <c r="J920" s="165"/>
      <c r="M920" s="163" t="s">
        <v>98</v>
      </c>
    </row>
    <row r="921" spans="1:13" ht="12">
      <c r="A921" s="406" t="s">
        <v>441</v>
      </c>
      <c r="B921" s="406"/>
      <c r="C921" s="406"/>
      <c r="D921" s="406"/>
      <c r="E921" s="406"/>
      <c r="F921" s="406"/>
      <c r="G921" s="406"/>
      <c r="H921" s="406"/>
      <c r="I921" s="406"/>
      <c r="J921" s="406"/>
      <c r="K921" s="406"/>
      <c r="L921" s="406"/>
      <c r="M921" s="406"/>
    </row>
    <row r="922" spans="1:13" ht="12">
      <c r="A922" s="409" t="s">
        <v>328</v>
      </c>
      <c r="B922" s="409"/>
      <c r="C922" s="409"/>
      <c r="D922" s="409"/>
      <c r="E922" s="409"/>
      <c r="F922" s="409"/>
      <c r="G922" s="409"/>
      <c r="H922" s="409"/>
      <c r="M922" s="264" t="str">
        <f>M883</f>
        <v>Date: 10/1/2009</v>
      </c>
    </row>
    <row r="923" spans="1:13" ht="12">
      <c r="A923" s="166" t="s">
        <v>1</v>
      </c>
      <c r="B923" s="166"/>
      <c r="C923" s="224" t="s">
        <v>1</v>
      </c>
      <c r="D923" s="166" t="s">
        <v>1</v>
      </c>
      <c r="E923" s="166" t="s">
        <v>1</v>
      </c>
      <c r="F923" s="166"/>
      <c r="G923" s="166" t="s">
        <v>1</v>
      </c>
      <c r="H923" s="166" t="s">
        <v>1</v>
      </c>
      <c r="I923" s="166" t="s">
        <v>1</v>
      </c>
      <c r="J923" s="166" t="s">
        <v>1</v>
      </c>
      <c r="K923" s="166" t="s">
        <v>1</v>
      </c>
      <c r="L923" s="166"/>
      <c r="M923" s="166" t="s">
        <v>1</v>
      </c>
    </row>
    <row r="924" spans="1:13" ht="12">
      <c r="A924" s="168" t="s">
        <v>2</v>
      </c>
      <c r="B924" s="168"/>
      <c r="C924" s="222"/>
      <c r="D924" s="188"/>
      <c r="E924" s="168" t="s">
        <v>2</v>
      </c>
      <c r="F924" s="168"/>
      <c r="G924" s="405" t="s">
        <v>241</v>
      </c>
      <c r="H924" s="405"/>
      <c r="I924" s="405" t="s">
        <v>256</v>
      </c>
      <c r="J924" s="405"/>
      <c r="K924" s="405" t="s">
        <v>624</v>
      </c>
      <c r="L924" s="405"/>
      <c r="M924" s="405"/>
    </row>
    <row r="925" spans="1:13" ht="24" customHeight="1">
      <c r="A925" s="168" t="s">
        <v>4</v>
      </c>
      <c r="B925" s="168"/>
      <c r="C925" s="225" t="s">
        <v>415</v>
      </c>
      <c r="D925" s="226" t="s">
        <v>416</v>
      </c>
      <c r="E925" s="168" t="s">
        <v>4</v>
      </c>
      <c r="F925" s="168"/>
      <c r="G925" s="151" t="s">
        <v>91</v>
      </c>
      <c r="H925" s="151" t="s">
        <v>92</v>
      </c>
      <c r="I925" s="151" t="s">
        <v>91</v>
      </c>
      <c r="J925" s="151" t="s">
        <v>92</v>
      </c>
      <c r="K925" s="151" t="s">
        <v>91</v>
      </c>
      <c r="L925" s="151"/>
      <c r="M925" s="151" t="s">
        <v>92</v>
      </c>
    </row>
    <row r="926" spans="3:13" ht="12">
      <c r="C926" s="222"/>
      <c r="D926" s="226" t="s">
        <v>417</v>
      </c>
      <c r="E926" s="188"/>
      <c r="F926" s="188"/>
      <c r="G926" s="197" t="s">
        <v>418</v>
      </c>
      <c r="H926" s="151" t="s">
        <v>94</v>
      </c>
      <c r="I926" s="197" t="s">
        <v>418</v>
      </c>
      <c r="J926" s="151" t="s">
        <v>94</v>
      </c>
      <c r="K926" s="197" t="s">
        <v>418</v>
      </c>
      <c r="L926" s="197"/>
      <c r="M926" s="151" t="s">
        <v>94</v>
      </c>
    </row>
    <row r="927" spans="1:13" ht="12">
      <c r="A927" s="166" t="s">
        <v>1</v>
      </c>
      <c r="B927" s="166"/>
      <c r="C927" s="224" t="s">
        <v>1</v>
      </c>
      <c r="D927" s="166" t="s">
        <v>1</v>
      </c>
      <c r="E927" s="166" t="s">
        <v>1</v>
      </c>
      <c r="F927" s="166"/>
      <c r="G927" s="40" t="s">
        <v>1</v>
      </c>
      <c r="H927" s="40" t="s">
        <v>1</v>
      </c>
      <c r="I927" s="40" t="s">
        <v>1</v>
      </c>
      <c r="J927" s="40" t="s">
        <v>1</v>
      </c>
      <c r="K927" s="40" t="s">
        <v>1</v>
      </c>
      <c r="L927" s="40"/>
      <c r="M927" s="176" t="s">
        <v>1</v>
      </c>
    </row>
    <row r="928" spans="1:13" ht="12">
      <c r="A928" s="174">
        <v>26</v>
      </c>
      <c r="B928" s="174"/>
      <c r="C928" s="228" t="s">
        <v>96</v>
      </c>
      <c r="D928" s="229"/>
      <c r="E928" s="174">
        <v>26</v>
      </c>
      <c r="F928" s="174"/>
      <c r="I928" s="180"/>
      <c r="J928" s="180"/>
      <c r="K928" s="180"/>
      <c r="L928" s="180"/>
      <c r="M928" s="180"/>
    </row>
    <row r="929" spans="1:13" ht="24" customHeight="1">
      <c r="A929" s="174">
        <v>27</v>
      </c>
      <c r="B929" s="174"/>
      <c r="C929" s="161" t="s">
        <v>442</v>
      </c>
      <c r="D929" s="161" t="s">
        <v>271</v>
      </c>
      <c r="E929" s="174">
        <v>27</v>
      </c>
      <c r="F929" s="174"/>
      <c r="G929" s="180">
        <f>507011</f>
        <v>507011</v>
      </c>
      <c r="H929" s="180"/>
      <c r="I929" s="180"/>
      <c r="J929" s="180"/>
      <c r="K929" s="180"/>
      <c r="L929" s="180"/>
      <c r="M929" s="180"/>
    </row>
    <row r="930" spans="1:13" ht="24">
      <c r="A930" s="174">
        <v>28</v>
      </c>
      <c r="B930" s="174"/>
      <c r="C930" s="228" t="s">
        <v>443</v>
      </c>
      <c r="D930" s="161" t="s">
        <v>271</v>
      </c>
      <c r="E930" s="174">
        <v>28</v>
      </c>
      <c r="F930" s="174"/>
      <c r="G930" s="180">
        <f>765766</f>
        <v>765766</v>
      </c>
      <c r="H930" s="180"/>
      <c r="I930" s="180"/>
      <c r="J930" s="180"/>
      <c r="K930" s="180"/>
      <c r="L930" s="180"/>
      <c r="M930" s="180"/>
    </row>
    <row r="931" spans="1:13" ht="12">
      <c r="A931" s="174">
        <v>29</v>
      </c>
      <c r="B931" s="174"/>
      <c r="C931" s="161" t="s">
        <v>444</v>
      </c>
      <c r="D931" s="161" t="s">
        <v>271</v>
      </c>
      <c r="E931" s="174">
        <v>29</v>
      </c>
      <c r="F931" s="174"/>
      <c r="G931" s="180">
        <f>451742</f>
        <v>451742</v>
      </c>
      <c r="H931" s="180"/>
      <c r="I931" s="180"/>
      <c r="J931" s="180"/>
      <c r="K931" s="180"/>
      <c r="L931" s="180"/>
      <c r="M931" s="180"/>
    </row>
    <row r="932" spans="1:13" ht="24" customHeight="1">
      <c r="A932" s="174">
        <v>30</v>
      </c>
      <c r="B932" s="174"/>
      <c r="C932" s="161" t="s">
        <v>445</v>
      </c>
      <c r="D932" s="161" t="s">
        <v>271</v>
      </c>
      <c r="E932" s="174">
        <v>30</v>
      </c>
      <c r="F932" s="174"/>
      <c r="G932" s="180">
        <f>425252</f>
        <v>425252</v>
      </c>
      <c r="H932" s="180"/>
      <c r="I932" s="180"/>
      <c r="J932" s="180"/>
      <c r="K932" s="180"/>
      <c r="L932" s="180"/>
      <c r="M932" s="180"/>
    </row>
    <row r="933" spans="1:13" ht="24" customHeight="1">
      <c r="A933" s="174">
        <v>31</v>
      </c>
      <c r="B933" s="174"/>
      <c r="C933" s="161" t="s">
        <v>446</v>
      </c>
      <c r="D933" s="161" t="s">
        <v>271</v>
      </c>
      <c r="E933" s="174">
        <v>31</v>
      </c>
      <c r="F933" s="174"/>
      <c r="G933" s="180">
        <f>362351</f>
        <v>362351</v>
      </c>
      <c r="H933" s="180"/>
      <c r="I933" s="180"/>
      <c r="J933" s="180"/>
      <c r="K933" s="180"/>
      <c r="L933" s="180"/>
      <c r="M933" s="180"/>
    </row>
    <row r="934" spans="1:13" ht="12">
      <c r="A934" s="174">
        <v>32</v>
      </c>
      <c r="B934" s="174"/>
      <c r="C934" s="161" t="s">
        <v>447</v>
      </c>
      <c r="D934" s="161" t="s">
        <v>271</v>
      </c>
      <c r="E934" s="174">
        <v>32</v>
      </c>
      <c r="F934" s="174"/>
      <c r="G934" s="180">
        <f>535203</f>
        <v>535203</v>
      </c>
      <c r="H934" s="180"/>
      <c r="I934" s="180"/>
      <c r="J934" s="180"/>
      <c r="K934" s="180"/>
      <c r="L934" s="180"/>
      <c r="M934" s="180"/>
    </row>
    <row r="935" spans="1:13" ht="12">
      <c r="A935" s="174">
        <v>33</v>
      </c>
      <c r="B935" s="174"/>
      <c r="C935" s="161" t="s">
        <v>448</v>
      </c>
      <c r="D935" s="161" t="s">
        <v>271</v>
      </c>
      <c r="E935" s="174">
        <v>33</v>
      </c>
      <c r="F935" s="174"/>
      <c r="G935" s="180">
        <f>217568</f>
        <v>217568</v>
      </c>
      <c r="H935" s="180"/>
      <c r="I935" s="180"/>
      <c r="J935" s="180"/>
      <c r="K935" s="180"/>
      <c r="L935" s="180"/>
      <c r="M935" s="180"/>
    </row>
    <row r="936" spans="1:13" ht="12">
      <c r="A936" s="174">
        <v>34</v>
      </c>
      <c r="B936" s="174"/>
      <c r="C936" s="161" t="s">
        <v>449</v>
      </c>
      <c r="D936" s="161" t="s">
        <v>426</v>
      </c>
      <c r="E936" s="174">
        <v>34</v>
      </c>
      <c r="F936" s="174"/>
      <c r="G936" s="180">
        <f>100907</f>
        <v>100907</v>
      </c>
      <c r="I936" s="180"/>
      <c r="J936" s="180"/>
      <c r="K936" s="180"/>
      <c r="L936" s="180"/>
      <c r="M936" s="180"/>
    </row>
    <row r="937" spans="1:13" ht="12">
      <c r="A937" s="174">
        <v>35</v>
      </c>
      <c r="B937" s="174"/>
      <c r="C937" s="161" t="s">
        <v>450</v>
      </c>
      <c r="D937" s="161" t="s">
        <v>270</v>
      </c>
      <c r="E937" s="174">
        <v>35</v>
      </c>
      <c r="F937" s="174"/>
      <c r="G937" s="180"/>
      <c r="I937" s="180">
        <f>529720</f>
        <v>529720</v>
      </c>
      <c r="J937" s="180"/>
      <c r="K937" s="180"/>
      <c r="L937" s="180"/>
      <c r="M937" s="180"/>
    </row>
    <row r="938" spans="1:13" ht="12">
      <c r="A938" s="174">
        <v>36</v>
      </c>
      <c r="B938" s="174"/>
      <c r="C938" s="161" t="s">
        <v>451</v>
      </c>
      <c r="D938" s="161" t="s">
        <v>270</v>
      </c>
      <c r="E938" s="174">
        <v>36</v>
      </c>
      <c r="F938" s="174"/>
      <c r="G938" s="180"/>
      <c r="I938" s="180">
        <f>976767</f>
        <v>976767</v>
      </c>
      <c r="J938" s="180"/>
      <c r="K938" s="180"/>
      <c r="L938" s="180"/>
      <c r="M938" s="180"/>
    </row>
    <row r="939" spans="1:13" ht="12">
      <c r="A939" s="174">
        <v>37</v>
      </c>
      <c r="B939" s="174"/>
      <c r="C939" s="161" t="s">
        <v>452</v>
      </c>
      <c r="D939" s="161" t="s">
        <v>270</v>
      </c>
      <c r="E939" s="174">
        <v>37</v>
      </c>
      <c r="F939" s="174"/>
      <c r="G939" s="180"/>
      <c r="I939" s="180">
        <f>418063</f>
        <v>418063</v>
      </c>
      <c r="J939" s="180"/>
      <c r="K939" s="180"/>
      <c r="L939" s="180"/>
      <c r="M939" s="180"/>
    </row>
    <row r="940" spans="1:13" ht="12">
      <c r="A940" s="174">
        <v>38</v>
      </c>
      <c r="B940" s="174"/>
      <c r="C940" s="161" t="s">
        <v>625</v>
      </c>
      <c r="D940" s="161" t="s">
        <v>626</v>
      </c>
      <c r="E940" s="174">
        <v>38</v>
      </c>
      <c r="F940" s="174"/>
      <c r="J940" s="180"/>
      <c r="K940" s="180"/>
      <c r="L940" s="180">
        <f>1596097</f>
        <v>1596097</v>
      </c>
      <c r="M940" s="180"/>
    </row>
    <row r="941" spans="1:13" ht="12">
      <c r="A941" s="174">
        <v>39</v>
      </c>
      <c r="B941" s="174"/>
      <c r="C941" s="161" t="s">
        <v>627</v>
      </c>
      <c r="D941" s="161" t="s">
        <v>626</v>
      </c>
      <c r="E941" s="174">
        <v>39</v>
      </c>
      <c r="F941" s="174"/>
      <c r="J941" s="180"/>
      <c r="K941" s="180"/>
      <c r="L941" s="180">
        <f>871530</f>
        <v>871530</v>
      </c>
      <c r="M941" s="180"/>
    </row>
    <row r="942" spans="1:13" ht="12">
      <c r="A942" s="174">
        <v>40</v>
      </c>
      <c r="B942" s="174"/>
      <c r="E942" s="174">
        <v>40</v>
      </c>
      <c r="F942" s="174"/>
      <c r="J942" s="180"/>
      <c r="K942" s="180"/>
      <c r="L942" s="180"/>
      <c r="M942" s="180"/>
    </row>
    <row r="943" spans="1:13" ht="12">
      <c r="A943" s="174">
        <v>41</v>
      </c>
      <c r="B943" s="174"/>
      <c r="E943" s="174">
        <v>41</v>
      </c>
      <c r="F943" s="174"/>
      <c r="I943" s="180"/>
      <c r="K943" s="180"/>
      <c r="L943" s="180"/>
      <c r="M943" s="180"/>
    </row>
    <row r="944" spans="1:13" ht="12">
      <c r="A944" s="174">
        <v>42</v>
      </c>
      <c r="B944" s="174"/>
      <c r="E944" s="174">
        <v>42</v>
      </c>
      <c r="F944" s="174"/>
      <c r="I944" s="180"/>
      <c r="K944" s="180"/>
      <c r="L944" s="180"/>
      <c r="M944" s="180"/>
    </row>
    <row r="945" spans="1:13" ht="12">
      <c r="A945" s="231">
        <v>43</v>
      </c>
      <c r="B945" s="231"/>
      <c r="E945" s="231">
        <v>43</v>
      </c>
      <c r="F945" s="231"/>
      <c r="I945" s="180"/>
      <c r="K945" s="180"/>
      <c r="L945" s="180"/>
      <c r="M945" s="180"/>
    </row>
    <row r="946" spans="1:13" ht="12">
      <c r="A946" s="231">
        <v>44</v>
      </c>
      <c r="B946" s="231"/>
      <c r="E946" s="231">
        <v>44</v>
      </c>
      <c r="F946" s="231"/>
      <c r="I946" s="180"/>
      <c r="K946" s="180"/>
      <c r="L946" s="180"/>
      <c r="M946" s="180"/>
    </row>
    <row r="947" spans="1:13" ht="12">
      <c r="A947" s="231">
        <v>45</v>
      </c>
      <c r="B947" s="231"/>
      <c r="E947" s="231">
        <v>45</v>
      </c>
      <c r="F947" s="231"/>
      <c r="I947" s="180"/>
      <c r="K947" s="180"/>
      <c r="L947" s="180"/>
      <c r="M947" s="180"/>
    </row>
    <row r="948" spans="1:13" ht="12">
      <c r="A948" s="231">
        <v>46</v>
      </c>
      <c r="B948" s="231"/>
      <c r="E948" s="231">
        <v>46</v>
      </c>
      <c r="F948" s="231"/>
      <c r="I948" s="180"/>
      <c r="K948" s="180"/>
      <c r="L948" s="180"/>
      <c r="M948" s="180"/>
    </row>
    <row r="949" spans="1:13" ht="12">
      <c r="A949" s="231">
        <v>47</v>
      </c>
      <c r="B949" s="231"/>
      <c r="E949" s="231">
        <v>47</v>
      </c>
      <c r="F949" s="231"/>
      <c r="I949" s="180"/>
      <c r="K949" s="180"/>
      <c r="L949" s="180"/>
      <c r="M949" s="180"/>
    </row>
    <row r="950" spans="1:13" ht="12">
      <c r="A950" s="231">
        <v>48</v>
      </c>
      <c r="B950" s="231"/>
      <c r="E950" s="231">
        <v>48</v>
      </c>
      <c r="F950" s="231"/>
      <c r="I950" s="180"/>
      <c r="K950" s="180"/>
      <c r="L950" s="180"/>
      <c r="M950" s="180"/>
    </row>
    <row r="951" spans="1:13" ht="12">
      <c r="A951" s="231">
        <v>49</v>
      </c>
      <c r="B951" s="231"/>
      <c r="E951" s="231">
        <v>49</v>
      </c>
      <c r="F951" s="231"/>
      <c r="I951" s="180"/>
      <c r="K951" s="180"/>
      <c r="L951" s="180"/>
      <c r="M951" s="180"/>
    </row>
    <row r="952" spans="1:13" ht="12">
      <c r="A952" s="232" t="s">
        <v>1</v>
      </c>
      <c r="B952" s="232"/>
      <c r="C952" s="42" t="s">
        <v>1</v>
      </c>
      <c r="D952" s="42" t="s">
        <v>1</v>
      </c>
      <c r="E952" s="232"/>
      <c r="F952" s="232"/>
      <c r="G952" s="176" t="s">
        <v>1</v>
      </c>
      <c r="H952" s="176" t="s">
        <v>1</v>
      </c>
      <c r="I952" s="177" t="s">
        <v>1</v>
      </c>
      <c r="J952" s="177" t="s">
        <v>1</v>
      </c>
      <c r="K952" s="177" t="s">
        <v>1</v>
      </c>
      <c r="L952" s="177"/>
      <c r="M952" s="177" t="s">
        <v>1</v>
      </c>
    </row>
    <row r="953" spans="1:13" ht="12">
      <c r="A953" s="231">
        <v>50</v>
      </c>
      <c r="B953" s="231"/>
      <c r="C953" s="225" t="s">
        <v>453</v>
      </c>
      <c r="D953" s="230"/>
      <c r="E953" s="231">
        <v>50</v>
      </c>
      <c r="F953" s="231"/>
      <c r="G953" s="78">
        <f aca="true" t="shared" si="32" ref="G953:M953">SUM(G889:G952)</f>
        <v>16183324</v>
      </c>
      <c r="H953" s="78">
        <f t="shared" si="32"/>
        <v>108203281</v>
      </c>
      <c r="I953" s="78">
        <f t="shared" si="32"/>
        <v>28990032</v>
      </c>
      <c r="J953" s="78">
        <f t="shared" si="32"/>
        <v>237565256</v>
      </c>
      <c r="K953" s="78">
        <f t="shared" si="32"/>
        <v>0</v>
      </c>
      <c r="L953" s="78"/>
      <c r="M953" s="78">
        <f t="shared" si="32"/>
        <v>74250376</v>
      </c>
    </row>
    <row r="954" spans="1:13" ht="12">
      <c r="A954" s="109" t="s">
        <v>1</v>
      </c>
      <c r="B954" s="109"/>
      <c r="C954" s="109" t="s">
        <v>1</v>
      </c>
      <c r="D954" s="109" t="s">
        <v>1</v>
      </c>
      <c r="E954" s="109"/>
      <c r="F954" s="109"/>
      <c r="G954" s="176" t="s">
        <v>1</v>
      </c>
      <c r="H954" s="176" t="s">
        <v>1</v>
      </c>
      <c r="I954" s="177" t="s">
        <v>1</v>
      </c>
      <c r="J954" s="177" t="s">
        <v>1</v>
      </c>
      <c r="K954" s="177" t="s">
        <v>1</v>
      </c>
      <c r="L954" s="177"/>
      <c r="M954" s="177" t="s">
        <v>1</v>
      </c>
    </row>
    <row r="955" spans="1:13" ht="12">
      <c r="A955" s="227" t="s">
        <v>438</v>
      </c>
      <c r="B955" s="227"/>
      <c r="C955" s="109"/>
      <c r="D955" s="109"/>
      <c r="E955" s="109"/>
      <c r="F955" s="109"/>
      <c r="G955" s="176"/>
      <c r="H955" s="176"/>
      <c r="I955" s="177"/>
      <c r="J955" s="177"/>
      <c r="K955" s="177"/>
      <c r="L955" s="177"/>
      <c r="M955" s="177"/>
    </row>
    <row r="956" spans="1:13" ht="12">
      <c r="A956" s="227" t="s">
        <v>439</v>
      </c>
      <c r="B956" s="227"/>
      <c r="D956" s="109"/>
      <c r="E956" s="109"/>
      <c r="F956" s="109"/>
      <c r="G956" s="176"/>
      <c r="H956" s="176"/>
      <c r="I956" s="177"/>
      <c r="J956" s="177"/>
      <c r="K956" s="177"/>
      <c r="L956" s="177"/>
      <c r="M956" s="177"/>
    </row>
    <row r="957" spans="1:13" ht="12">
      <c r="A957" s="161" t="s">
        <v>440</v>
      </c>
      <c r="C957" s="226"/>
      <c r="D957" s="109"/>
      <c r="E957" s="109"/>
      <c r="F957" s="109"/>
      <c r="G957" s="176"/>
      <c r="H957" s="176"/>
      <c r="I957" s="177"/>
      <c r="J957" s="177"/>
      <c r="K957" s="177"/>
      <c r="L957" s="177"/>
      <c r="M957" s="177"/>
    </row>
    <row r="958" spans="3:13" ht="12">
      <c r="C958" s="222"/>
      <c r="D958" s="188"/>
      <c r="I958" s="178"/>
      <c r="J958" s="165"/>
      <c r="M958" s="163"/>
    </row>
  </sheetData>
  <sheetProtection/>
  <mergeCells count="36">
    <mergeCell ref="C8:L8"/>
    <mergeCell ref="C9:L9"/>
    <mergeCell ref="A369:M369"/>
    <mergeCell ref="A626:M626"/>
    <mergeCell ref="A663:M663"/>
    <mergeCell ref="A589:M589"/>
    <mergeCell ref="A515:M515"/>
    <mergeCell ref="A552:M552"/>
    <mergeCell ref="A36:M36"/>
    <mergeCell ref="A477:M477"/>
    <mergeCell ref="A922:H922"/>
    <mergeCell ref="A262:M262"/>
    <mergeCell ref="I885:J885"/>
    <mergeCell ref="A76:M76"/>
    <mergeCell ref="A331:M331"/>
    <mergeCell ref="A116:M116"/>
    <mergeCell ref="A154:M154"/>
    <mergeCell ref="A189:M189"/>
    <mergeCell ref="A225:M225"/>
    <mergeCell ref="A290:M290"/>
    <mergeCell ref="G885:H885"/>
    <mergeCell ref="A739:M739"/>
    <mergeCell ref="A407:M407"/>
    <mergeCell ref="A20:M20"/>
    <mergeCell ref="A442:M442"/>
    <mergeCell ref="A921:M921"/>
    <mergeCell ref="K924:M924"/>
    <mergeCell ref="I924:J924"/>
    <mergeCell ref="G924:H924"/>
    <mergeCell ref="K885:M885"/>
    <mergeCell ref="A882:M882"/>
    <mergeCell ref="A700:M700"/>
    <mergeCell ref="A773:M773"/>
    <mergeCell ref="A810:M810"/>
    <mergeCell ref="A847:M847"/>
    <mergeCell ref="A883:H883"/>
  </mergeCells>
  <printOptions/>
  <pageMargins left="0.75" right="0.75" top="1" bottom="1" header="0.5" footer="0.24"/>
  <pageSetup fitToHeight="47" horizontalDpi="600" verticalDpi="600" orientation="landscape" scale="70" r:id="rId1"/>
  <rowBreaks count="26" manualBreakCount="26">
    <brk id="34" max="255" man="1"/>
    <brk id="73" max="255" man="1"/>
    <brk id="113" max="255" man="1"/>
    <brk id="151" max="255" man="1"/>
    <brk id="186" max="255" man="1"/>
    <brk id="222" max="255" man="1"/>
    <brk id="259" max="255" man="1"/>
    <brk id="287" max="255" man="1"/>
    <brk id="328" max="255" man="1"/>
    <brk id="366" max="255" man="1"/>
    <brk id="404" max="255" man="1"/>
    <brk id="439" max="255" man="1"/>
    <brk id="474" max="255" man="1"/>
    <brk id="512" max="255" man="1"/>
    <brk id="549" max="255" man="1"/>
    <brk id="586" max="255" man="1"/>
    <brk id="623" max="255" man="1"/>
    <brk id="660" max="255" man="1"/>
    <brk id="697" max="255" man="1"/>
    <brk id="736" max="255" man="1"/>
    <brk id="770" max="255" man="1"/>
    <brk id="807" max="255" man="1"/>
    <brk id="844" max="255" man="1"/>
    <brk id="879" max="255" man="1"/>
    <brk id="918" max="255" man="1"/>
    <brk id="9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S1003"/>
  <sheetViews>
    <sheetView showGridLines="0" zoomScale="75" zoomScaleNormal="75" zoomScaleSheetLayoutView="65" workbookViewId="0" topLeftCell="A1">
      <selection activeCell="Q4" sqref="Q4"/>
    </sheetView>
  </sheetViews>
  <sheetFormatPr defaultColWidth="9.625" defaultRowHeight="12.75"/>
  <cols>
    <col min="1" max="1" width="7.625" style="26" customWidth="1"/>
    <col min="2" max="2" width="1.875" style="26" customWidth="1"/>
    <col min="3" max="3" width="33.00390625" style="26" customWidth="1"/>
    <col min="4" max="4" width="20.75390625" style="26" customWidth="1"/>
    <col min="5" max="6" width="8.125" style="26" customWidth="1"/>
    <col min="7" max="7" width="10.625" style="26" customWidth="1"/>
    <col min="8" max="8" width="13.625" style="26" customWidth="1"/>
    <col min="9" max="9" width="10.625" style="27" customWidth="1"/>
    <col min="10" max="10" width="13.75390625" style="28" customWidth="1"/>
    <col min="11" max="11" width="8.875" style="26" customWidth="1"/>
    <col min="12" max="12" width="8.75390625" style="27" customWidth="1"/>
    <col min="13" max="13" width="13.625" style="28" customWidth="1"/>
    <col min="14" max="14" width="11.625" style="26" hidden="1" customWidth="1"/>
    <col min="15" max="15" width="0" style="26" hidden="1" customWidth="1"/>
    <col min="16" max="16384" width="9.625" style="26" customWidth="1"/>
  </cols>
  <sheetData>
    <row r="2" ht="12">
      <c r="M2" s="29" t="s">
        <v>146</v>
      </c>
    </row>
    <row r="3" ht="12">
      <c r="M3" s="270" t="s">
        <v>623</v>
      </c>
    </row>
    <row r="5" spans="1:13" ht="45">
      <c r="A5" s="401" t="s">
        <v>145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8" spans="1:13" s="64" customFormat="1" ht="33">
      <c r="A8" s="261" t="s">
        <v>245</v>
      </c>
      <c r="B8" s="261"/>
      <c r="C8" s="404" t="s">
        <v>574</v>
      </c>
      <c r="D8" s="404"/>
      <c r="E8" s="404"/>
      <c r="F8" s="404"/>
      <c r="G8" s="404"/>
      <c r="H8" s="404"/>
      <c r="I8" s="404"/>
      <c r="J8" s="404"/>
      <c r="K8" s="404"/>
      <c r="L8" s="404"/>
      <c r="M8" s="261"/>
    </row>
    <row r="9" spans="1:13" s="64" customFormat="1" ht="33">
      <c r="A9" s="261" t="s">
        <v>246</v>
      </c>
      <c r="B9" s="261"/>
      <c r="C9" s="404" t="s">
        <v>575</v>
      </c>
      <c r="D9" s="404"/>
      <c r="E9" s="404"/>
      <c r="F9" s="404"/>
      <c r="G9" s="404"/>
      <c r="H9" s="404"/>
      <c r="I9" s="404"/>
      <c r="J9" s="404"/>
      <c r="K9" s="404"/>
      <c r="L9" s="404"/>
      <c r="M9" s="261"/>
    </row>
    <row r="20" spans="1:13" ht="45">
      <c r="A20" s="402" t="s">
        <v>455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</row>
    <row r="33" spans="1:13" ht="12.75">
      <c r="A33" s="417" t="s">
        <v>664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</row>
    <row r="35" spans="1:13" ht="12">
      <c r="A35" s="30"/>
      <c r="C35" s="31"/>
      <c r="E35" s="30"/>
      <c r="F35" s="32"/>
      <c r="G35" s="32"/>
      <c r="H35" s="32"/>
      <c r="I35" s="33"/>
      <c r="J35" s="34"/>
      <c r="K35" s="32"/>
      <c r="L35" s="33"/>
      <c r="M35" s="34"/>
    </row>
    <row r="36" spans="1:13" ht="12">
      <c r="A36" s="38" t="s">
        <v>456</v>
      </c>
      <c r="I36" s="36"/>
      <c r="M36" s="37" t="s">
        <v>18</v>
      </c>
    </row>
    <row r="37" spans="1:13" s="65" customFormat="1" ht="12">
      <c r="A37" s="399" t="s">
        <v>19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</row>
    <row r="38" spans="1:13" ht="12">
      <c r="A38" s="38" t="s">
        <v>551</v>
      </c>
      <c r="C38" s="26" t="s">
        <v>455</v>
      </c>
      <c r="I38" s="36"/>
      <c r="K38" s="24"/>
      <c r="L38" s="36"/>
      <c r="M38" s="39" t="str">
        <f>$M$3</f>
        <v>Date: 10/1/2009</v>
      </c>
    </row>
    <row r="39" spans="1:13" ht="12">
      <c r="A39" s="40" t="s">
        <v>1</v>
      </c>
      <c r="B39" s="40" t="s">
        <v>1</v>
      </c>
      <c r="C39" s="40" t="s">
        <v>1</v>
      </c>
      <c r="D39" s="40" t="s">
        <v>1</v>
      </c>
      <c r="E39" s="40" t="s">
        <v>1</v>
      </c>
      <c r="F39" s="40" t="s">
        <v>1</v>
      </c>
      <c r="G39" s="40"/>
      <c r="H39" s="40"/>
      <c r="I39" s="41" t="s">
        <v>1</v>
      </c>
      <c r="J39" s="42" t="s">
        <v>1</v>
      </c>
      <c r="K39" s="40" t="s">
        <v>1</v>
      </c>
      <c r="L39" s="41" t="s">
        <v>1</v>
      </c>
      <c r="M39" s="42" t="s">
        <v>1</v>
      </c>
    </row>
    <row r="40" spans="1:13" ht="12">
      <c r="A40" s="43" t="s">
        <v>2</v>
      </c>
      <c r="C40" s="31" t="s">
        <v>3</v>
      </c>
      <c r="E40" s="43" t="s">
        <v>2</v>
      </c>
      <c r="F40" s="44"/>
      <c r="G40" s="44"/>
      <c r="H40" s="44" t="s">
        <v>240</v>
      </c>
      <c r="I40" s="45"/>
      <c r="J40" s="46" t="s">
        <v>247</v>
      </c>
      <c r="K40" s="44"/>
      <c r="L40" s="45"/>
      <c r="M40" s="46" t="s">
        <v>576</v>
      </c>
    </row>
    <row r="41" spans="1:13" ht="12">
      <c r="A41" s="43" t="s">
        <v>4</v>
      </c>
      <c r="C41" s="47" t="s">
        <v>5</v>
      </c>
      <c r="E41" s="43" t="s">
        <v>4</v>
      </c>
      <c r="F41" s="44"/>
      <c r="G41" s="44" t="s">
        <v>21</v>
      </c>
      <c r="H41" s="44" t="s">
        <v>7</v>
      </c>
      <c r="I41" s="44" t="s">
        <v>21</v>
      </c>
      <c r="J41" s="46" t="s">
        <v>7</v>
      </c>
      <c r="K41" s="44"/>
      <c r="L41" s="44" t="s">
        <v>21</v>
      </c>
      <c r="M41" s="46" t="s">
        <v>8</v>
      </c>
    </row>
    <row r="42" spans="1:13" ht="12">
      <c r="A42" s="40" t="s">
        <v>1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/>
      <c r="H42" s="40"/>
      <c r="I42" s="41" t="s">
        <v>1</v>
      </c>
      <c r="J42" s="41" t="s">
        <v>1</v>
      </c>
      <c r="K42" s="40" t="s">
        <v>1</v>
      </c>
      <c r="L42" s="41" t="s">
        <v>1</v>
      </c>
      <c r="M42" s="42" t="s">
        <v>1</v>
      </c>
    </row>
    <row r="43" spans="1:13" ht="12">
      <c r="A43" s="30">
        <v>1</v>
      </c>
      <c r="C43" s="31" t="s">
        <v>9</v>
      </c>
      <c r="D43" s="48" t="s">
        <v>105</v>
      </c>
      <c r="E43" s="30">
        <v>1</v>
      </c>
      <c r="G43" s="66">
        <v>463.19</v>
      </c>
      <c r="H43" s="67">
        <v>34558775</v>
      </c>
      <c r="I43" s="66">
        <v>466.59000000000003</v>
      </c>
      <c r="J43" s="67">
        <v>37217158</v>
      </c>
      <c r="K43" s="49"/>
      <c r="L43" s="66">
        <v>481.04</v>
      </c>
      <c r="M43" s="67">
        <v>38255139</v>
      </c>
    </row>
    <row r="44" spans="1:13" ht="12">
      <c r="A44" s="30">
        <v>2</v>
      </c>
      <c r="C44" s="31" t="s">
        <v>10</v>
      </c>
      <c r="D44" s="48" t="s">
        <v>106</v>
      </c>
      <c r="E44" s="30">
        <v>2</v>
      </c>
      <c r="G44" s="66">
        <v>1.4100000000000001</v>
      </c>
      <c r="H44" s="67">
        <v>542565</v>
      </c>
      <c r="I44" s="66">
        <v>1.75</v>
      </c>
      <c r="J44" s="67">
        <v>286976</v>
      </c>
      <c r="K44" s="49"/>
      <c r="L44" s="66">
        <v>1.75</v>
      </c>
      <c r="M44" s="67">
        <v>180398</v>
      </c>
    </row>
    <row r="45" spans="1:13" ht="12">
      <c r="A45" s="30">
        <v>3</v>
      </c>
      <c r="C45" s="31" t="s">
        <v>11</v>
      </c>
      <c r="D45" s="48" t="s">
        <v>107</v>
      </c>
      <c r="E45" s="30">
        <v>3</v>
      </c>
      <c r="G45" s="66">
        <v>0</v>
      </c>
      <c r="H45" s="67">
        <v>5054</v>
      </c>
      <c r="I45" s="66">
        <v>0</v>
      </c>
      <c r="J45" s="67">
        <v>55952</v>
      </c>
      <c r="K45" s="49"/>
      <c r="L45" s="66">
        <v>0</v>
      </c>
      <c r="M45" s="67">
        <v>0</v>
      </c>
    </row>
    <row r="46" spans="1:13" ht="12">
      <c r="A46" s="30">
        <v>4</v>
      </c>
      <c r="C46" s="31" t="s">
        <v>12</v>
      </c>
      <c r="D46" s="48" t="s">
        <v>108</v>
      </c>
      <c r="E46" s="30">
        <v>4</v>
      </c>
      <c r="G46" s="66">
        <v>69.55</v>
      </c>
      <c r="H46" s="67">
        <v>6960438</v>
      </c>
      <c r="I46" s="66">
        <v>76.19</v>
      </c>
      <c r="J46" s="67">
        <v>7914720</v>
      </c>
      <c r="K46" s="49"/>
      <c r="L46" s="66">
        <v>76.25</v>
      </c>
      <c r="M46" s="67">
        <v>8666729</v>
      </c>
    </row>
    <row r="47" spans="1:13" ht="12">
      <c r="A47" s="30">
        <v>5</v>
      </c>
      <c r="C47" s="31" t="s">
        <v>13</v>
      </c>
      <c r="D47" s="48" t="s">
        <v>109</v>
      </c>
      <c r="E47" s="30">
        <v>5</v>
      </c>
      <c r="G47" s="66">
        <v>64.09</v>
      </c>
      <c r="H47" s="67">
        <v>4994580</v>
      </c>
      <c r="I47" s="66">
        <v>69.2</v>
      </c>
      <c r="J47" s="67">
        <v>5449346</v>
      </c>
      <c r="K47" s="49"/>
      <c r="L47" s="66">
        <v>68.03999999999999</v>
      </c>
      <c r="M47" s="67">
        <v>7204931</v>
      </c>
    </row>
    <row r="48" spans="1:13" ht="12">
      <c r="A48" s="30">
        <v>6</v>
      </c>
      <c r="C48" s="31" t="s">
        <v>14</v>
      </c>
      <c r="D48" s="48" t="s">
        <v>110</v>
      </c>
      <c r="E48" s="30">
        <v>6</v>
      </c>
      <c r="G48" s="66">
        <v>62.53</v>
      </c>
      <c r="H48" s="67">
        <v>9484322</v>
      </c>
      <c r="I48" s="66">
        <v>68.25</v>
      </c>
      <c r="J48" s="67">
        <v>10105773.96</v>
      </c>
      <c r="K48" s="49"/>
      <c r="L48" s="66">
        <v>87.33</v>
      </c>
      <c r="M48" s="67">
        <v>12652986</v>
      </c>
    </row>
    <row r="49" spans="1:13" ht="12">
      <c r="A49" s="30">
        <v>7</v>
      </c>
      <c r="C49" s="31" t="s">
        <v>59</v>
      </c>
      <c r="D49" s="48" t="s">
        <v>111</v>
      </c>
      <c r="E49" s="30">
        <v>7</v>
      </c>
      <c r="G49" s="66">
        <v>56.5</v>
      </c>
      <c r="H49" s="67">
        <v>5252136</v>
      </c>
      <c r="I49" s="66">
        <v>64.86</v>
      </c>
      <c r="J49" s="67">
        <v>5696040</v>
      </c>
      <c r="K49" s="49"/>
      <c r="L49" s="66">
        <v>71.46</v>
      </c>
      <c r="M49" s="67">
        <v>6712335</v>
      </c>
    </row>
    <row r="50" spans="1:13" ht="12">
      <c r="A50" s="30">
        <v>8</v>
      </c>
      <c r="C50" s="31" t="s">
        <v>15</v>
      </c>
      <c r="D50" s="48" t="s">
        <v>112</v>
      </c>
      <c r="E50" s="30">
        <v>8</v>
      </c>
      <c r="G50" s="66">
        <v>0</v>
      </c>
      <c r="H50" s="67">
        <v>3584483</v>
      </c>
      <c r="I50" s="66">
        <v>0</v>
      </c>
      <c r="J50" s="67">
        <v>3802638</v>
      </c>
      <c r="K50" s="49"/>
      <c r="L50" s="66">
        <v>0</v>
      </c>
      <c r="M50" s="67">
        <v>3597625</v>
      </c>
    </row>
    <row r="51" spans="1:13" ht="12">
      <c r="A51" s="30">
        <v>9</v>
      </c>
      <c r="C51" s="31" t="s">
        <v>89</v>
      </c>
      <c r="D51" s="48" t="s">
        <v>113</v>
      </c>
      <c r="E51" s="30">
        <v>9</v>
      </c>
      <c r="G51" s="66">
        <v>0</v>
      </c>
      <c r="H51" s="67">
        <v>0</v>
      </c>
      <c r="I51" s="66">
        <v>0</v>
      </c>
      <c r="J51" s="67">
        <v>17562</v>
      </c>
      <c r="K51" s="49"/>
      <c r="L51" s="66">
        <v>0</v>
      </c>
      <c r="M51" s="67">
        <v>0</v>
      </c>
    </row>
    <row r="52" spans="1:13" ht="12">
      <c r="A52" s="30">
        <v>10</v>
      </c>
      <c r="C52" s="31" t="s">
        <v>16</v>
      </c>
      <c r="D52" s="48" t="s">
        <v>88</v>
      </c>
      <c r="E52" s="30">
        <v>10</v>
      </c>
      <c r="G52" s="66">
        <v>0</v>
      </c>
      <c r="H52" s="67">
        <v>295953</v>
      </c>
      <c r="I52" s="66">
        <v>0</v>
      </c>
      <c r="J52" s="67">
        <v>10242978</v>
      </c>
      <c r="K52" s="49"/>
      <c r="L52" s="66">
        <v>0</v>
      </c>
      <c r="M52" s="67">
        <v>1998048</v>
      </c>
    </row>
    <row r="53" spans="1:13" ht="12">
      <c r="A53" s="30"/>
      <c r="C53" s="31"/>
      <c r="D53" s="48"/>
      <c r="E53" s="30"/>
      <c r="F53" s="40" t="s">
        <v>1</v>
      </c>
      <c r="G53" s="40"/>
      <c r="H53" s="68"/>
      <c r="I53" s="41" t="s">
        <v>1</v>
      </c>
      <c r="J53" s="68"/>
      <c r="K53" s="51"/>
      <c r="L53" s="41"/>
      <c r="M53" s="68"/>
    </row>
    <row r="54" spans="1:13" ht="12">
      <c r="A54" s="26">
        <v>11</v>
      </c>
      <c r="C54" s="31" t="s">
        <v>221</v>
      </c>
      <c r="E54" s="26">
        <v>11</v>
      </c>
      <c r="G54" s="66">
        <v>717.27</v>
      </c>
      <c r="H54" s="67">
        <v>65678306</v>
      </c>
      <c r="I54" s="66">
        <v>746.84</v>
      </c>
      <c r="J54" s="67">
        <v>80789143.96000001</v>
      </c>
      <c r="K54" s="49"/>
      <c r="L54" s="66">
        <v>785.87</v>
      </c>
      <c r="M54" s="67">
        <v>79268191</v>
      </c>
    </row>
    <row r="55" spans="1:13" ht="12">
      <c r="A55" s="30"/>
      <c r="E55" s="30"/>
      <c r="F55" s="40" t="s">
        <v>1</v>
      </c>
      <c r="G55" s="40"/>
      <c r="H55" s="40"/>
      <c r="I55" s="41" t="s">
        <v>1</v>
      </c>
      <c r="J55" s="42"/>
      <c r="K55" s="51"/>
      <c r="L55" s="41"/>
      <c r="M55" s="42"/>
    </row>
    <row r="56" spans="1:13" ht="12">
      <c r="A56" s="30"/>
      <c r="E56" s="30"/>
      <c r="F56" s="40"/>
      <c r="G56" s="40"/>
      <c r="H56" s="40"/>
      <c r="I56" s="36"/>
      <c r="J56" s="42"/>
      <c r="K56" s="51"/>
      <c r="L56" s="36"/>
      <c r="M56" s="42"/>
    </row>
    <row r="57" spans="1:13" ht="12">
      <c r="A57" s="26">
        <v>12</v>
      </c>
      <c r="C57" s="31" t="s">
        <v>17</v>
      </c>
      <c r="E57" s="26">
        <v>12</v>
      </c>
      <c r="G57" s="49"/>
      <c r="H57" s="49"/>
      <c r="I57" s="50"/>
      <c r="J57" s="50"/>
      <c r="K57" s="49"/>
      <c r="L57" s="66"/>
      <c r="M57" s="50"/>
    </row>
    <row r="58" spans="1:13" ht="12">
      <c r="A58" s="30">
        <v>13</v>
      </c>
      <c r="C58" s="31" t="s">
        <v>196</v>
      </c>
      <c r="D58" s="48" t="s">
        <v>218</v>
      </c>
      <c r="E58" s="30">
        <v>13</v>
      </c>
      <c r="G58" s="66">
        <v>0</v>
      </c>
      <c r="H58" s="67">
        <v>0</v>
      </c>
      <c r="I58" s="66">
        <v>0</v>
      </c>
      <c r="J58" s="67">
        <v>0</v>
      </c>
      <c r="K58" s="49"/>
      <c r="L58" s="66">
        <v>0</v>
      </c>
      <c r="M58" s="67">
        <v>0</v>
      </c>
    </row>
    <row r="59" spans="1:15" ht="12">
      <c r="A59" s="30">
        <v>14</v>
      </c>
      <c r="C59" s="31" t="s">
        <v>197</v>
      </c>
      <c r="D59" s="48" t="s">
        <v>219</v>
      </c>
      <c r="E59" s="30">
        <v>14</v>
      </c>
      <c r="G59" s="66">
        <v>0</v>
      </c>
      <c r="H59" s="67">
        <f aca="true" t="shared" si="0" ref="H59:M59">H443</f>
        <v>8268512</v>
      </c>
      <c r="I59" s="67">
        <f t="shared" si="0"/>
        <v>0</v>
      </c>
      <c r="J59" s="67">
        <f t="shared" si="0"/>
        <v>6120042</v>
      </c>
      <c r="K59" s="67">
        <f t="shared" si="0"/>
        <v>0</v>
      </c>
      <c r="L59" s="67">
        <f t="shared" si="0"/>
        <v>0</v>
      </c>
      <c r="M59" s="67">
        <f t="shared" si="0"/>
        <v>5062911</v>
      </c>
      <c r="N59" s="26">
        <v>5062911</v>
      </c>
      <c r="O59" s="248">
        <v>1983904</v>
      </c>
    </row>
    <row r="60" spans="1:15" ht="12">
      <c r="A60" s="30">
        <v>15</v>
      </c>
      <c r="C60" s="31" t="s">
        <v>215</v>
      </c>
      <c r="D60" s="48"/>
      <c r="E60" s="30">
        <v>15</v>
      </c>
      <c r="G60" s="66">
        <v>0</v>
      </c>
      <c r="H60" s="67">
        <v>13461324</v>
      </c>
      <c r="I60" s="66"/>
      <c r="J60" s="67">
        <v>11889063</v>
      </c>
      <c r="K60" s="49"/>
      <c r="L60" s="66"/>
      <c r="M60" s="67">
        <v>9995029</v>
      </c>
      <c r="N60" s="26">
        <v>9995029</v>
      </c>
      <c r="O60" s="248">
        <v>967261</v>
      </c>
    </row>
    <row r="61" spans="1:14" ht="12">
      <c r="A61" s="30">
        <v>16</v>
      </c>
      <c r="C61" s="31" t="s">
        <v>214</v>
      </c>
      <c r="D61" s="48"/>
      <c r="E61" s="30">
        <v>16</v>
      </c>
      <c r="G61" s="66">
        <v>5185</v>
      </c>
      <c r="H61" s="67">
        <f>+H295-H60</f>
        <v>28063735</v>
      </c>
      <c r="I61" s="66">
        <f>+I295-I60</f>
        <v>5423</v>
      </c>
      <c r="J61" s="67">
        <f>+J295-J60</f>
        <v>31049551</v>
      </c>
      <c r="K61" s="49"/>
      <c r="L61" s="66">
        <f>+L295-L60</f>
        <v>5631.6</v>
      </c>
      <c r="M61" s="67">
        <f>+M295-M60</f>
        <v>34833902</v>
      </c>
      <c r="N61" s="26">
        <f>N59+N60</f>
        <v>15057940</v>
      </c>
    </row>
    <row r="62" spans="1:253" ht="12">
      <c r="A62" s="48">
        <v>17</v>
      </c>
      <c r="B62" s="48"/>
      <c r="C62" s="52" t="s">
        <v>216</v>
      </c>
      <c r="D62" s="48" t="s">
        <v>235</v>
      </c>
      <c r="E62" s="48">
        <v>17</v>
      </c>
      <c r="F62" s="48"/>
      <c r="G62" s="66">
        <v>5185</v>
      </c>
      <c r="H62" s="67">
        <f>SUM(H60:H61)</f>
        <v>41525059</v>
      </c>
      <c r="I62" s="66">
        <f>I302</f>
        <v>5858</v>
      </c>
      <c r="J62" s="67">
        <f>SUM(J60:J61)</f>
        <v>42938614</v>
      </c>
      <c r="K62" s="52"/>
      <c r="L62" s="66">
        <f>L302</f>
        <v>6087.120000000001</v>
      </c>
      <c r="M62" s="67">
        <f>SUM(M60:M61)</f>
        <v>44828931</v>
      </c>
      <c r="N62" s="395">
        <f>N61+M67</f>
        <v>22941600</v>
      </c>
      <c r="O62" s="48"/>
      <c r="P62" s="52"/>
      <c r="Q62" s="48"/>
      <c r="R62" s="52"/>
      <c r="S62" s="48"/>
      <c r="T62" s="52"/>
      <c r="U62" s="48"/>
      <c r="V62" s="52"/>
      <c r="W62" s="48"/>
      <c r="X62" s="52"/>
      <c r="Y62" s="48"/>
      <c r="Z62" s="52"/>
      <c r="AA62" s="48"/>
      <c r="AB62" s="52"/>
      <c r="AC62" s="48"/>
      <c r="AD62" s="52"/>
      <c r="AE62" s="48"/>
      <c r="AF62" s="52"/>
      <c r="AG62" s="48"/>
      <c r="AH62" s="52"/>
      <c r="AI62" s="48"/>
      <c r="AJ62" s="52"/>
      <c r="AK62" s="48"/>
      <c r="AL62" s="52"/>
      <c r="AM62" s="48"/>
      <c r="AN62" s="52"/>
      <c r="AO62" s="48"/>
      <c r="AP62" s="52"/>
      <c r="AQ62" s="48"/>
      <c r="AR62" s="52"/>
      <c r="AS62" s="48"/>
      <c r="AT62" s="52"/>
      <c r="AU62" s="48"/>
      <c r="AV62" s="52"/>
      <c r="AW62" s="48"/>
      <c r="AX62" s="52"/>
      <c r="AY62" s="48"/>
      <c r="AZ62" s="52"/>
      <c r="BA62" s="48"/>
      <c r="BB62" s="52"/>
      <c r="BC62" s="48"/>
      <c r="BD62" s="52"/>
      <c r="BE62" s="48"/>
      <c r="BF62" s="52"/>
      <c r="BG62" s="48"/>
      <c r="BH62" s="52"/>
      <c r="BI62" s="48"/>
      <c r="BJ62" s="52"/>
      <c r="BK62" s="48"/>
      <c r="BL62" s="52"/>
      <c r="BM62" s="48"/>
      <c r="BN62" s="52"/>
      <c r="BO62" s="48"/>
      <c r="BP62" s="52"/>
      <c r="BQ62" s="48"/>
      <c r="BR62" s="52"/>
      <c r="BS62" s="48"/>
      <c r="BT62" s="52"/>
      <c r="BU62" s="48"/>
      <c r="BV62" s="52"/>
      <c r="BW62" s="48"/>
      <c r="BX62" s="52"/>
      <c r="BY62" s="48"/>
      <c r="BZ62" s="52"/>
      <c r="CA62" s="48"/>
      <c r="CB62" s="52"/>
      <c r="CC62" s="48"/>
      <c r="CD62" s="52"/>
      <c r="CE62" s="48"/>
      <c r="CF62" s="52"/>
      <c r="CG62" s="48"/>
      <c r="CH62" s="52"/>
      <c r="CI62" s="48"/>
      <c r="CJ62" s="52"/>
      <c r="CK62" s="48"/>
      <c r="CL62" s="52"/>
      <c r="CM62" s="48"/>
      <c r="CN62" s="52"/>
      <c r="CO62" s="48"/>
      <c r="CP62" s="52"/>
      <c r="CQ62" s="48"/>
      <c r="CR62" s="52"/>
      <c r="CS62" s="48"/>
      <c r="CT62" s="52"/>
      <c r="CU62" s="48"/>
      <c r="CV62" s="52"/>
      <c r="CW62" s="48"/>
      <c r="CX62" s="52"/>
      <c r="CY62" s="48"/>
      <c r="CZ62" s="52"/>
      <c r="DA62" s="48"/>
      <c r="DB62" s="52"/>
      <c r="DC62" s="48"/>
      <c r="DD62" s="52"/>
      <c r="DE62" s="48"/>
      <c r="DF62" s="52"/>
      <c r="DG62" s="48"/>
      <c r="DH62" s="52"/>
      <c r="DI62" s="48"/>
      <c r="DJ62" s="52"/>
      <c r="DK62" s="48"/>
      <c r="DL62" s="52"/>
      <c r="DM62" s="48"/>
      <c r="DN62" s="52"/>
      <c r="DO62" s="48"/>
      <c r="DP62" s="52"/>
      <c r="DQ62" s="48"/>
      <c r="DR62" s="52"/>
      <c r="DS62" s="48"/>
      <c r="DT62" s="52"/>
      <c r="DU62" s="48"/>
      <c r="DV62" s="52"/>
      <c r="DW62" s="48"/>
      <c r="DX62" s="52"/>
      <c r="DY62" s="48"/>
      <c r="DZ62" s="52"/>
      <c r="EA62" s="48"/>
      <c r="EB62" s="52"/>
      <c r="EC62" s="48"/>
      <c r="ED62" s="52"/>
      <c r="EE62" s="48"/>
      <c r="EF62" s="52"/>
      <c r="EG62" s="48"/>
      <c r="EH62" s="52"/>
      <c r="EI62" s="48"/>
      <c r="EJ62" s="52"/>
      <c r="EK62" s="48"/>
      <c r="EL62" s="52"/>
      <c r="EM62" s="48"/>
      <c r="EN62" s="52"/>
      <c r="EO62" s="48"/>
      <c r="EP62" s="52"/>
      <c r="EQ62" s="48"/>
      <c r="ER62" s="52"/>
      <c r="ES62" s="48"/>
      <c r="ET62" s="52"/>
      <c r="EU62" s="48"/>
      <c r="EV62" s="52"/>
      <c r="EW62" s="48"/>
      <c r="EX62" s="52"/>
      <c r="EY62" s="48"/>
      <c r="EZ62" s="52"/>
      <c r="FA62" s="48"/>
      <c r="FB62" s="52"/>
      <c r="FC62" s="48"/>
      <c r="FD62" s="52"/>
      <c r="FE62" s="48"/>
      <c r="FF62" s="52"/>
      <c r="FG62" s="48"/>
      <c r="FH62" s="52"/>
      <c r="FI62" s="48"/>
      <c r="FJ62" s="52"/>
      <c r="FK62" s="48"/>
      <c r="FL62" s="52"/>
      <c r="FM62" s="48"/>
      <c r="FN62" s="52"/>
      <c r="FO62" s="48"/>
      <c r="FP62" s="52"/>
      <c r="FQ62" s="48"/>
      <c r="FR62" s="52"/>
      <c r="FS62" s="48"/>
      <c r="FT62" s="52"/>
      <c r="FU62" s="48"/>
      <c r="FV62" s="52"/>
      <c r="FW62" s="48"/>
      <c r="FX62" s="52"/>
      <c r="FY62" s="48"/>
      <c r="FZ62" s="52"/>
      <c r="GA62" s="48"/>
      <c r="GB62" s="52"/>
      <c r="GC62" s="48"/>
      <c r="GD62" s="52"/>
      <c r="GE62" s="48"/>
      <c r="GF62" s="52"/>
      <c r="GG62" s="48"/>
      <c r="GH62" s="52"/>
      <c r="GI62" s="48"/>
      <c r="GJ62" s="52"/>
      <c r="GK62" s="48"/>
      <c r="GL62" s="52"/>
      <c r="GM62" s="48"/>
      <c r="GN62" s="52"/>
      <c r="GO62" s="48"/>
      <c r="GP62" s="52"/>
      <c r="GQ62" s="48"/>
      <c r="GR62" s="52"/>
      <c r="GS62" s="48"/>
      <c r="GT62" s="52"/>
      <c r="GU62" s="48"/>
      <c r="GV62" s="52"/>
      <c r="GW62" s="48"/>
      <c r="GX62" s="52"/>
      <c r="GY62" s="48"/>
      <c r="GZ62" s="52"/>
      <c r="HA62" s="48"/>
      <c r="HB62" s="52"/>
      <c r="HC62" s="48"/>
      <c r="HD62" s="52"/>
      <c r="HE62" s="48"/>
      <c r="HF62" s="52"/>
      <c r="HG62" s="48"/>
      <c r="HH62" s="52"/>
      <c r="HI62" s="48"/>
      <c r="HJ62" s="52"/>
      <c r="HK62" s="48"/>
      <c r="HL62" s="52"/>
      <c r="HM62" s="48"/>
      <c r="HN62" s="52"/>
      <c r="HO62" s="48"/>
      <c r="HP62" s="52"/>
      <c r="HQ62" s="48"/>
      <c r="HR62" s="52"/>
      <c r="HS62" s="48"/>
      <c r="HT62" s="52"/>
      <c r="HU62" s="48"/>
      <c r="HV62" s="52"/>
      <c r="HW62" s="48"/>
      <c r="HX62" s="52"/>
      <c r="HY62" s="48"/>
      <c r="HZ62" s="52"/>
      <c r="IA62" s="48"/>
      <c r="IB62" s="52"/>
      <c r="IC62" s="48"/>
      <c r="ID62" s="52"/>
      <c r="IE62" s="48"/>
      <c r="IF62" s="52"/>
      <c r="IG62" s="48"/>
      <c r="IH62" s="52"/>
      <c r="II62" s="48"/>
      <c r="IJ62" s="52"/>
      <c r="IK62" s="48"/>
      <c r="IL62" s="52"/>
      <c r="IM62" s="48"/>
      <c r="IN62" s="52"/>
      <c r="IO62" s="48"/>
      <c r="IP62" s="52"/>
      <c r="IQ62" s="48"/>
      <c r="IR62" s="52"/>
      <c r="IS62" s="48"/>
    </row>
    <row r="63" spans="1:13" ht="12">
      <c r="A63" s="30">
        <v>18</v>
      </c>
      <c r="C63" s="31" t="s">
        <v>217</v>
      </c>
      <c r="D63" s="48" t="s">
        <v>235</v>
      </c>
      <c r="E63" s="30">
        <v>18</v>
      </c>
      <c r="G63" s="66">
        <v>650</v>
      </c>
      <c r="H63" s="67">
        <f>+H294</f>
        <v>6528010</v>
      </c>
      <c r="I63" s="66">
        <f>+I294</f>
        <v>695</v>
      </c>
      <c r="J63" s="67">
        <f>+J294</f>
        <v>7497262</v>
      </c>
      <c r="K63" s="49"/>
      <c r="L63" s="66">
        <f>+L294</f>
        <v>718.6400000000001</v>
      </c>
      <c r="M63" s="67">
        <f>+M294</f>
        <v>8219769</v>
      </c>
    </row>
    <row r="64" spans="1:13" ht="12">
      <c r="A64" s="30">
        <v>19</v>
      </c>
      <c r="C64" s="31" t="s">
        <v>182</v>
      </c>
      <c r="D64" s="48" t="s">
        <v>235</v>
      </c>
      <c r="E64" s="30">
        <v>19</v>
      </c>
      <c r="G64" s="66">
        <v>444</v>
      </c>
      <c r="H64" s="67">
        <f>+H300</f>
        <v>7474785</v>
      </c>
      <c r="I64" s="66">
        <f>+I300</f>
        <v>489</v>
      </c>
      <c r="J64" s="67">
        <f>+J300</f>
        <v>8420521</v>
      </c>
      <c r="K64" s="49"/>
      <c r="L64" s="66">
        <f>+L300</f>
        <v>512.72</v>
      </c>
      <c r="M64" s="67">
        <f>+M300</f>
        <v>8699194</v>
      </c>
    </row>
    <row r="65" spans="1:13" ht="12">
      <c r="A65" s="30">
        <v>20</v>
      </c>
      <c r="C65" s="31" t="s">
        <v>159</v>
      </c>
      <c r="D65" s="48" t="s">
        <v>235</v>
      </c>
      <c r="E65" s="30">
        <v>20</v>
      </c>
      <c r="G65" s="66">
        <v>6279</v>
      </c>
      <c r="H65" s="67">
        <f>H62+H63+H64</f>
        <v>55527854</v>
      </c>
      <c r="I65" s="66">
        <f>I62+I63+I64</f>
        <v>7042</v>
      </c>
      <c r="J65" s="67">
        <f>J62+J63+J64</f>
        <v>58856397</v>
      </c>
      <c r="K65" s="49"/>
      <c r="L65" s="66">
        <f>L62+L63+L64</f>
        <v>7318.480000000001</v>
      </c>
      <c r="M65" s="67">
        <f>M62+M63+M64</f>
        <v>61747894</v>
      </c>
    </row>
    <row r="66" spans="1:13" ht="12">
      <c r="A66" s="30">
        <v>21</v>
      </c>
      <c r="C66" s="31" t="s">
        <v>210</v>
      </c>
      <c r="D66" s="48" t="s">
        <v>234</v>
      </c>
      <c r="E66" s="30">
        <v>21</v>
      </c>
      <c r="G66" s="66">
        <v>0</v>
      </c>
      <c r="H66" s="67">
        <f aca="true" t="shared" si="1" ref="H66:M66">H329</f>
        <v>-3190998</v>
      </c>
      <c r="I66" s="67">
        <f t="shared" si="1"/>
        <v>0</v>
      </c>
      <c r="J66" s="67">
        <f t="shared" si="1"/>
        <v>2251437</v>
      </c>
      <c r="K66" s="67">
        <f t="shared" si="1"/>
        <v>0</v>
      </c>
      <c r="L66" s="67">
        <f t="shared" si="1"/>
        <v>0</v>
      </c>
      <c r="M66" s="67">
        <f t="shared" si="1"/>
        <v>2585988</v>
      </c>
    </row>
    <row r="67" spans="1:13" ht="12">
      <c r="A67" s="48" t="s">
        <v>579</v>
      </c>
      <c r="C67" s="31" t="s">
        <v>580</v>
      </c>
      <c r="D67" s="48"/>
      <c r="E67" s="30"/>
      <c r="G67" s="66"/>
      <c r="H67" s="67"/>
      <c r="I67" s="66"/>
      <c r="J67" s="67">
        <f>J317</f>
        <v>4932495</v>
      </c>
      <c r="K67" s="67">
        <f>K317</f>
        <v>0</v>
      </c>
      <c r="L67" s="67">
        <f>L317</f>
        <v>0</v>
      </c>
      <c r="M67" s="67">
        <f>M317</f>
        <v>7883660</v>
      </c>
    </row>
    <row r="68" spans="1:13" ht="12">
      <c r="A68" s="30">
        <v>22</v>
      </c>
      <c r="C68" s="53"/>
      <c r="E68" s="30">
        <v>22</v>
      </c>
      <c r="F68" s="40" t="s">
        <v>1</v>
      </c>
      <c r="G68" s="40"/>
      <c r="H68" s="40"/>
      <c r="I68" s="41"/>
      <c r="J68" s="42"/>
      <c r="K68" s="51"/>
      <c r="L68" s="41"/>
      <c r="M68" s="42"/>
    </row>
    <row r="69" spans="1:13" ht="12">
      <c r="A69" s="30">
        <v>23</v>
      </c>
      <c r="C69" s="26" t="s">
        <v>186</v>
      </c>
      <c r="D69" s="54"/>
      <c r="E69" s="30">
        <v>23</v>
      </c>
      <c r="F69" s="55"/>
      <c r="G69" s="66"/>
      <c r="H69" s="67">
        <f>H59+H65+H66+H67</f>
        <v>60605368</v>
      </c>
      <c r="I69" s="67"/>
      <c r="J69" s="67">
        <f>J59+J65+J66+J67</f>
        <v>72160371</v>
      </c>
      <c r="K69" s="67">
        <f>K65+K59+K66</f>
        <v>0</v>
      </c>
      <c r="L69" s="67"/>
      <c r="M69" s="67">
        <f>M59+M65+M66+M67</f>
        <v>77280453</v>
      </c>
    </row>
    <row r="70" spans="1:8" ht="12">
      <c r="A70" s="30">
        <v>24</v>
      </c>
      <c r="C70" s="53"/>
      <c r="D70" s="31"/>
      <c r="E70" s="30">
        <v>24</v>
      </c>
      <c r="H70" s="67"/>
    </row>
    <row r="71" spans="1:13" ht="12">
      <c r="A71" s="30">
        <v>25</v>
      </c>
      <c r="C71" s="31" t="s">
        <v>190</v>
      </c>
      <c r="D71" s="48" t="s">
        <v>236</v>
      </c>
      <c r="E71" s="30">
        <v>25</v>
      </c>
      <c r="G71" s="66"/>
      <c r="H71" s="67">
        <f aca="true" t="shared" si="2" ref="H71:M71">H363</f>
        <v>5072938</v>
      </c>
      <c r="I71" s="67">
        <f t="shared" si="2"/>
        <v>0</v>
      </c>
      <c r="J71" s="67">
        <f t="shared" si="2"/>
        <v>8628771</v>
      </c>
      <c r="K71" s="67">
        <f t="shared" si="2"/>
        <v>0</v>
      </c>
      <c r="L71" s="67">
        <f t="shared" si="2"/>
        <v>0</v>
      </c>
      <c r="M71" s="67">
        <f t="shared" si="2"/>
        <v>1987738</v>
      </c>
    </row>
    <row r="72" spans="1:13" ht="12">
      <c r="A72" s="26">
        <v>26</v>
      </c>
      <c r="E72" s="26">
        <v>26</v>
      </c>
      <c r="F72" s="40" t="s">
        <v>1</v>
      </c>
      <c r="G72" s="40"/>
      <c r="H72" s="40"/>
      <c r="I72" s="41"/>
      <c r="J72" s="42"/>
      <c r="K72" s="51"/>
      <c r="L72" s="41"/>
      <c r="M72" s="42"/>
    </row>
    <row r="73" spans="1:13" ht="12">
      <c r="A73" s="30">
        <v>27</v>
      </c>
      <c r="C73" s="31" t="s">
        <v>222</v>
      </c>
      <c r="E73" s="30">
        <v>27</v>
      </c>
      <c r="F73" s="24"/>
      <c r="G73" s="66"/>
      <c r="H73" s="67">
        <f>SUM(H69,H71)+1</f>
        <v>65678307</v>
      </c>
      <c r="I73" s="66"/>
      <c r="J73" s="67">
        <f>SUM(J69,J71)</f>
        <v>80789142</v>
      </c>
      <c r="K73" s="50"/>
      <c r="L73" s="66"/>
      <c r="M73" s="67">
        <f>SUM(M69,M71)</f>
        <v>79268191</v>
      </c>
    </row>
    <row r="74" spans="1:13" ht="12">
      <c r="A74" s="30"/>
      <c r="C74" s="31"/>
      <c r="E74" s="30"/>
      <c r="F74" s="24"/>
      <c r="G74" s="50"/>
      <c r="H74" s="49"/>
      <c r="I74" s="50"/>
      <c r="J74" s="50"/>
      <c r="K74" s="50"/>
      <c r="L74" s="50"/>
      <c r="M74" s="50"/>
    </row>
    <row r="75" spans="3:13" ht="12">
      <c r="C75" s="57" t="s">
        <v>90</v>
      </c>
      <c r="D75" s="58"/>
      <c r="E75" s="57"/>
      <c r="F75" s="59"/>
      <c r="G75" s="59"/>
      <c r="H75" s="234">
        <v>12806470</v>
      </c>
      <c r="I75" s="60"/>
      <c r="J75" s="234">
        <v>12141626</v>
      </c>
      <c r="K75" s="62"/>
      <c r="L75" s="60"/>
      <c r="M75" s="234">
        <v>12748707.3</v>
      </c>
    </row>
    <row r="76" spans="4:13" ht="12">
      <c r="D76" s="48"/>
      <c r="F76" s="40"/>
      <c r="G76" s="40"/>
      <c r="H76" s="40"/>
      <c r="I76" s="41"/>
      <c r="K76" s="51"/>
      <c r="L76" s="41"/>
      <c r="M76" s="42"/>
    </row>
    <row r="77" ht="12">
      <c r="E77" s="69"/>
    </row>
    <row r="78" spans="1:13" ht="12">
      <c r="A78" s="38" t="str">
        <f>$A$36</f>
        <v>Institution No.:  GFC</v>
      </c>
      <c r="E78" s="69"/>
      <c r="I78" s="36"/>
      <c r="J78" s="74"/>
      <c r="L78" s="36"/>
      <c r="M78" s="37" t="s">
        <v>116</v>
      </c>
    </row>
    <row r="79" spans="1:13" s="65" customFormat="1" ht="12">
      <c r="A79" s="400" t="s">
        <v>117</v>
      </c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400"/>
    </row>
    <row r="80" spans="1:13" ht="12">
      <c r="A80" s="38" t="s">
        <v>551</v>
      </c>
      <c r="C80" s="26" t="s">
        <v>455</v>
      </c>
      <c r="J80" s="74"/>
      <c r="L80" s="36"/>
      <c r="M80" s="39" t="str">
        <f>$M$3</f>
        <v>Date: 10/1/2009</v>
      </c>
    </row>
    <row r="81" spans="1:13" ht="12">
      <c r="A81" s="40" t="s">
        <v>1</v>
      </c>
      <c r="B81" s="40" t="s">
        <v>1</v>
      </c>
      <c r="C81" s="40" t="s">
        <v>1</v>
      </c>
      <c r="D81" s="40" t="s">
        <v>1</v>
      </c>
      <c r="E81" s="40" t="s">
        <v>1</v>
      </c>
      <c r="F81" s="40" t="s">
        <v>1</v>
      </c>
      <c r="G81" s="40"/>
      <c r="H81" s="40"/>
      <c r="I81" s="41" t="s">
        <v>1</v>
      </c>
      <c r="J81" s="42" t="s">
        <v>1</v>
      </c>
      <c r="K81" s="40" t="s">
        <v>1</v>
      </c>
      <c r="L81" s="41" t="s">
        <v>1</v>
      </c>
      <c r="M81" s="42" t="s">
        <v>1</v>
      </c>
    </row>
    <row r="82" spans="1:13" ht="12">
      <c r="A82" s="43" t="s">
        <v>2</v>
      </c>
      <c r="E82" s="43" t="s">
        <v>2</v>
      </c>
      <c r="G82" s="44"/>
      <c r="H82" s="44" t="s">
        <v>240</v>
      </c>
      <c r="I82" s="45"/>
      <c r="J82" s="46" t="s">
        <v>247</v>
      </c>
      <c r="K82" s="44"/>
      <c r="L82" s="45"/>
      <c r="M82" s="46" t="s">
        <v>576</v>
      </c>
    </row>
    <row r="83" spans="1:13" ht="12">
      <c r="A83" s="43" t="s">
        <v>4</v>
      </c>
      <c r="E83" s="43" t="s">
        <v>4</v>
      </c>
      <c r="G83" s="44"/>
      <c r="H83" s="44" t="s">
        <v>7</v>
      </c>
      <c r="I83" s="45"/>
      <c r="J83" s="46" t="s">
        <v>7</v>
      </c>
      <c r="K83" s="44"/>
      <c r="L83" s="45"/>
      <c r="M83" s="46" t="s">
        <v>8</v>
      </c>
    </row>
    <row r="84" spans="1:13" ht="12">
      <c r="A84" s="40" t="s">
        <v>1</v>
      </c>
      <c r="B84" s="40" t="s">
        <v>1</v>
      </c>
      <c r="C84" s="40" t="s">
        <v>1</v>
      </c>
      <c r="D84" s="40" t="s">
        <v>1</v>
      </c>
      <c r="E84" s="40" t="s">
        <v>1</v>
      </c>
      <c r="F84" s="40" t="s">
        <v>1</v>
      </c>
      <c r="G84" s="40"/>
      <c r="H84" s="40"/>
      <c r="I84" s="41" t="s">
        <v>1</v>
      </c>
      <c r="J84" s="42" t="s">
        <v>1</v>
      </c>
      <c r="K84" s="40" t="s">
        <v>1</v>
      </c>
      <c r="L84" s="41" t="s">
        <v>1</v>
      </c>
      <c r="M84" s="42" t="s">
        <v>1</v>
      </c>
    </row>
    <row r="85" spans="1:13" ht="12">
      <c r="A85" s="30">
        <v>1</v>
      </c>
      <c r="C85" s="31" t="s">
        <v>118</v>
      </c>
      <c r="E85" s="30">
        <v>1</v>
      </c>
      <c r="H85" s="49"/>
      <c r="I85" s="36"/>
      <c r="J85" s="49"/>
      <c r="L85" s="36"/>
      <c r="M85" s="49"/>
    </row>
    <row r="86" spans="1:13" ht="12">
      <c r="A86" s="48" t="s">
        <v>198</v>
      </c>
      <c r="C86" s="31" t="s">
        <v>201</v>
      </c>
      <c r="E86" s="48" t="s">
        <v>198</v>
      </c>
      <c r="F86" s="55"/>
      <c r="G86" s="55"/>
      <c r="H86" s="81"/>
      <c r="I86" s="81"/>
      <c r="J86" s="82"/>
      <c r="K86" s="81"/>
      <c r="L86" s="81"/>
      <c r="M86" s="82">
        <v>5575.28</v>
      </c>
    </row>
    <row r="87" spans="1:13" ht="12">
      <c r="A87" s="48" t="s">
        <v>199</v>
      </c>
      <c r="C87" s="31" t="s">
        <v>202</v>
      </c>
      <c r="E87" s="48" t="s">
        <v>199</v>
      </c>
      <c r="F87" s="55"/>
      <c r="G87" s="55"/>
      <c r="H87" s="82"/>
      <c r="I87" s="81"/>
      <c r="J87" s="82"/>
      <c r="K87" s="81"/>
      <c r="L87" s="81"/>
      <c r="M87" s="82">
        <v>56.32</v>
      </c>
    </row>
    <row r="88" spans="1:13" ht="12">
      <c r="A88" s="48" t="s">
        <v>200</v>
      </c>
      <c r="C88" s="31" t="s">
        <v>203</v>
      </c>
      <c r="E88" s="48" t="s">
        <v>200</v>
      </c>
      <c r="F88" s="55"/>
      <c r="G88" s="55"/>
      <c r="H88" s="82">
        <v>5185</v>
      </c>
      <c r="I88" s="81"/>
      <c r="J88" s="82">
        <v>5423</v>
      </c>
      <c r="K88" s="81"/>
      <c r="L88" s="81"/>
      <c r="M88" s="82">
        <v>5631.599999999999</v>
      </c>
    </row>
    <row r="89" spans="1:13" ht="12">
      <c r="A89" s="30">
        <v>3</v>
      </c>
      <c r="C89" s="31" t="s">
        <v>119</v>
      </c>
      <c r="E89" s="30">
        <v>3</v>
      </c>
      <c r="F89" s="55"/>
      <c r="G89" s="55"/>
      <c r="H89" s="82">
        <v>650</v>
      </c>
      <c r="I89" s="81"/>
      <c r="J89" s="82">
        <v>695</v>
      </c>
      <c r="K89" s="81"/>
      <c r="L89" s="81"/>
      <c r="M89" s="82">
        <v>718.6400000000001</v>
      </c>
    </row>
    <row r="90" spans="1:13" ht="12">
      <c r="A90" s="30">
        <v>4</v>
      </c>
      <c r="C90" s="31" t="s">
        <v>120</v>
      </c>
      <c r="E90" s="30">
        <v>4</v>
      </c>
      <c r="F90" s="55"/>
      <c r="G90" s="55"/>
      <c r="H90" s="82">
        <v>5835</v>
      </c>
      <c r="I90" s="81"/>
      <c r="J90" s="82">
        <v>6118</v>
      </c>
      <c r="K90" s="81"/>
      <c r="L90" s="81"/>
      <c r="M90" s="82">
        <v>6350.24</v>
      </c>
    </row>
    <row r="91" spans="1:13" ht="12">
      <c r="A91" s="30">
        <v>5</v>
      </c>
      <c r="E91" s="30">
        <v>5</v>
      </c>
      <c r="F91" s="55"/>
      <c r="G91" s="55"/>
      <c r="H91" s="82"/>
      <c r="I91" s="81"/>
      <c r="J91" s="82"/>
      <c r="K91" s="81"/>
      <c r="L91" s="81"/>
      <c r="M91" s="82"/>
    </row>
    <row r="92" spans="1:13" ht="12">
      <c r="A92" s="30">
        <v>6</v>
      </c>
      <c r="C92" s="31" t="s">
        <v>121</v>
      </c>
      <c r="E92" s="30">
        <v>6</v>
      </c>
      <c r="F92" s="55"/>
      <c r="G92" s="55"/>
      <c r="H92" s="82">
        <v>390</v>
      </c>
      <c r="I92" s="81"/>
      <c r="J92" s="82">
        <v>435</v>
      </c>
      <c r="K92" s="81"/>
      <c r="L92" s="81"/>
      <c r="M92" s="82">
        <v>455.52</v>
      </c>
    </row>
    <row r="93" spans="1:13" ht="12">
      <c r="A93" s="30">
        <v>7</v>
      </c>
      <c r="C93" s="31" t="s">
        <v>122</v>
      </c>
      <c r="E93" s="30">
        <v>7</v>
      </c>
      <c r="F93" s="55"/>
      <c r="G93" s="55"/>
      <c r="H93" s="82">
        <v>54</v>
      </c>
      <c r="I93" s="81"/>
      <c r="J93" s="82">
        <v>54</v>
      </c>
      <c r="K93" s="81"/>
      <c r="L93" s="81"/>
      <c r="M93" s="82">
        <v>57.2</v>
      </c>
    </row>
    <row r="94" spans="1:13" ht="12">
      <c r="A94" s="30">
        <v>8</v>
      </c>
      <c r="C94" s="31" t="s">
        <v>123</v>
      </c>
      <c r="E94" s="30">
        <v>8</v>
      </c>
      <c r="F94" s="55"/>
      <c r="G94" s="55"/>
      <c r="H94" s="82">
        <v>444</v>
      </c>
      <c r="I94" s="81"/>
      <c r="J94" s="82">
        <v>489</v>
      </c>
      <c r="K94" s="81"/>
      <c r="L94" s="81"/>
      <c r="M94" s="82">
        <v>512.72</v>
      </c>
    </row>
    <row r="95" spans="1:13" ht="12">
      <c r="A95" s="30">
        <v>9</v>
      </c>
      <c r="E95" s="30">
        <v>9</v>
      </c>
      <c r="F95" s="55"/>
      <c r="G95" s="55"/>
      <c r="H95" s="82"/>
      <c r="I95" s="81"/>
      <c r="J95" s="82"/>
      <c r="K95" s="81"/>
      <c r="L95" s="81"/>
      <c r="M95" s="82"/>
    </row>
    <row r="96" spans="1:13" ht="12">
      <c r="A96" s="30">
        <v>10</v>
      </c>
      <c r="C96" s="31" t="s">
        <v>124</v>
      </c>
      <c r="E96" s="30">
        <v>10</v>
      </c>
      <c r="F96" s="55"/>
      <c r="G96" s="55"/>
      <c r="H96" s="82">
        <v>5575</v>
      </c>
      <c r="I96" s="81"/>
      <c r="J96" s="82">
        <v>5858</v>
      </c>
      <c r="K96" s="81"/>
      <c r="L96" s="81"/>
      <c r="M96" s="82">
        <v>6087.119999999999</v>
      </c>
    </row>
    <row r="97" spans="1:13" ht="12">
      <c r="A97" s="30">
        <v>11</v>
      </c>
      <c r="C97" s="31" t="s">
        <v>125</v>
      </c>
      <c r="E97" s="30">
        <v>11</v>
      </c>
      <c r="F97" s="55"/>
      <c r="G97" s="55"/>
      <c r="H97" s="82">
        <v>704</v>
      </c>
      <c r="I97" s="81"/>
      <c r="J97" s="82">
        <v>749</v>
      </c>
      <c r="K97" s="81"/>
      <c r="L97" s="81"/>
      <c r="M97" s="82">
        <v>775.8400000000001</v>
      </c>
    </row>
    <row r="98" spans="1:13" ht="12">
      <c r="A98" s="30">
        <v>12</v>
      </c>
      <c r="C98" s="31" t="s">
        <v>126</v>
      </c>
      <c r="E98" s="30">
        <v>12</v>
      </c>
      <c r="F98" s="55"/>
      <c r="G98" s="55"/>
      <c r="H98" s="82">
        <v>6279</v>
      </c>
      <c r="I98" s="81"/>
      <c r="J98" s="82">
        <v>6607</v>
      </c>
      <c r="K98" s="81"/>
      <c r="L98" s="81"/>
      <c r="M98" s="82">
        <v>6862.959999999999</v>
      </c>
    </row>
    <row r="99" spans="1:13" ht="12">
      <c r="A99" s="30">
        <v>13</v>
      </c>
      <c r="E99" s="30">
        <v>13</v>
      </c>
      <c r="H99" s="83"/>
      <c r="I99" s="81"/>
      <c r="J99" s="83"/>
      <c r="K99" s="84"/>
      <c r="L99" s="81"/>
      <c r="M99" s="83"/>
    </row>
    <row r="100" spans="1:13" ht="12">
      <c r="A100" s="30">
        <v>15</v>
      </c>
      <c r="C100" s="31" t="s">
        <v>127</v>
      </c>
      <c r="E100" s="30">
        <v>15</v>
      </c>
      <c r="H100" s="85"/>
      <c r="I100" s="81"/>
      <c r="J100" s="85"/>
      <c r="K100" s="84"/>
      <c r="L100" s="81"/>
      <c r="M100" s="85"/>
    </row>
    <row r="101" spans="1:13" ht="12">
      <c r="A101" s="30">
        <v>16</v>
      </c>
      <c r="C101" s="31" t="s">
        <v>187</v>
      </c>
      <c r="E101" s="30">
        <v>16</v>
      </c>
      <c r="H101" s="84">
        <f>(H73-H356)/H98</f>
        <v>10077.697722567287</v>
      </c>
      <c r="I101" s="84"/>
      <c r="J101" s="84">
        <f>(J73-J356)/J98</f>
        <v>11864.416679279551</v>
      </c>
      <c r="K101" s="84"/>
      <c r="L101" s="84"/>
      <c r="M101" s="84">
        <f>(M73-M356)/M98</f>
        <v>11260.513393637731</v>
      </c>
    </row>
    <row r="102" spans="1:13" ht="12">
      <c r="A102" s="30">
        <v>17</v>
      </c>
      <c r="C102" s="31" t="s">
        <v>239</v>
      </c>
      <c r="E102" s="30">
        <v>17</v>
      </c>
      <c r="H102" s="83">
        <v>2580</v>
      </c>
      <c r="I102" s="81"/>
      <c r="J102" s="83">
        <v>2040</v>
      </c>
      <c r="K102" s="84"/>
      <c r="L102" s="81"/>
      <c r="M102" s="83">
        <v>2040</v>
      </c>
    </row>
    <row r="103" spans="1:13" ht="12">
      <c r="A103" s="30">
        <v>18</v>
      </c>
      <c r="E103" s="30">
        <v>18</v>
      </c>
      <c r="H103" s="83"/>
      <c r="I103" s="81"/>
      <c r="J103" s="84"/>
      <c r="K103" s="84"/>
      <c r="L103" s="81"/>
      <c r="M103" s="84"/>
    </row>
    <row r="104" spans="1:13" ht="12">
      <c r="A104" s="26">
        <v>19</v>
      </c>
      <c r="C104" s="31" t="s">
        <v>128</v>
      </c>
      <c r="E104" s="26">
        <v>19</v>
      </c>
      <c r="H104" s="83"/>
      <c r="I104" s="81"/>
      <c r="J104" s="84"/>
      <c r="K104" s="84"/>
      <c r="L104" s="81"/>
      <c r="M104" s="84"/>
    </row>
    <row r="105" spans="1:13" ht="12">
      <c r="A105" s="30">
        <v>20</v>
      </c>
      <c r="C105" s="31" t="s">
        <v>129</v>
      </c>
      <c r="E105" s="30">
        <v>20</v>
      </c>
      <c r="F105" s="32"/>
      <c r="G105" s="32"/>
      <c r="H105" s="86">
        <v>445.64</v>
      </c>
      <c r="I105" s="2"/>
      <c r="J105" s="86">
        <v>434.22</v>
      </c>
      <c r="K105" s="2"/>
      <c r="L105" s="2"/>
      <c r="M105" s="86">
        <v>448.92</v>
      </c>
    </row>
    <row r="106" spans="1:13" ht="12">
      <c r="A106" s="30">
        <v>21</v>
      </c>
      <c r="C106" s="31" t="s">
        <v>130</v>
      </c>
      <c r="E106" s="30">
        <v>21</v>
      </c>
      <c r="F106" s="32"/>
      <c r="G106" s="32"/>
      <c r="H106" s="86">
        <v>361.19</v>
      </c>
      <c r="I106" s="2"/>
      <c r="J106" s="86">
        <v>358.67</v>
      </c>
      <c r="K106" s="2"/>
      <c r="L106" s="2"/>
      <c r="M106" s="86">
        <v>373.73</v>
      </c>
    </row>
    <row r="107" spans="1:13" ht="12">
      <c r="A107" s="30">
        <v>22</v>
      </c>
      <c r="C107" s="31" t="s">
        <v>131</v>
      </c>
      <c r="E107" s="30">
        <v>22</v>
      </c>
      <c r="F107" s="32"/>
      <c r="G107" s="32"/>
      <c r="H107" s="86">
        <v>84.45</v>
      </c>
      <c r="I107" s="2"/>
      <c r="J107" s="86">
        <v>75.55</v>
      </c>
      <c r="K107" s="2"/>
      <c r="L107" s="2"/>
      <c r="M107" s="86">
        <v>75.19</v>
      </c>
    </row>
    <row r="108" spans="1:13" ht="12">
      <c r="A108" s="30">
        <v>23</v>
      </c>
      <c r="E108" s="30">
        <v>23</v>
      </c>
      <c r="F108" s="32"/>
      <c r="G108" s="32"/>
      <c r="H108" s="2"/>
      <c r="I108" s="2"/>
      <c r="J108" s="86"/>
      <c r="K108" s="2"/>
      <c r="L108" s="2"/>
      <c r="M108" s="2"/>
    </row>
    <row r="109" spans="1:13" ht="12">
      <c r="A109" s="30">
        <v>24</v>
      </c>
      <c r="C109" s="31" t="s">
        <v>132</v>
      </c>
      <c r="E109" s="30">
        <v>24</v>
      </c>
      <c r="F109" s="32"/>
      <c r="G109" s="32"/>
      <c r="H109" s="2"/>
      <c r="I109" s="2"/>
      <c r="J109" s="2"/>
      <c r="K109" s="2"/>
      <c r="L109" s="2"/>
      <c r="M109" s="2"/>
    </row>
    <row r="110" spans="1:13" ht="12">
      <c r="A110" s="30">
        <v>25</v>
      </c>
      <c r="C110" s="31" t="s">
        <v>133</v>
      </c>
      <c r="E110" s="30">
        <v>25</v>
      </c>
      <c r="H110" s="84">
        <v>65101</v>
      </c>
      <c r="I110" s="81"/>
      <c r="J110" s="84">
        <v>73461.99392013265</v>
      </c>
      <c r="K110" s="84"/>
      <c r="L110" s="81"/>
      <c r="M110" s="84">
        <v>73095.92577742136</v>
      </c>
    </row>
    <row r="111" spans="1:13" ht="12">
      <c r="A111" s="30">
        <v>26</v>
      </c>
      <c r="C111" s="31" t="s">
        <v>134</v>
      </c>
      <c r="E111" s="30">
        <v>26</v>
      </c>
      <c r="H111" s="84">
        <v>74147</v>
      </c>
      <c r="I111" s="81"/>
      <c r="J111" s="84">
        <v>81938.1018763766</v>
      </c>
      <c r="K111" s="84"/>
      <c r="L111" s="81"/>
      <c r="M111" s="84">
        <v>83203.94134803199</v>
      </c>
    </row>
    <row r="112" spans="1:13" ht="12">
      <c r="A112" s="30">
        <v>27</v>
      </c>
      <c r="C112" s="31" t="s">
        <v>135</v>
      </c>
      <c r="E112" s="30">
        <v>27</v>
      </c>
      <c r="H112" s="84">
        <v>26414</v>
      </c>
      <c r="I112" s="81"/>
      <c r="J112" s="84">
        <v>33222.0780939775</v>
      </c>
      <c r="K112" s="84"/>
      <c r="L112" s="81"/>
      <c r="M112" s="84">
        <v>22854.28913419338</v>
      </c>
    </row>
    <row r="113" spans="1:13" ht="12">
      <c r="A113" s="30">
        <v>28</v>
      </c>
      <c r="E113" s="30">
        <v>28</v>
      </c>
      <c r="H113" s="84"/>
      <c r="I113" s="81"/>
      <c r="J113" s="84"/>
      <c r="K113" s="84"/>
      <c r="L113" s="81"/>
      <c r="M113" s="84"/>
    </row>
    <row r="114" spans="1:13" ht="12">
      <c r="A114" s="30">
        <v>29</v>
      </c>
      <c r="C114" s="31" t="s">
        <v>136</v>
      </c>
      <c r="E114" s="30">
        <v>29</v>
      </c>
      <c r="F114" s="87"/>
      <c r="G114" s="87"/>
      <c r="H114" s="82">
        <v>717.27</v>
      </c>
      <c r="I114" s="81"/>
      <c r="J114" s="82">
        <v>746.84</v>
      </c>
      <c r="K114" s="81"/>
      <c r="L114" s="81"/>
      <c r="M114" s="82">
        <v>785.87</v>
      </c>
    </row>
    <row r="115" spans="1:13" ht="12">
      <c r="A115" s="31"/>
      <c r="J115" s="74"/>
      <c r="M115" s="74"/>
    </row>
    <row r="116" spans="5:13" ht="12">
      <c r="E116" s="69"/>
      <c r="I116" s="36"/>
      <c r="J116" s="74"/>
      <c r="K116" s="24"/>
      <c r="M116" s="74"/>
    </row>
    <row r="117" spans="1:13" ht="12">
      <c r="A117" s="38" t="str">
        <f>$A$36</f>
        <v>Institution No.:  GFC</v>
      </c>
      <c r="E117" s="69"/>
      <c r="I117" s="36"/>
      <c r="J117" s="74"/>
      <c r="L117" s="36"/>
      <c r="M117" s="37" t="s">
        <v>137</v>
      </c>
    </row>
    <row r="118" spans="1:13" s="65" customFormat="1" ht="12">
      <c r="A118" s="400" t="s">
        <v>160</v>
      </c>
      <c r="B118" s="400"/>
      <c r="C118" s="400"/>
      <c r="D118" s="400"/>
      <c r="E118" s="400"/>
      <c r="F118" s="400"/>
      <c r="G118" s="400"/>
      <c r="H118" s="400"/>
      <c r="I118" s="400"/>
      <c r="J118" s="400"/>
      <c r="K118" s="400"/>
      <c r="L118" s="400"/>
      <c r="M118" s="400"/>
    </row>
    <row r="119" spans="1:13" ht="12">
      <c r="A119" s="38" t="s">
        <v>551</v>
      </c>
      <c r="C119" s="26" t="s">
        <v>455</v>
      </c>
      <c r="J119" s="74"/>
      <c r="L119" s="36"/>
      <c r="M119" s="39" t="str">
        <f>$M$3</f>
        <v>Date: 10/1/2009</v>
      </c>
    </row>
    <row r="120" spans="1:13" ht="12">
      <c r="A120" s="40" t="s">
        <v>1</v>
      </c>
      <c r="B120" s="40" t="s">
        <v>1</v>
      </c>
      <c r="C120" s="40" t="s">
        <v>1</v>
      </c>
      <c r="D120" s="40" t="s">
        <v>1</v>
      </c>
      <c r="E120" s="40" t="s">
        <v>1</v>
      </c>
      <c r="F120" s="40" t="s">
        <v>1</v>
      </c>
      <c r="G120" s="40"/>
      <c r="H120" s="40"/>
      <c r="I120" s="41" t="s">
        <v>1</v>
      </c>
      <c r="J120" s="42" t="s">
        <v>1</v>
      </c>
      <c r="K120" s="40" t="s">
        <v>1</v>
      </c>
      <c r="L120" s="41" t="s">
        <v>1</v>
      </c>
      <c r="M120" s="42" t="s">
        <v>1</v>
      </c>
    </row>
    <row r="121" spans="1:13" ht="12">
      <c r="A121" s="43" t="s">
        <v>2</v>
      </c>
      <c r="E121" s="43" t="s">
        <v>2</v>
      </c>
      <c r="H121" s="44" t="s">
        <v>240</v>
      </c>
      <c r="I121" s="45"/>
      <c r="J121" s="46" t="s">
        <v>247</v>
      </c>
      <c r="K121" s="44"/>
      <c r="L121" s="45"/>
      <c r="M121" s="46" t="s">
        <v>576</v>
      </c>
    </row>
    <row r="122" spans="1:13" ht="12">
      <c r="A122" s="43" t="s">
        <v>4</v>
      </c>
      <c r="C122" s="31" t="s">
        <v>0</v>
      </c>
      <c r="E122" s="43" t="s">
        <v>4</v>
      </c>
      <c r="H122" s="44" t="s">
        <v>7</v>
      </c>
      <c r="I122" s="45"/>
      <c r="J122" s="46" t="s">
        <v>7</v>
      </c>
      <c r="K122" s="44"/>
      <c r="L122" s="45"/>
      <c r="M122" s="46" t="s">
        <v>8</v>
      </c>
    </row>
    <row r="123" spans="1:13" ht="12">
      <c r="A123" s="40" t="s">
        <v>1</v>
      </c>
      <c r="B123" s="40" t="s">
        <v>1</v>
      </c>
      <c r="C123" s="40" t="s">
        <v>1</v>
      </c>
      <c r="D123" s="40" t="s">
        <v>1</v>
      </c>
      <c r="E123" s="40" t="s">
        <v>1</v>
      </c>
      <c r="F123" s="40" t="s">
        <v>1</v>
      </c>
      <c r="G123" s="40"/>
      <c r="H123" s="40"/>
      <c r="I123" s="41" t="s">
        <v>1</v>
      </c>
      <c r="J123" s="42" t="s">
        <v>1</v>
      </c>
      <c r="K123" s="40" t="s">
        <v>1</v>
      </c>
      <c r="L123" s="41" t="s">
        <v>1</v>
      </c>
      <c r="M123" s="42" t="s">
        <v>1</v>
      </c>
    </row>
    <row r="124" spans="1:13" ht="12">
      <c r="A124" s="30">
        <v>1</v>
      </c>
      <c r="C124" s="31" t="s">
        <v>138</v>
      </c>
      <c r="E124" s="30">
        <v>1</v>
      </c>
      <c r="H124" s="84"/>
      <c r="I124" s="81"/>
      <c r="J124" s="81"/>
      <c r="K124" s="84"/>
      <c r="L124" s="88"/>
      <c r="M124" s="237"/>
    </row>
    <row r="125" spans="1:13" ht="12">
      <c r="A125" s="30">
        <f aca="true" t="shared" si="3" ref="A125:A151">(A124+1)</f>
        <v>2</v>
      </c>
      <c r="C125" s="31" t="s">
        <v>139</v>
      </c>
      <c r="E125" s="30">
        <f aca="true" t="shared" si="4" ref="E125:E151">(E124+1)</f>
        <v>2</v>
      </c>
      <c r="F125" s="55"/>
      <c r="G125" s="55"/>
      <c r="H125" s="81"/>
      <c r="I125" s="81"/>
      <c r="J125" s="81"/>
      <c r="K125" s="81"/>
      <c r="L125" s="88"/>
      <c r="M125" s="235"/>
    </row>
    <row r="126" spans="1:13" ht="12">
      <c r="A126" s="30">
        <f t="shared" si="3"/>
        <v>3</v>
      </c>
      <c r="C126" s="31" t="s">
        <v>140</v>
      </c>
      <c r="E126" s="30">
        <f t="shared" si="4"/>
        <v>3</v>
      </c>
      <c r="F126" s="55"/>
      <c r="G126" s="55"/>
      <c r="H126" s="81"/>
      <c r="I126" s="81"/>
      <c r="J126" s="81"/>
      <c r="K126" s="81"/>
      <c r="L126" s="88"/>
      <c r="M126" s="235"/>
    </row>
    <row r="127" spans="1:13" ht="12">
      <c r="A127" s="30">
        <f t="shared" si="3"/>
        <v>4</v>
      </c>
      <c r="C127" s="31" t="s">
        <v>615</v>
      </c>
      <c r="E127" s="30">
        <f t="shared" si="4"/>
        <v>4</v>
      </c>
      <c r="F127" s="55"/>
      <c r="G127" s="55"/>
      <c r="H127" s="81">
        <v>5190</v>
      </c>
      <c r="I127" s="81"/>
      <c r="J127" s="28">
        <f>2790*2</f>
        <v>5580</v>
      </c>
      <c r="K127" s="81"/>
      <c r="L127" s="88"/>
      <c r="M127" s="81">
        <f>2925*2</f>
        <v>5850</v>
      </c>
    </row>
    <row r="128" spans="1:13" ht="12">
      <c r="A128" s="30">
        <f t="shared" si="3"/>
        <v>5</v>
      </c>
      <c r="C128" s="31" t="s">
        <v>616</v>
      </c>
      <c r="E128" s="30">
        <f t="shared" si="4"/>
        <v>5</v>
      </c>
      <c r="F128" s="55"/>
      <c r="G128" s="55"/>
      <c r="H128" s="81">
        <v>4350</v>
      </c>
      <c r="I128" s="81"/>
      <c r="J128" s="28">
        <f>2338*2</f>
        <v>4676</v>
      </c>
      <c r="K128" s="81"/>
      <c r="L128" s="88"/>
      <c r="M128" s="81">
        <f>2455*2</f>
        <v>4910</v>
      </c>
    </row>
    <row r="129" spans="1:13" ht="12">
      <c r="A129" s="30">
        <f t="shared" si="3"/>
        <v>6</v>
      </c>
      <c r="C129" s="31" t="s">
        <v>617</v>
      </c>
      <c r="E129" s="30">
        <f t="shared" si="4"/>
        <v>6</v>
      </c>
      <c r="F129" s="55"/>
      <c r="G129" s="55"/>
      <c r="H129" s="81"/>
      <c r="I129" s="81"/>
      <c r="K129" s="81"/>
      <c r="L129" s="88"/>
      <c r="M129" s="81">
        <f>3150*2</f>
        <v>6300</v>
      </c>
    </row>
    <row r="130" spans="1:13" ht="12">
      <c r="A130" s="30">
        <f t="shared" si="3"/>
        <v>7</v>
      </c>
      <c r="C130" s="31" t="s">
        <v>618</v>
      </c>
      <c r="E130" s="30">
        <f t="shared" si="4"/>
        <v>7</v>
      </c>
      <c r="F130" s="55"/>
      <c r="G130" s="55"/>
      <c r="H130" s="81">
        <v>4562</v>
      </c>
      <c r="I130" s="81"/>
      <c r="J130" s="28">
        <f>2452*2</f>
        <v>4904</v>
      </c>
      <c r="K130" s="81"/>
      <c r="L130" s="88"/>
      <c r="M130" s="81">
        <f>2575*2</f>
        <v>5150</v>
      </c>
    </row>
    <row r="131" spans="1:13" ht="12">
      <c r="A131" s="30">
        <f t="shared" si="3"/>
        <v>8</v>
      </c>
      <c r="C131" s="31" t="s">
        <v>619</v>
      </c>
      <c r="E131" s="30">
        <f t="shared" si="4"/>
        <v>8</v>
      </c>
      <c r="H131" s="84"/>
      <c r="I131" s="81"/>
      <c r="K131" s="84"/>
      <c r="L131" s="88"/>
      <c r="M131" s="81">
        <f>3600*2</f>
        <v>7200</v>
      </c>
    </row>
    <row r="132" spans="1:13" ht="12">
      <c r="A132" s="30">
        <f t="shared" si="3"/>
        <v>9</v>
      </c>
      <c r="C132" s="31" t="s">
        <v>620</v>
      </c>
      <c r="E132" s="30">
        <f t="shared" si="4"/>
        <v>9</v>
      </c>
      <c r="H132" s="84">
        <v>4824</v>
      </c>
      <c r="I132" s="81"/>
      <c r="J132" s="28">
        <f>2593*2</f>
        <v>5186</v>
      </c>
      <c r="K132" s="84"/>
      <c r="L132" s="88"/>
      <c r="M132" s="81">
        <f>2723*2</f>
        <v>5446</v>
      </c>
    </row>
    <row r="133" spans="1:13" ht="12">
      <c r="A133" s="30">
        <f t="shared" si="3"/>
        <v>10</v>
      </c>
      <c r="C133" s="31" t="s">
        <v>621</v>
      </c>
      <c r="E133" s="30">
        <f t="shared" si="4"/>
        <v>10</v>
      </c>
      <c r="H133" s="84"/>
      <c r="I133" s="81"/>
      <c r="K133" s="84"/>
      <c r="L133" s="88"/>
      <c r="M133" s="81">
        <f>4200*2</f>
        <v>8400</v>
      </c>
    </row>
    <row r="134" spans="1:13" ht="12">
      <c r="A134" s="30">
        <f t="shared" si="3"/>
        <v>11</v>
      </c>
      <c r="C134" s="31" t="s">
        <v>622</v>
      </c>
      <c r="E134" s="30">
        <f t="shared" si="4"/>
        <v>11</v>
      </c>
      <c r="H134" s="84">
        <v>6688</v>
      </c>
      <c r="I134" s="81"/>
      <c r="J134" s="28">
        <f>3595*2</f>
        <v>7190</v>
      </c>
      <c r="K134" s="84"/>
      <c r="L134" s="88"/>
      <c r="M134" s="81">
        <f>3775*2</f>
        <v>7550</v>
      </c>
    </row>
    <row r="135" spans="1:13" ht="12">
      <c r="A135" s="30">
        <f t="shared" si="3"/>
        <v>12</v>
      </c>
      <c r="E135" s="30">
        <f t="shared" si="4"/>
        <v>12</v>
      </c>
      <c r="H135" s="84"/>
      <c r="I135" s="81"/>
      <c r="K135" s="84"/>
      <c r="L135" s="88"/>
      <c r="M135" s="81"/>
    </row>
    <row r="136" spans="1:13" ht="12">
      <c r="A136" s="30">
        <f t="shared" si="3"/>
        <v>13</v>
      </c>
      <c r="E136" s="30">
        <f t="shared" si="4"/>
        <v>13</v>
      </c>
      <c r="H136" s="84"/>
      <c r="I136" s="81"/>
      <c r="K136" s="84"/>
      <c r="L136" s="88"/>
      <c r="M136" s="81"/>
    </row>
    <row r="137" spans="1:13" ht="12">
      <c r="A137" s="30">
        <f t="shared" si="3"/>
        <v>14</v>
      </c>
      <c r="C137" s="31" t="s">
        <v>0</v>
      </c>
      <c r="E137" s="30">
        <f t="shared" si="4"/>
        <v>14</v>
      </c>
      <c r="F137" s="32"/>
      <c r="G137" s="32"/>
      <c r="H137" s="2"/>
      <c r="I137" s="2"/>
      <c r="K137" s="2"/>
      <c r="L137" s="90"/>
      <c r="M137" s="2"/>
    </row>
    <row r="138" spans="1:13" ht="12">
      <c r="A138" s="30">
        <f t="shared" si="3"/>
        <v>15</v>
      </c>
      <c r="C138" s="31" t="s">
        <v>0</v>
      </c>
      <c r="E138" s="30">
        <f t="shared" si="4"/>
        <v>15</v>
      </c>
      <c r="F138" s="32"/>
      <c r="G138" s="32"/>
      <c r="H138" s="2"/>
      <c r="I138" s="2"/>
      <c r="K138" s="2"/>
      <c r="L138" s="90"/>
      <c r="M138" s="2"/>
    </row>
    <row r="139" spans="1:13" ht="12">
      <c r="A139" s="30">
        <f t="shared" si="3"/>
        <v>16</v>
      </c>
      <c r="C139" s="31" t="s">
        <v>0</v>
      </c>
      <c r="E139" s="30">
        <f t="shared" si="4"/>
        <v>16</v>
      </c>
      <c r="F139" s="32"/>
      <c r="G139" s="32"/>
      <c r="H139" s="2"/>
      <c r="I139" s="2"/>
      <c r="K139" s="2"/>
      <c r="L139" s="90"/>
      <c r="M139" s="2"/>
    </row>
    <row r="140" spans="1:13" ht="12">
      <c r="A140" s="30">
        <f t="shared" si="3"/>
        <v>17</v>
      </c>
      <c r="C140" s="31" t="s">
        <v>0</v>
      </c>
      <c r="E140" s="30">
        <f t="shared" si="4"/>
        <v>17</v>
      </c>
      <c r="F140" s="32"/>
      <c r="G140" s="32"/>
      <c r="H140" s="2"/>
      <c r="I140" s="2"/>
      <c r="K140" s="2"/>
      <c r="L140" s="90"/>
      <c r="M140" s="2"/>
    </row>
    <row r="141" spans="1:13" ht="12">
      <c r="A141" s="30">
        <f t="shared" si="3"/>
        <v>18</v>
      </c>
      <c r="C141" s="31" t="s">
        <v>141</v>
      </c>
      <c r="E141" s="30">
        <f t="shared" si="4"/>
        <v>18</v>
      </c>
      <c r="F141" s="32"/>
      <c r="G141" s="32"/>
      <c r="H141" s="2"/>
      <c r="I141" s="2"/>
      <c r="K141" s="2"/>
      <c r="L141" s="90"/>
      <c r="M141" s="2"/>
    </row>
    <row r="142" spans="1:13" ht="12">
      <c r="A142" s="30">
        <f t="shared" si="3"/>
        <v>19</v>
      </c>
      <c r="C142" s="31" t="s">
        <v>457</v>
      </c>
      <c r="E142" s="30">
        <f t="shared" si="4"/>
        <v>19</v>
      </c>
      <c r="H142" s="84">
        <v>7250</v>
      </c>
      <c r="I142" s="81"/>
      <c r="J142" s="28">
        <f>3864*2</f>
        <v>7728</v>
      </c>
      <c r="K142" s="84"/>
      <c r="L142" s="88"/>
      <c r="M142" s="81">
        <v>8110</v>
      </c>
    </row>
    <row r="143" spans="1:13" ht="12">
      <c r="A143" s="30">
        <f t="shared" si="3"/>
        <v>20</v>
      </c>
      <c r="C143" s="31" t="s">
        <v>140</v>
      </c>
      <c r="E143" s="30">
        <f t="shared" si="4"/>
        <v>20</v>
      </c>
      <c r="H143" s="84"/>
      <c r="I143" s="81"/>
      <c r="K143" s="84"/>
      <c r="L143" s="88"/>
      <c r="M143" s="81"/>
    </row>
    <row r="144" spans="1:13" ht="12">
      <c r="A144" s="30">
        <f t="shared" si="3"/>
        <v>21</v>
      </c>
      <c r="C144" s="31" t="s">
        <v>142</v>
      </c>
      <c r="E144" s="30">
        <f t="shared" si="4"/>
        <v>21</v>
      </c>
      <c r="H144" s="84"/>
      <c r="I144" s="81"/>
      <c r="K144" s="84"/>
      <c r="L144" s="88"/>
      <c r="M144" s="81"/>
    </row>
    <row r="145" spans="1:13" ht="12">
      <c r="A145" s="30">
        <f t="shared" si="3"/>
        <v>22</v>
      </c>
      <c r="C145" s="31" t="s">
        <v>139</v>
      </c>
      <c r="E145" s="30">
        <f t="shared" si="4"/>
        <v>22</v>
      </c>
      <c r="H145" s="84"/>
      <c r="I145" s="81"/>
      <c r="K145" s="84"/>
      <c r="L145" s="88"/>
      <c r="M145" s="81"/>
    </row>
    <row r="146" spans="1:13" ht="12">
      <c r="A146" s="30">
        <f t="shared" si="3"/>
        <v>23</v>
      </c>
      <c r="C146" s="31" t="s">
        <v>140</v>
      </c>
      <c r="E146" s="30">
        <f t="shared" si="4"/>
        <v>23</v>
      </c>
      <c r="H146" s="84"/>
      <c r="I146" s="81"/>
      <c r="K146" s="84"/>
      <c r="L146" s="88"/>
      <c r="M146" s="81"/>
    </row>
    <row r="147" spans="1:13" ht="12">
      <c r="A147" s="30">
        <f t="shared" si="3"/>
        <v>24</v>
      </c>
      <c r="C147" s="31" t="s">
        <v>458</v>
      </c>
      <c r="E147" s="30">
        <f t="shared" si="4"/>
        <v>24</v>
      </c>
      <c r="H147" s="84">
        <v>8186</v>
      </c>
      <c r="I147" s="81"/>
      <c r="J147" s="28">
        <f>3864*2</f>
        <v>7728</v>
      </c>
      <c r="K147" s="84"/>
      <c r="L147" s="88"/>
      <c r="M147" s="81">
        <v>9164</v>
      </c>
    </row>
    <row r="148" spans="1:13" ht="12">
      <c r="A148" s="30">
        <f t="shared" si="3"/>
        <v>25</v>
      </c>
      <c r="C148" s="26" t="s">
        <v>459</v>
      </c>
      <c r="E148" s="30">
        <f t="shared" si="4"/>
        <v>25</v>
      </c>
      <c r="H148" s="84">
        <v>8186</v>
      </c>
      <c r="I148" s="84"/>
      <c r="J148" s="28">
        <f>4366*2</f>
        <v>8732</v>
      </c>
      <c r="K148" s="84"/>
      <c r="L148" s="91"/>
      <c r="M148" s="84">
        <v>9164</v>
      </c>
    </row>
    <row r="149" spans="1:13" ht="12">
      <c r="A149" s="30">
        <f t="shared" si="3"/>
        <v>26</v>
      </c>
      <c r="C149" s="31" t="s">
        <v>460</v>
      </c>
      <c r="E149" s="30">
        <f t="shared" si="4"/>
        <v>26</v>
      </c>
      <c r="H149" s="84">
        <v>8186</v>
      </c>
      <c r="I149" s="81"/>
      <c r="J149" s="28">
        <f>4366*2</f>
        <v>8732</v>
      </c>
      <c r="K149" s="84"/>
      <c r="L149" s="88"/>
      <c r="M149" s="81">
        <v>9164</v>
      </c>
    </row>
    <row r="150" spans="1:13" ht="12">
      <c r="A150" s="30">
        <f t="shared" si="3"/>
        <v>27</v>
      </c>
      <c r="C150" s="31" t="s">
        <v>461</v>
      </c>
      <c r="E150" s="30">
        <f t="shared" si="4"/>
        <v>27</v>
      </c>
      <c r="H150" s="84">
        <v>7250</v>
      </c>
      <c r="I150" s="81"/>
      <c r="J150" s="28">
        <f>3864*2</f>
        <v>7728</v>
      </c>
      <c r="K150" s="84"/>
      <c r="L150" s="88"/>
      <c r="M150" s="81">
        <v>8110</v>
      </c>
    </row>
    <row r="151" spans="1:13" ht="12">
      <c r="A151" s="30">
        <f t="shared" si="3"/>
        <v>28</v>
      </c>
      <c r="C151" s="31" t="s">
        <v>462</v>
      </c>
      <c r="E151" s="30">
        <f t="shared" si="4"/>
        <v>28</v>
      </c>
      <c r="H151" s="84">
        <v>8186</v>
      </c>
      <c r="I151" s="81"/>
      <c r="J151" s="28">
        <f>4366*2</f>
        <v>8732</v>
      </c>
      <c r="K151" s="84"/>
      <c r="L151" s="88"/>
      <c r="M151" s="81">
        <v>9164</v>
      </c>
    </row>
    <row r="152" spans="1:13" ht="12">
      <c r="A152" s="30">
        <v>29</v>
      </c>
      <c r="C152" s="31" t="s">
        <v>463</v>
      </c>
      <c r="E152" s="69">
        <v>29</v>
      </c>
      <c r="F152" s="78"/>
      <c r="G152" s="78"/>
      <c r="H152" s="78">
        <v>10798</v>
      </c>
      <c r="I152" s="36"/>
      <c r="J152" s="28">
        <f>5771*2</f>
        <v>11542</v>
      </c>
      <c r="L152" s="36"/>
      <c r="M152" s="74">
        <v>12114</v>
      </c>
    </row>
    <row r="153" spans="1:5" ht="12">
      <c r="A153" s="30"/>
      <c r="E153" s="69"/>
    </row>
    <row r="154" spans="1:13" s="92" customFormat="1" ht="9">
      <c r="A154" s="92" t="s">
        <v>249</v>
      </c>
      <c r="I154" s="93"/>
      <c r="J154" s="94"/>
      <c r="L154" s="93"/>
      <c r="M154" s="94"/>
    </row>
    <row r="155" spans="1:13" s="92" customFormat="1" ht="9">
      <c r="A155" s="95" t="s">
        <v>161</v>
      </c>
      <c r="I155" s="93"/>
      <c r="J155" s="94"/>
      <c r="L155" s="93"/>
      <c r="M155" s="94"/>
    </row>
    <row r="156" spans="1:13" ht="12">
      <c r="A156" s="31"/>
      <c r="J156" s="74"/>
      <c r="M156" s="74"/>
    </row>
    <row r="157" spans="1:13" ht="12">
      <c r="A157" s="31"/>
      <c r="J157" s="74"/>
      <c r="M157" s="74"/>
    </row>
    <row r="158" spans="1:13" ht="12">
      <c r="A158" s="31"/>
      <c r="J158" s="74"/>
      <c r="M158" s="74"/>
    </row>
    <row r="159" spans="1:13" ht="12">
      <c r="A159" s="31"/>
      <c r="J159" s="74"/>
      <c r="M159" s="74"/>
    </row>
    <row r="160" spans="1:13" ht="12">
      <c r="A160" s="31"/>
      <c r="J160" s="74"/>
      <c r="M160" s="74"/>
    </row>
    <row r="161" spans="1:13" ht="12">
      <c r="A161" s="31"/>
      <c r="J161" s="74"/>
      <c r="M161" s="74"/>
    </row>
    <row r="162" spans="1:13" ht="12">
      <c r="A162" s="31"/>
      <c r="J162" s="74"/>
      <c r="M162" s="74"/>
    </row>
    <row r="163" spans="1:13" ht="12">
      <c r="A163" s="31"/>
      <c r="J163" s="74"/>
      <c r="M163" s="74"/>
    </row>
    <row r="164" spans="1:13" ht="12">
      <c r="A164" s="31"/>
      <c r="J164" s="74"/>
      <c r="M164" s="74"/>
    </row>
    <row r="165" spans="5:13" ht="12">
      <c r="E165" s="69"/>
      <c r="I165" s="36"/>
      <c r="J165" s="74"/>
      <c r="K165" s="24"/>
      <c r="M165" s="74"/>
    </row>
    <row r="166" spans="1:13" ht="12">
      <c r="A166" s="38" t="str">
        <f>$A$36</f>
        <v>Institution No.:  GFC</v>
      </c>
      <c r="E166" s="69"/>
      <c r="I166" s="36"/>
      <c r="J166" s="74"/>
      <c r="L166" s="36"/>
      <c r="M166" s="37" t="s">
        <v>143</v>
      </c>
    </row>
    <row r="167" spans="1:13" ht="12.75" customHeight="1">
      <c r="A167" s="400" t="s">
        <v>144</v>
      </c>
      <c r="B167" s="400"/>
      <c r="C167" s="400"/>
      <c r="D167" s="400"/>
      <c r="E167" s="400"/>
      <c r="F167" s="400"/>
      <c r="G167" s="400"/>
      <c r="H167" s="400"/>
      <c r="I167" s="400"/>
      <c r="J167" s="400"/>
      <c r="K167" s="400"/>
      <c r="L167" s="400"/>
      <c r="M167" s="400"/>
    </row>
    <row r="168" spans="1:13" ht="12">
      <c r="A168" s="38" t="s">
        <v>551</v>
      </c>
      <c r="C168" s="26" t="s">
        <v>455</v>
      </c>
      <c r="J168" s="74"/>
      <c r="L168" s="36"/>
      <c r="M168" s="39" t="str">
        <f>$M$3</f>
        <v>Date: 10/1/2009</v>
      </c>
    </row>
    <row r="169" spans="1:13" ht="12">
      <c r="A169" s="40" t="s">
        <v>1</v>
      </c>
      <c r="B169" s="40" t="s">
        <v>1</v>
      </c>
      <c r="C169" s="40" t="s">
        <v>1</v>
      </c>
      <c r="D169" s="40" t="s">
        <v>1</v>
      </c>
      <c r="E169" s="40" t="s">
        <v>1</v>
      </c>
      <c r="F169" s="40" t="s">
        <v>1</v>
      </c>
      <c r="G169" s="40"/>
      <c r="H169" s="40"/>
      <c r="I169" s="41" t="s">
        <v>1</v>
      </c>
      <c r="J169" s="42" t="s">
        <v>1</v>
      </c>
      <c r="K169" s="40" t="s">
        <v>1</v>
      </c>
      <c r="L169" s="41" t="s">
        <v>1</v>
      </c>
      <c r="M169" s="42" t="s">
        <v>1</v>
      </c>
    </row>
    <row r="170" spans="1:13" ht="12">
      <c r="A170" s="43" t="s">
        <v>2</v>
      </c>
      <c r="E170" s="43" t="s">
        <v>2</v>
      </c>
      <c r="H170" s="44" t="s">
        <v>240</v>
      </c>
      <c r="I170" s="45"/>
      <c r="J170" s="46" t="s">
        <v>247</v>
      </c>
      <c r="K170" s="44"/>
      <c r="L170" s="45"/>
      <c r="M170" s="46" t="s">
        <v>576</v>
      </c>
    </row>
    <row r="171" spans="1:13" ht="12">
      <c r="A171" s="43" t="s">
        <v>4</v>
      </c>
      <c r="C171" s="31" t="s">
        <v>0</v>
      </c>
      <c r="E171" s="43" t="s">
        <v>4</v>
      </c>
      <c r="H171" s="44" t="s">
        <v>7</v>
      </c>
      <c r="I171" s="45"/>
      <c r="J171" s="46" t="s">
        <v>7</v>
      </c>
      <c r="K171" s="44"/>
      <c r="L171" s="45"/>
      <c r="M171" s="46" t="s">
        <v>8</v>
      </c>
    </row>
    <row r="172" spans="1:13" ht="12">
      <c r="A172" s="40" t="s">
        <v>1</v>
      </c>
      <c r="B172" s="40" t="s">
        <v>1</v>
      </c>
      <c r="C172" s="40" t="s">
        <v>1</v>
      </c>
      <c r="D172" s="40" t="s">
        <v>1</v>
      </c>
      <c r="E172" s="40" t="s">
        <v>1</v>
      </c>
      <c r="F172" s="40" t="s">
        <v>1</v>
      </c>
      <c r="G172" s="40"/>
      <c r="H172" s="40"/>
      <c r="I172" s="41" t="s">
        <v>1</v>
      </c>
      <c r="J172" s="42" t="s">
        <v>1</v>
      </c>
      <c r="K172" s="40" t="s">
        <v>1</v>
      </c>
      <c r="L172" s="41" t="s">
        <v>1</v>
      </c>
      <c r="M172" s="42" t="s">
        <v>1</v>
      </c>
    </row>
    <row r="173" spans="1:13" ht="12">
      <c r="A173" s="30">
        <v>1</v>
      </c>
      <c r="C173" s="31" t="s">
        <v>138</v>
      </c>
      <c r="E173" s="30">
        <v>1</v>
      </c>
      <c r="H173" s="84"/>
      <c r="I173" s="81"/>
      <c r="J173" s="81"/>
      <c r="K173" s="84"/>
      <c r="L173" s="36"/>
      <c r="M173" s="74"/>
    </row>
    <row r="174" spans="1:13" ht="12">
      <c r="A174" s="30">
        <v>2</v>
      </c>
      <c r="C174" s="31" t="s">
        <v>139</v>
      </c>
      <c r="E174" s="30">
        <v>2</v>
      </c>
      <c r="F174" s="55"/>
      <c r="G174" s="55"/>
      <c r="H174" s="81"/>
      <c r="I174" s="81"/>
      <c r="J174" s="81"/>
      <c r="K174" s="81"/>
      <c r="L174" s="36"/>
      <c r="M174" s="89"/>
    </row>
    <row r="175" spans="1:13" ht="12">
      <c r="A175" s="30">
        <v>3</v>
      </c>
      <c r="C175" s="31" t="s">
        <v>140</v>
      </c>
      <c r="E175" s="30">
        <v>3</v>
      </c>
      <c r="F175" s="55"/>
      <c r="G175" s="55"/>
      <c r="H175" s="81"/>
      <c r="I175" s="81"/>
      <c r="J175" s="81"/>
      <c r="K175" s="81"/>
      <c r="L175" s="36"/>
      <c r="M175" s="89"/>
    </row>
    <row r="176" spans="1:13" ht="12">
      <c r="A176" s="30">
        <v>4</v>
      </c>
      <c r="C176" s="31" t="s">
        <v>615</v>
      </c>
      <c r="E176" s="30">
        <v>4</v>
      </c>
      <c r="F176" s="55"/>
      <c r="G176" s="55"/>
      <c r="H176" s="81">
        <v>15300</v>
      </c>
      <c r="I176" s="81"/>
      <c r="J176" s="81">
        <v>15300</v>
      </c>
      <c r="K176" s="81"/>
      <c r="L176" s="36"/>
      <c r="M176" s="235">
        <v>15600</v>
      </c>
    </row>
    <row r="177" spans="1:13" ht="12">
      <c r="A177" s="30">
        <v>5</v>
      </c>
      <c r="C177" s="26" t="s">
        <v>616</v>
      </c>
      <c r="E177" s="30">
        <v>5</v>
      </c>
      <c r="F177" s="55"/>
      <c r="G177" s="55"/>
      <c r="H177" s="81">
        <v>15300</v>
      </c>
      <c r="I177" s="81"/>
      <c r="J177" s="81">
        <v>15300</v>
      </c>
      <c r="K177" s="81"/>
      <c r="L177" s="36"/>
      <c r="M177" s="235">
        <v>15600</v>
      </c>
    </row>
    <row r="178" spans="1:13" ht="12">
      <c r="A178" s="30">
        <v>6</v>
      </c>
      <c r="C178" s="31" t="s">
        <v>617</v>
      </c>
      <c r="E178" s="30">
        <v>6</v>
      </c>
      <c r="F178" s="55"/>
      <c r="G178" s="55"/>
      <c r="H178" s="81"/>
      <c r="I178" s="81"/>
      <c r="J178" s="81"/>
      <c r="K178" s="81"/>
      <c r="L178" s="36"/>
      <c r="M178" s="235">
        <v>15820</v>
      </c>
    </row>
    <row r="179" spans="1:13" ht="12">
      <c r="A179" s="30">
        <v>7</v>
      </c>
      <c r="C179" s="31" t="s">
        <v>618</v>
      </c>
      <c r="E179" s="30">
        <v>7</v>
      </c>
      <c r="F179" s="55"/>
      <c r="G179" s="55"/>
      <c r="H179" s="81">
        <v>15500</v>
      </c>
      <c r="I179" s="81"/>
      <c r="J179" s="81">
        <v>15500</v>
      </c>
      <c r="K179" s="81"/>
      <c r="L179" s="36"/>
      <c r="M179" s="235">
        <v>15820</v>
      </c>
    </row>
    <row r="180" spans="1:13" ht="12">
      <c r="A180" s="30">
        <v>8</v>
      </c>
      <c r="C180" s="26" t="s">
        <v>619</v>
      </c>
      <c r="E180" s="30">
        <v>8</v>
      </c>
      <c r="H180" s="84"/>
      <c r="I180" s="81"/>
      <c r="J180" s="81"/>
      <c r="K180" s="84"/>
      <c r="L180" s="36"/>
      <c r="M180" s="235">
        <v>16120</v>
      </c>
    </row>
    <row r="181" spans="1:13" ht="12">
      <c r="A181" s="30">
        <v>9</v>
      </c>
      <c r="C181" s="31" t="s">
        <v>620</v>
      </c>
      <c r="E181" s="30">
        <v>9</v>
      </c>
      <c r="H181" s="84">
        <v>15800</v>
      </c>
      <c r="I181" s="81"/>
      <c r="J181" s="81">
        <v>15800</v>
      </c>
      <c r="K181" s="84"/>
      <c r="L181" s="36"/>
      <c r="M181" s="235">
        <v>16120</v>
      </c>
    </row>
    <row r="182" spans="1:13" ht="12">
      <c r="A182" s="30">
        <v>10</v>
      </c>
      <c r="C182" s="31" t="s">
        <v>621</v>
      </c>
      <c r="E182" s="30">
        <v>10</v>
      </c>
      <c r="H182" s="84"/>
      <c r="I182" s="81"/>
      <c r="J182" s="81"/>
      <c r="K182" s="84"/>
      <c r="L182" s="36"/>
      <c r="M182" s="235">
        <v>16120</v>
      </c>
    </row>
    <row r="183" spans="1:13" ht="12">
      <c r="A183" s="30">
        <v>11</v>
      </c>
      <c r="C183" s="31" t="s">
        <v>622</v>
      </c>
      <c r="E183" s="30">
        <v>11</v>
      </c>
      <c r="H183" s="84">
        <v>15800</v>
      </c>
      <c r="I183" s="81"/>
      <c r="J183" s="81">
        <v>15800</v>
      </c>
      <c r="K183" s="84"/>
      <c r="L183" s="36"/>
      <c r="M183" s="235">
        <v>16120</v>
      </c>
    </row>
    <row r="184" spans="1:13" ht="12">
      <c r="A184" s="30">
        <v>12</v>
      </c>
      <c r="C184" s="31"/>
      <c r="E184" s="30">
        <v>12</v>
      </c>
      <c r="H184" s="84"/>
      <c r="I184" s="81"/>
      <c r="J184" s="81"/>
      <c r="K184" s="84"/>
      <c r="L184" s="36"/>
      <c r="M184" s="235"/>
    </row>
    <row r="185" spans="1:13" ht="12">
      <c r="A185" s="30">
        <v>13</v>
      </c>
      <c r="C185" s="31"/>
      <c r="E185" s="30">
        <v>13</v>
      </c>
      <c r="H185" s="84"/>
      <c r="I185" s="81"/>
      <c r="J185" s="81"/>
      <c r="K185" s="84"/>
      <c r="L185" s="36"/>
      <c r="M185" s="235"/>
    </row>
    <row r="186" spans="1:13" ht="12">
      <c r="A186" s="30">
        <v>14</v>
      </c>
      <c r="C186" s="31" t="s">
        <v>0</v>
      </c>
      <c r="E186" s="30">
        <v>14</v>
      </c>
      <c r="F186" s="32"/>
      <c r="G186" s="32"/>
      <c r="H186" s="2"/>
      <c r="I186" s="2"/>
      <c r="J186" s="2"/>
      <c r="K186" s="2"/>
      <c r="L186" s="33"/>
      <c r="M186" s="236"/>
    </row>
    <row r="187" spans="1:13" ht="12">
      <c r="A187" s="30">
        <v>15</v>
      </c>
      <c r="C187" s="31" t="s">
        <v>0</v>
      </c>
      <c r="E187" s="30">
        <v>15</v>
      </c>
      <c r="F187" s="32"/>
      <c r="G187" s="32"/>
      <c r="H187" s="2"/>
      <c r="I187" s="2"/>
      <c r="J187" s="2"/>
      <c r="K187" s="2"/>
      <c r="L187" s="33"/>
      <c r="M187" s="236"/>
    </row>
    <row r="188" spans="1:13" ht="12">
      <c r="A188" s="30">
        <v>16</v>
      </c>
      <c r="C188" s="31" t="s">
        <v>0</v>
      </c>
      <c r="E188" s="30">
        <v>16</v>
      </c>
      <c r="F188" s="32"/>
      <c r="G188" s="32"/>
      <c r="H188" s="2"/>
      <c r="I188" s="2"/>
      <c r="J188" s="2"/>
      <c r="K188" s="2"/>
      <c r="L188" s="33"/>
      <c r="M188" s="236"/>
    </row>
    <row r="189" spans="1:13" ht="12">
      <c r="A189" s="30">
        <v>17</v>
      </c>
      <c r="C189" s="31" t="s">
        <v>0</v>
      </c>
      <c r="E189" s="30">
        <v>17</v>
      </c>
      <c r="F189" s="32"/>
      <c r="G189" s="32"/>
      <c r="H189" s="2"/>
      <c r="I189" s="2"/>
      <c r="J189" s="2"/>
      <c r="K189" s="2"/>
      <c r="L189" s="33"/>
      <c r="M189" s="236"/>
    </row>
    <row r="190" spans="1:13" ht="12">
      <c r="A190" s="30">
        <v>18</v>
      </c>
      <c r="C190" s="31" t="s">
        <v>141</v>
      </c>
      <c r="E190" s="30">
        <v>18</v>
      </c>
      <c r="F190" s="32"/>
      <c r="G190" s="32"/>
      <c r="H190" s="2">
        <v>17880</v>
      </c>
      <c r="I190" s="2"/>
      <c r="J190" s="2">
        <v>17896</v>
      </c>
      <c r="K190" s="2"/>
      <c r="L190" s="33"/>
      <c r="M190" s="236">
        <v>18286</v>
      </c>
    </row>
    <row r="191" spans="1:13" ht="12">
      <c r="A191" s="30">
        <v>19</v>
      </c>
      <c r="C191" s="26" t="s">
        <v>139</v>
      </c>
      <c r="E191" s="30">
        <v>19</v>
      </c>
      <c r="H191" s="84"/>
      <c r="I191" s="81"/>
      <c r="J191" s="81"/>
      <c r="K191" s="84"/>
      <c r="L191" s="36"/>
      <c r="M191" s="235"/>
    </row>
    <row r="192" spans="1:13" ht="12">
      <c r="A192" s="30">
        <v>20</v>
      </c>
      <c r="C192" s="26" t="s">
        <v>140</v>
      </c>
      <c r="E192" s="30">
        <v>20</v>
      </c>
      <c r="H192" s="84"/>
      <c r="I192" s="81"/>
      <c r="J192" s="81"/>
      <c r="K192" s="84"/>
      <c r="L192" s="36"/>
      <c r="M192" s="235"/>
    </row>
    <row r="193" spans="1:13" ht="12">
      <c r="A193" s="30">
        <v>21</v>
      </c>
      <c r="C193" s="31" t="s">
        <v>142</v>
      </c>
      <c r="E193" s="30">
        <v>21</v>
      </c>
      <c r="H193" s="84"/>
      <c r="I193" s="81"/>
      <c r="J193" s="81"/>
      <c r="K193" s="84"/>
      <c r="L193" s="36"/>
      <c r="M193" s="235"/>
    </row>
    <row r="194" spans="1:13" ht="12">
      <c r="A194" s="30">
        <v>22</v>
      </c>
      <c r="C194" s="31" t="s">
        <v>139</v>
      </c>
      <c r="E194" s="30">
        <v>22</v>
      </c>
      <c r="H194" s="84"/>
      <c r="I194" s="81"/>
      <c r="J194" s="81"/>
      <c r="K194" s="84"/>
      <c r="L194" s="36"/>
      <c r="M194" s="235"/>
    </row>
    <row r="195" spans="1:13" ht="12">
      <c r="A195" s="30">
        <v>23</v>
      </c>
      <c r="C195" s="31" t="s">
        <v>140</v>
      </c>
      <c r="E195" s="30">
        <v>23</v>
      </c>
      <c r="H195" s="84"/>
      <c r="I195" s="81"/>
      <c r="J195" s="81"/>
      <c r="K195" s="84"/>
      <c r="L195" s="36"/>
      <c r="M195" s="235"/>
    </row>
    <row r="196" spans="1:13" ht="12">
      <c r="A196" s="30">
        <v>24</v>
      </c>
      <c r="C196" s="31" t="s">
        <v>458</v>
      </c>
      <c r="E196" s="30">
        <v>24</v>
      </c>
      <c r="H196" s="84">
        <v>19080</v>
      </c>
      <c r="I196" s="81"/>
      <c r="J196" s="81">
        <v>19096</v>
      </c>
      <c r="K196" s="84"/>
      <c r="L196" s="36"/>
      <c r="M196" s="74">
        <v>19506</v>
      </c>
    </row>
    <row r="197" spans="1:13" ht="12">
      <c r="A197" s="30">
        <v>25</v>
      </c>
      <c r="C197" s="26" t="s">
        <v>459</v>
      </c>
      <c r="E197" s="30">
        <v>25</v>
      </c>
      <c r="H197" s="84">
        <v>19080</v>
      </c>
      <c r="I197" s="84"/>
      <c r="J197" s="84">
        <v>19096</v>
      </c>
      <c r="K197" s="84"/>
      <c r="M197" s="28">
        <v>19506</v>
      </c>
    </row>
    <row r="198" spans="1:13" ht="12">
      <c r="A198" s="30">
        <v>26</v>
      </c>
      <c r="C198" s="31" t="s">
        <v>460</v>
      </c>
      <c r="E198" s="30">
        <v>26</v>
      </c>
      <c r="H198" s="84">
        <v>19080</v>
      </c>
      <c r="I198" s="81"/>
      <c r="J198" s="81">
        <v>19096</v>
      </c>
      <c r="K198" s="84"/>
      <c r="L198" s="36"/>
      <c r="M198" s="74">
        <v>19506</v>
      </c>
    </row>
    <row r="199" spans="1:13" ht="12">
      <c r="A199" s="30">
        <v>27</v>
      </c>
      <c r="C199" s="31" t="s">
        <v>461</v>
      </c>
      <c r="E199" s="30">
        <v>27</v>
      </c>
      <c r="H199" s="84">
        <v>17880</v>
      </c>
      <c r="I199" s="81"/>
      <c r="J199" s="81">
        <v>17896</v>
      </c>
      <c r="K199" s="84"/>
      <c r="L199" s="36"/>
      <c r="M199" s="74">
        <v>18286</v>
      </c>
    </row>
    <row r="200" spans="1:13" ht="12">
      <c r="A200" s="30">
        <v>28</v>
      </c>
      <c r="C200" s="31" t="s">
        <v>462</v>
      </c>
      <c r="E200" s="30">
        <v>28</v>
      </c>
      <c r="H200" s="84">
        <v>19080</v>
      </c>
      <c r="I200" s="81"/>
      <c r="J200" s="81">
        <v>19096</v>
      </c>
      <c r="K200" s="84"/>
      <c r="L200" s="36"/>
      <c r="M200" s="74">
        <v>19506</v>
      </c>
    </row>
    <row r="201" spans="1:13" ht="12">
      <c r="A201" s="30">
        <v>29</v>
      </c>
      <c r="C201" s="31" t="s">
        <v>463</v>
      </c>
      <c r="E201" s="30">
        <v>29</v>
      </c>
      <c r="F201" s="78"/>
      <c r="G201" s="78"/>
      <c r="H201" s="81">
        <v>19080</v>
      </c>
      <c r="I201" s="81"/>
      <c r="J201" s="81">
        <v>19096</v>
      </c>
      <c r="K201" s="84"/>
      <c r="L201" s="36"/>
      <c r="M201" s="74">
        <v>19506</v>
      </c>
    </row>
    <row r="202" spans="1:11" ht="12">
      <c r="A202" s="30">
        <v>30</v>
      </c>
      <c r="E202" s="30">
        <v>30</v>
      </c>
      <c r="H202" s="84"/>
      <c r="I202" s="84"/>
      <c r="J202" s="84"/>
      <c r="K202" s="84"/>
    </row>
    <row r="204" ht="12">
      <c r="A204" s="31"/>
    </row>
    <row r="205" spans="1:13" ht="12">
      <c r="A205" s="31"/>
      <c r="J205" s="74"/>
      <c r="M205" s="74"/>
    </row>
    <row r="206" spans="1:13" ht="12">
      <c r="A206" s="31"/>
      <c r="J206" s="74"/>
      <c r="M206" s="74"/>
    </row>
    <row r="207" spans="1:13" ht="12">
      <c r="A207" s="31"/>
      <c r="J207" s="74"/>
      <c r="M207" s="74"/>
    </row>
    <row r="208" spans="1:13" ht="12">
      <c r="A208" s="31"/>
      <c r="J208" s="74"/>
      <c r="M208" s="74"/>
    </row>
    <row r="209" spans="1:13" ht="12">
      <c r="A209" s="31"/>
      <c r="J209" s="74"/>
      <c r="M209" s="74"/>
    </row>
    <row r="210" spans="1:13" ht="12">
      <c r="A210" s="31"/>
      <c r="J210" s="74"/>
      <c r="M210" s="74"/>
    </row>
    <row r="211" spans="1:13" ht="12">
      <c r="A211" s="31"/>
      <c r="J211" s="74"/>
      <c r="M211" s="74"/>
    </row>
    <row r="212" spans="1:13" ht="12">
      <c r="A212" s="31"/>
      <c r="J212" s="74"/>
      <c r="M212" s="74"/>
    </row>
    <row r="213" spans="1:13" ht="12">
      <c r="A213" s="38" t="str">
        <f>$A$36</f>
        <v>Institution No.:  GFC</v>
      </c>
      <c r="C213" s="96"/>
      <c r="I213" s="26"/>
      <c r="J213" s="26"/>
      <c r="K213" s="52" t="s">
        <v>162</v>
      </c>
      <c r="L213" s="26"/>
      <c r="M213" s="26"/>
    </row>
    <row r="214" spans="1:13" ht="12">
      <c r="A214" s="73"/>
      <c r="B214" s="415" t="s">
        <v>163</v>
      </c>
      <c r="C214" s="415"/>
      <c r="D214" s="415"/>
      <c r="E214" s="415"/>
      <c r="F214" s="415"/>
      <c r="G214" s="415"/>
      <c r="H214" s="415"/>
      <c r="I214" s="415"/>
      <c r="J214" s="415"/>
      <c r="K214" s="415"/>
      <c r="L214" s="415"/>
      <c r="M214" s="415"/>
    </row>
    <row r="215" spans="1:13" ht="12">
      <c r="A215" s="38" t="s">
        <v>551</v>
      </c>
      <c r="C215" s="26" t="s">
        <v>455</v>
      </c>
      <c r="I215" s="26"/>
      <c r="J215" s="26"/>
      <c r="K215" s="97" t="s">
        <v>180</v>
      </c>
      <c r="L215" s="26"/>
      <c r="M215" s="26"/>
    </row>
    <row r="216" spans="1:13" ht="12">
      <c r="A216" s="40"/>
      <c r="C216" s="40" t="s">
        <v>1</v>
      </c>
      <c r="D216" s="40" t="s">
        <v>1</v>
      </c>
      <c r="E216" s="40" t="s">
        <v>1</v>
      </c>
      <c r="F216" s="40" t="s">
        <v>1</v>
      </c>
      <c r="G216" s="40"/>
      <c r="H216" s="40"/>
      <c r="I216" s="40" t="s">
        <v>1</v>
      </c>
      <c r="J216" s="40" t="s">
        <v>1</v>
      </c>
      <c r="K216" s="40" t="s">
        <v>1</v>
      </c>
      <c r="L216" s="40" t="s">
        <v>1</v>
      </c>
      <c r="M216" s="26"/>
    </row>
    <row r="217" spans="1:13" ht="12">
      <c r="A217" s="43"/>
      <c r="D217" s="47" t="s">
        <v>240</v>
      </c>
      <c r="G217" s="47"/>
      <c r="I217" s="47" t="s">
        <v>247</v>
      </c>
      <c r="J217" s="26"/>
      <c r="L217" s="26"/>
      <c r="M217" s="26"/>
    </row>
    <row r="218" spans="1:13" ht="12">
      <c r="A218" s="43"/>
      <c r="D218" s="47" t="s">
        <v>164</v>
      </c>
      <c r="G218" s="47"/>
      <c r="I218" s="47" t="s">
        <v>181</v>
      </c>
      <c r="J218" s="26"/>
      <c r="L218" s="26"/>
      <c r="M218" s="26"/>
    </row>
    <row r="219" spans="1:13" ht="12">
      <c r="A219" s="40"/>
      <c r="D219" s="47" t="s">
        <v>21</v>
      </c>
      <c r="E219" s="47" t="s">
        <v>21</v>
      </c>
      <c r="F219" s="47" t="s">
        <v>165</v>
      </c>
      <c r="G219" s="47"/>
      <c r="H219" s="47"/>
      <c r="I219" s="47" t="s">
        <v>21</v>
      </c>
      <c r="J219" s="47" t="s">
        <v>21</v>
      </c>
      <c r="K219" s="47" t="s">
        <v>165</v>
      </c>
      <c r="L219" s="47"/>
      <c r="M219" s="26"/>
    </row>
    <row r="220" spans="1:13" ht="12">
      <c r="A220" s="31"/>
      <c r="C220" s="47" t="s">
        <v>166</v>
      </c>
      <c r="D220" s="47" t="s">
        <v>167</v>
      </c>
      <c r="E220" s="47" t="s">
        <v>168</v>
      </c>
      <c r="F220" s="47" t="s">
        <v>169</v>
      </c>
      <c r="G220" s="47"/>
      <c r="H220" s="47"/>
      <c r="I220" s="47" t="s">
        <v>167</v>
      </c>
      <c r="J220" s="47" t="s">
        <v>168</v>
      </c>
      <c r="K220" s="47" t="s">
        <v>169</v>
      </c>
      <c r="L220" s="47"/>
      <c r="M220" s="26"/>
    </row>
    <row r="221" spans="1:13" ht="12">
      <c r="A221" s="31"/>
      <c r="C221" s="40" t="s">
        <v>1</v>
      </c>
      <c r="D221" s="40" t="s">
        <v>1</v>
      </c>
      <c r="E221" s="40" t="s">
        <v>1</v>
      </c>
      <c r="F221" s="40" t="s">
        <v>1</v>
      </c>
      <c r="G221" s="40"/>
      <c r="H221" s="40"/>
      <c r="I221" s="40" t="s">
        <v>1</v>
      </c>
      <c r="J221" s="40" t="s">
        <v>1</v>
      </c>
      <c r="K221" s="40" t="s">
        <v>1</v>
      </c>
      <c r="L221" s="40" t="s">
        <v>1</v>
      </c>
      <c r="M221" s="26"/>
    </row>
    <row r="222" spans="1:13" ht="12">
      <c r="A222" s="31"/>
      <c r="I222" s="26"/>
      <c r="J222" s="26"/>
      <c r="L222" s="26"/>
      <c r="M222" s="26"/>
    </row>
    <row r="223" spans="1:13" ht="12">
      <c r="A223" s="31"/>
      <c r="C223" s="31" t="s">
        <v>170</v>
      </c>
      <c r="D223" s="98"/>
      <c r="E223" s="98"/>
      <c r="F223" s="98"/>
      <c r="G223" s="48"/>
      <c r="H223" s="48"/>
      <c r="I223" s="98"/>
      <c r="J223" s="98"/>
      <c r="K223" s="99"/>
      <c r="L223" s="26"/>
      <c r="M223" s="26"/>
    </row>
    <row r="224" spans="1:13" ht="12">
      <c r="A224" s="31"/>
      <c r="D224" s="98"/>
      <c r="E224" s="98"/>
      <c r="F224" s="98"/>
      <c r="G224" s="100"/>
      <c r="H224" s="100"/>
      <c r="I224" s="98"/>
      <c r="J224" s="98"/>
      <c r="K224" s="98"/>
      <c r="L224" s="26"/>
      <c r="M224" s="26"/>
    </row>
    <row r="225" spans="1:13" ht="12">
      <c r="A225" s="31"/>
      <c r="C225" s="31" t="s">
        <v>171</v>
      </c>
      <c r="D225" s="82">
        <v>3072.7</v>
      </c>
      <c r="E225" s="82">
        <v>108.7</v>
      </c>
      <c r="F225" s="83">
        <v>28.267709291628332</v>
      </c>
      <c r="G225" s="48"/>
      <c r="H225" s="48"/>
      <c r="I225" s="82">
        <v>3244</v>
      </c>
      <c r="J225" s="82">
        <v>120.45</v>
      </c>
      <c r="K225" s="82">
        <v>26.93233706932337</v>
      </c>
      <c r="L225" s="30"/>
      <c r="M225" s="26"/>
    </row>
    <row r="226" spans="1:13" ht="12">
      <c r="A226" s="31"/>
      <c r="D226" s="83"/>
      <c r="E226" s="83"/>
      <c r="F226" s="83"/>
      <c r="G226" s="100"/>
      <c r="H226" s="100"/>
      <c r="I226" s="83"/>
      <c r="J226" s="83"/>
      <c r="K226" s="83"/>
      <c r="L226" s="26"/>
      <c r="M226" s="26"/>
    </row>
    <row r="227" spans="1:13" ht="12">
      <c r="A227" s="31"/>
      <c r="C227" s="31" t="s">
        <v>172</v>
      </c>
      <c r="D227" s="82">
        <v>2546.8</v>
      </c>
      <c r="E227" s="82">
        <v>166.8</v>
      </c>
      <c r="F227" s="83">
        <v>15.268585131894485</v>
      </c>
      <c r="G227" s="48"/>
      <c r="H227" s="48"/>
      <c r="I227" s="82">
        <v>2656.7</v>
      </c>
      <c r="J227" s="82">
        <v>181.63</v>
      </c>
      <c r="K227" s="82">
        <v>14.626988933546219</v>
      </c>
      <c r="L227" s="30"/>
      <c r="M227" s="26"/>
    </row>
    <row r="228" spans="1:13" ht="12">
      <c r="A228" s="31"/>
      <c r="D228" s="83"/>
      <c r="E228" s="83"/>
      <c r="F228" s="83"/>
      <c r="G228" s="100"/>
      <c r="H228" s="100"/>
      <c r="I228" s="83"/>
      <c r="J228" s="83"/>
      <c r="K228" s="83"/>
      <c r="L228" s="26"/>
      <c r="M228" s="26"/>
    </row>
    <row r="229" spans="1:13" ht="12">
      <c r="A229" s="31"/>
      <c r="C229" s="31" t="s">
        <v>173</v>
      </c>
      <c r="D229" s="82">
        <v>5619.5</v>
      </c>
      <c r="E229" s="82">
        <v>275.5</v>
      </c>
      <c r="F229" s="83">
        <v>20.397459165154267</v>
      </c>
      <c r="G229" s="101"/>
      <c r="H229" s="101"/>
      <c r="I229" s="82">
        <v>5900.7</v>
      </c>
      <c r="J229" s="82">
        <v>302.08</v>
      </c>
      <c r="K229" s="82">
        <v>19.533567266949152</v>
      </c>
      <c r="L229" s="50"/>
      <c r="M229" s="102"/>
    </row>
    <row r="230" spans="1:13" ht="12">
      <c r="A230" s="31"/>
      <c r="D230" s="100"/>
      <c r="E230" s="100"/>
      <c r="F230" s="103"/>
      <c r="G230" s="100"/>
      <c r="H230" s="100"/>
      <c r="I230" s="103"/>
      <c r="J230" s="103"/>
      <c r="K230" s="103"/>
      <c r="L230" s="26"/>
      <c r="M230" s="26"/>
    </row>
    <row r="231" spans="1:13" ht="12">
      <c r="A231" s="31"/>
      <c r="D231" s="100"/>
      <c r="E231" s="100"/>
      <c r="F231" s="103"/>
      <c r="G231" s="100"/>
      <c r="H231" s="100"/>
      <c r="I231" s="103"/>
      <c r="J231" s="103"/>
      <c r="K231" s="103"/>
      <c r="L231" s="26"/>
      <c r="M231" s="26"/>
    </row>
    <row r="232" spans="1:13" ht="12">
      <c r="A232" s="31"/>
      <c r="C232" s="31" t="s">
        <v>174</v>
      </c>
      <c r="D232" s="83">
        <v>595.6</v>
      </c>
      <c r="E232" s="83">
        <v>65.9</v>
      </c>
      <c r="F232" s="83">
        <v>9.03793626707132</v>
      </c>
      <c r="G232" s="48"/>
      <c r="H232" s="48"/>
      <c r="I232" s="83">
        <v>635.8</v>
      </c>
      <c r="J232" s="83">
        <v>76.06</v>
      </c>
      <c r="K232" s="82">
        <v>8.35919011306863</v>
      </c>
      <c r="L232" s="30"/>
      <c r="M232" s="26"/>
    </row>
    <row r="233" spans="1:13" ht="12">
      <c r="A233" s="31"/>
      <c r="D233" s="83"/>
      <c r="E233" s="83"/>
      <c r="F233" s="83"/>
      <c r="G233" s="100"/>
      <c r="H233" s="100"/>
      <c r="I233" s="83"/>
      <c r="J233" s="83"/>
      <c r="K233" s="82"/>
      <c r="L233" s="26"/>
      <c r="M233" s="26"/>
    </row>
    <row r="234" spans="1:13" ht="12">
      <c r="A234" s="31"/>
      <c r="B234" s="31" t="s">
        <v>0</v>
      </c>
      <c r="C234" s="31" t="s">
        <v>175</v>
      </c>
      <c r="D234" s="83">
        <v>64.4</v>
      </c>
      <c r="E234" s="83">
        <v>11.6</v>
      </c>
      <c r="F234" s="83">
        <v>5.551724137931036</v>
      </c>
      <c r="G234" s="48"/>
      <c r="H234" s="48"/>
      <c r="I234" s="83">
        <v>69.8</v>
      </c>
      <c r="J234" s="83">
        <v>13.1</v>
      </c>
      <c r="K234" s="82">
        <v>5.32824427480916</v>
      </c>
      <c r="L234" s="30"/>
      <c r="M234" s="26"/>
    </row>
    <row r="235" spans="1:13" ht="12">
      <c r="A235" s="31"/>
      <c r="D235" s="83"/>
      <c r="E235" s="83"/>
      <c r="F235" s="83"/>
      <c r="G235" s="100"/>
      <c r="H235" s="100"/>
      <c r="I235" s="83"/>
      <c r="J235" s="83"/>
      <c r="K235" s="82"/>
      <c r="L235" s="26"/>
      <c r="M235" s="26"/>
    </row>
    <row r="236" spans="1:13" ht="12">
      <c r="A236" s="31"/>
      <c r="C236" s="31" t="s">
        <v>176</v>
      </c>
      <c r="D236" s="83">
        <v>660</v>
      </c>
      <c r="E236" s="83">
        <v>77.5</v>
      </c>
      <c r="F236" s="83">
        <v>8.516129032258064</v>
      </c>
      <c r="G236" s="101"/>
      <c r="H236" s="101"/>
      <c r="I236" s="83">
        <v>705.5999999999999</v>
      </c>
      <c r="J236" s="83">
        <v>89.16</v>
      </c>
      <c r="K236" s="82">
        <v>7.91386271870794</v>
      </c>
      <c r="L236" s="30"/>
      <c r="M236" s="26"/>
    </row>
    <row r="237" spans="1:13" ht="12">
      <c r="A237" s="31"/>
      <c r="D237" s="83"/>
      <c r="E237" s="83"/>
      <c r="F237" s="83"/>
      <c r="G237" s="100"/>
      <c r="H237" s="100"/>
      <c r="I237" s="100"/>
      <c r="J237" s="100"/>
      <c r="K237" s="82"/>
      <c r="L237" s="26"/>
      <c r="M237" s="26"/>
    </row>
    <row r="238" spans="1:13" ht="12">
      <c r="A238" s="31"/>
      <c r="C238" s="31" t="s">
        <v>177</v>
      </c>
      <c r="D238" s="82">
        <v>6279.5</v>
      </c>
      <c r="E238" s="82">
        <v>353</v>
      </c>
      <c r="F238" s="83">
        <v>17.788951841359772</v>
      </c>
      <c r="G238" s="101"/>
      <c r="H238" s="101"/>
      <c r="I238" s="101">
        <v>6606.299999999999</v>
      </c>
      <c r="J238" s="101">
        <v>391.24</v>
      </c>
      <c r="K238" s="82">
        <v>16.885543400470297</v>
      </c>
      <c r="L238" s="30"/>
      <c r="M238" s="26"/>
    </row>
    <row r="239" spans="1:13" ht="12">
      <c r="A239" s="31"/>
      <c r="I239" s="26"/>
      <c r="J239" s="26"/>
      <c r="L239" s="26"/>
      <c r="M239" s="26"/>
    </row>
    <row r="240" spans="1:13" ht="12">
      <c r="A240" s="31"/>
      <c r="I240" s="26"/>
      <c r="J240" s="26"/>
      <c r="L240" s="26"/>
      <c r="M240" s="26"/>
    </row>
    <row r="241" spans="1:13" ht="12">
      <c r="A241" s="31"/>
      <c r="I241" s="26"/>
      <c r="J241" s="26"/>
      <c r="L241" s="26"/>
      <c r="M241" s="26"/>
    </row>
    <row r="242" spans="1:13" ht="12">
      <c r="A242" s="31"/>
      <c r="I242" s="26"/>
      <c r="J242" s="26"/>
      <c r="L242" s="26"/>
      <c r="M242" s="26"/>
    </row>
    <row r="243" spans="1:13" ht="12">
      <c r="A243" s="31"/>
      <c r="C243" s="31" t="s">
        <v>178</v>
      </c>
      <c r="I243" s="26"/>
      <c r="J243" s="26"/>
      <c r="L243" s="26"/>
      <c r="M243" s="26"/>
    </row>
    <row r="244" spans="1:13" ht="12">
      <c r="A244" s="31"/>
      <c r="C244" s="31" t="s">
        <v>179</v>
      </c>
      <c r="I244" s="26"/>
      <c r="J244" s="26"/>
      <c r="L244" s="26"/>
      <c r="M244" s="26"/>
    </row>
    <row r="245" spans="1:13" ht="12">
      <c r="A245" s="31"/>
      <c r="J245" s="74"/>
      <c r="M245" s="74"/>
    </row>
    <row r="246" spans="1:13" ht="12">
      <c r="A246" s="31"/>
      <c r="J246" s="74"/>
      <c r="M246" s="74"/>
    </row>
    <row r="247" spans="1:13" ht="12">
      <c r="A247" s="31"/>
      <c r="J247" s="74"/>
      <c r="M247" s="74"/>
    </row>
    <row r="248" spans="1:13" ht="12">
      <c r="A248" s="31"/>
      <c r="J248" s="74"/>
      <c r="M248" s="74"/>
    </row>
    <row r="249" spans="1:13" ht="12">
      <c r="A249" s="31"/>
      <c r="J249" s="74"/>
      <c r="M249" s="74"/>
    </row>
    <row r="250" spans="1:13" ht="12">
      <c r="A250" s="31"/>
      <c r="J250" s="74"/>
      <c r="M250" s="74"/>
    </row>
    <row r="251" spans="1:13" ht="12">
      <c r="A251" s="31"/>
      <c r="J251" s="74"/>
      <c r="M251" s="74"/>
    </row>
    <row r="252" spans="1:13" ht="12">
      <c r="A252" s="31"/>
      <c r="J252" s="74"/>
      <c r="M252" s="74"/>
    </row>
    <row r="253" spans="1:13" ht="12">
      <c r="A253" s="31"/>
      <c r="J253" s="74"/>
      <c r="M253" s="74"/>
    </row>
    <row r="254" spans="1:13" ht="12">
      <c r="A254" s="31"/>
      <c r="J254" s="74"/>
      <c r="M254" s="74"/>
    </row>
    <row r="255" spans="1:13" ht="12">
      <c r="A255" s="31"/>
      <c r="J255" s="74"/>
      <c r="M255" s="74"/>
    </row>
    <row r="256" spans="1:13" ht="12">
      <c r="A256" s="31"/>
      <c r="J256" s="74"/>
      <c r="M256" s="74"/>
    </row>
    <row r="257" spans="1:13" ht="12">
      <c r="A257" s="31"/>
      <c r="J257" s="74"/>
      <c r="M257" s="74"/>
    </row>
    <row r="258" spans="1:13" ht="12">
      <c r="A258" s="31"/>
      <c r="J258" s="74"/>
      <c r="M258" s="74"/>
    </row>
    <row r="259" spans="1:13" ht="12">
      <c r="A259" s="31"/>
      <c r="J259" s="74"/>
      <c r="M259" s="74"/>
    </row>
    <row r="260" spans="1:13" ht="12">
      <c r="A260" s="31"/>
      <c r="J260" s="74"/>
      <c r="M260" s="74"/>
    </row>
    <row r="261" spans="1:13" ht="12">
      <c r="A261" s="31"/>
      <c r="J261" s="74"/>
      <c r="M261" s="74"/>
    </row>
    <row r="262" spans="1:13" s="65" customFormat="1" ht="12">
      <c r="A262" s="38" t="str">
        <f>$A$36</f>
        <v>Institution No.:  GFC</v>
      </c>
      <c r="E262" s="70"/>
      <c r="I262" s="71"/>
      <c r="J262" s="72"/>
      <c r="L262" s="71"/>
      <c r="M262" s="37" t="s">
        <v>60</v>
      </c>
    </row>
    <row r="263" spans="5:13" s="65" customFormat="1" ht="12">
      <c r="E263" s="70" t="s">
        <v>204</v>
      </c>
      <c r="I263" s="71"/>
      <c r="J263" s="72"/>
      <c r="L263" s="71"/>
      <c r="M263" s="72"/>
    </row>
    <row r="264" spans="1:13" ht="12">
      <c r="A264" s="38" t="s">
        <v>551</v>
      </c>
      <c r="C264" s="26" t="s">
        <v>455</v>
      </c>
      <c r="F264" s="53"/>
      <c r="G264" s="53"/>
      <c r="H264" s="53"/>
      <c r="I264" s="104"/>
      <c r="J264" s="105"/>
      <c r="L264" s="36"/>
      <c r="M264" s="39" t="str">
        <f>$M$3</f>
        <v>Date: 10/1/2009</v>
      </c>
    </row>
    <row r="265" spans="1:13" ht="12">
      <c r="A265" s="40" t="s">
        <v>1</v>
      </c>
      <c r="B265" s="40" t="s">
        <v>1</v>
      </c>
      <c r="C265" s="40" t="s">
        <v>1</v>
      </c>
      <c r="D265" s="40" t="s">
        <v>1</v>
      </c>
      <c r="E265" s="40" t="s">
        <v>1</v>
      </c>
      <c r="F265" s="40" t="s">
        <v>1</v>
      </c>
      <c r="G265" s="40"/>
      <c r="H265" s="40"/>
      <c r="I265" s="41" t="s">
        <v>1</v>
      </c>
      <c r="J265" s="42" t="s">
        <v>1</v>
      </c>
      <c r="K265" s="40" t="s">
        <v>1</v>
      </c>
      <c r="L265" s="41" t="s">
        <v>1</v>
      </c>
      <c r="M265" s="42" t="s">
        <v>1</v>
      </c>
    </row>
    <row r="266" spans="1:13" ht="12">
      <c r="A266" s="43" t="s">
        <v>2</v>
      </c>
      <c r="E266" s="43" t="s">
        <v>2</v>
      </c>
      <c r="F266" s="44"/>
      <c r="G266" s="45"/>
      <c r="H266" s="44" t="s">
        <v>240</v>
      </c>
      <c r="I266" s="45"/>
      <c r="J266" s="46" t="s">
        <v>247</v>
      </c>
      <c r="K266" s="44"/>
      <c r="L266" s="45"/>
      <c r="M266" s="46" t="s">
        <v>576</v>
      </c>
    </row>
    <row r="267" spans="1:13" ht="33.75" customHeight="1">
      <c r="A267" s="43" t="s">
        <v>4</v>
      </c>
      <c r="C267" s="47" t="s">
        <v>20</v>
      </c>
      <c r="D267" s="106" t="s">
        <v>265</v>
      </c>
      <c r="E267" s="43" t="s">
        <v>4</v>
      </c>
      <c r="F267" s="44"/>
      <c r="G267" s="45" t="s">
        <v>6</v>
      </c>
      <c r="H267" s="44" t="s">
        <v>7</v>
      </c>
      <c r="I267" s="45" t="s">
        <v>6</v>
      </c>
      <c r="J267" s="46" t="s">
        <v>7</v>
      </c>
      <c r="K267" s="44"/>
      <c r="L267" s="45" t="s">
        <v>6</v>
      </c>
      <c r="M267" s="46" t="s">
        <v>8</v>
      </c>
    </row>
    <row r="268" spans="1:13" ht="12">
      <c r="A268" s="40" t="s">
        <v>1</v>
      </c>
      <c r="B268" s="40" t="s">
        <v>1</v>
      </c>
      <c r="C268" s="40" t="s">
        <v>1</v>
      </c>
      <c r="D268" s="40" t="s">
        <v>1</v>
      </c>
      <c r="E268" s="40" t="s">
        <v>1</v>
      </c>
      <c r="F268" s="40" t="s">
        <v>1</v>
      </c>
      <c r="G268" s="40"/>
      <c r="H268" s="40"/>
      <c r="I268" s="41" t="s">
        <v>1</v>
      </c>
      <c r="J268" s="42" t="s">
        <v>1</v>
      </c>
      <c r="K268" s="40" t="s">
        <v>1</v>
      </c>
      <c r="L268" s="41" t="s">
        <v>1</v>
      </c>
      <c r="M268" s="42" t="s">
        <v>1</v>
      </c>
    </row>
    <row r="269" spans="1:13" ht="12">
      <c r="A269" s="30">
        <v>1</v>
      </c>
      <c r="C269" s="31" t="s">
        <v>61</v>
      </c>
      <c r="E269" s="30">
        <v>1</v>
      </c>
      <c r="I269" s="36"/>
      <c r="J269" s="74"/>
      <c r="L269" s="36"/>
      <c r="M269" s="74"/>
    </row>
    <row r="270" spans="1:13" ht="12">
      <c r="A270" s="30">
        <f>(A269+1)</f>
        <v>2</v>
      </c>
      <c r="C270" s="31" t="s">
        <v>62</v>
      </c>
      <c r="D270" s="31" t="s">
        <v>250</v>
      </c>
      <c r="E270" s="30">
        <f>(E269+1)</f>
        <v>2</v>
      </c>
      <c r="F270" s="32"/>
      <c r="G270" s="365">
        <v>138</v>
      </c>
      <c r="H270" s="366">
        <v>1338477</v>
      </c>
      <c r="I270" s="86">
        <v>137</v>
      </c>
      <c r="J270" s="2">
        <v>1406373</v>
      </c>
      <c r="K270" s="2"/>
      <c r="L270" s="86">
        <v>52.03</v>
      </c>
      <c r="M270" s="2">
        <v>1591905</v>
      </c>
    </row>
    <row r="271" spans="1:13" ht="12">
      <c r="A271" s="30">
        <f>(A270+1)</f>
        <v>3</v>
      </c>
      <c r="D271" s="31" t="s">
        <v>251</v>
      </c>
      <c r="E271" s="30">
        <f>(E270+1)</f>
        <v>3</v>
      </c>
      <c r="F271" s="32"/>
      <c r="G271" s="365">
        <v>377</v>
      </c>
      <c r="H271" s="366">
        <v>3352732</v>
      </c>
      <c r="I271" s="86">
        <v>385</v>
      </c>
      <c r="J271" s="2">
        <f>3077957-215401</f>
        <v>2862556</v>
      </c>
      <c r="K271" s="2"/>
      <c r="L271" s="86">
        <v>407.73</v>
      </c>
      <c r="M271" s="2">
        <f>2521318+793670</f>
        <v>3314988</v>
      </c>
    </row>
    <row r="272" spans="1:13" ht="12">
      <c r="A272" s="30">
        <v>4</v>
      </c>
      <c r="C272" s="31" t="s">
        <v>63</v>
      </c>
      <c r="D272" s="31" t="s">
        <v>252</v>
      </c>
      <c r="E272" s="30">
        <v>4</v>
      </c>
      <c r="F272" s="32"/>
      <c r="G272" s="365">
        <v>8</v>
      </c>
      <c r="H272" s="366">
        <v>202116</v>
      </c>
      <c r="I272" s="86">
        <v>7</v>
      </c>
      <c r="J272" s="2">
        <v>165673</v>
      </c>
      <c r="K272" s="2"/>
      <c r="L272" s="86">
        <v>4.14</v>
      </c>
      <c r="M272" s="2">
        <v>190819</v>
      </c>
    </row>
    <row r="273" spans="1:13" ht="12">
      <c r="A273" s="30">
        <f>(A272+1)</f>
        <v>5</v>
      </c>
      <c r="D273" s="31" t="s">
        <v>253</v>
      </c>
      <c r="E273" s="30">
        <f>(E272+1)</f>
        <v>5</v>
      </c>
      <c r="F273" s="32"/>
      <c r="G273" s="365">
        <v>28</v>
      </c>
      <c r="H273" s="366">
        <v>521686</v>
      </c>
      <c r="I273" s="86">
        <v>25</v>
      </c>
      <c r="J273" s="2">
        <v>459026</v>
      </c>
      <c r="K273" s="2"/>
      <c r="L273" s="86">
        <v>32.98</v>
      </c>
      <c r="M273" s="2">
        <f>100144+384998</f>
        <v>485142</v>
      </c>
    </row>
    <row r="274" spans="1:13" ht="12">
      <c r="A274" s="30">
        <f>(A273+1)</f>
        <v>6</v>
      </c>
      <c r="C274" s="31" t="s">
        <v>64</v>
      </c>
      <c r="E274" s="30">
        <f>(E273+1)</f>
        <v>6</v>
      </c>
      <c r="G274" s="367">
        <v>551</v>
      </c>
      <c r="H274" s="368">
        <v>5415011</v>
      </c>
      <c r="I274" s="83">
        <f>SUM(I269:I273)</f>
        <v>554</v>
      </c>
      <c r="J274" s="84">
        <f>SUM(J269:J273)</f>
        <v>4893628</v>
      </c>
      <c r="K274" s="84"/>
      <c r="L274" s="83">
        <f>SUM(L269:L273)</f>
        <v>496.88</v>
      </c>
      <c r="M274" s="84">
        <f>SUM(M269:M273)</f>
        <v>5582854</v>
      </c>
    </row>
    <row r="275" spans="1:13" ht="12">
      <c r="A275" s="30">
        <f>(A274+1)</f>
        <v>7</v>
      </c>
      <c r="C275" s="31" t="s">
        <v>65</v>
      </c>
      <c r="E275" s="30">
        <f>(E274+1)</f>
        <v>7</v>
      </c>
      <c r="G275" s="369"/>
      <c r="H275" s="370"/>
      <c r="I275" s="82"/>
      <c r="J275" s="81"/>
      <c r="K275" s="84"/>
      <c r="L275" s="82"/>
      <c r="M275" s="81"/>
    </row>
    <row r="276" spans="1:13" ht="12">
      <c r="A276" s="30">
        <f>(A275+1)</f>
        <v>8</v>
      </c>
      <c r="C276" s="31" t="s">
        <v>62</v>
      </c>
      <c r="D276" s="31" t="s">
        <v>250</v>
      </c>
      <c r="E276" s="30">
        <f>(E275+1)</f>
        <v>8</v>
      </c>
      <c r="F276" s="32"/>
      <c r="G276" s="365">
        <v>262</v>
      </c>
      <c r="H276" s="366">
        <v>2654084</v>
      </c>
      <c r="I276" s="86">
        <v>281</v>
      </c>
      <c r="J276" s="2">
        <v>3062230</v>
      </c>
      <c r="K276" s="2"/>
      <c r="L276" s="86">
        <v>335.82</v>
      </c>
      <c r="M276" s="2">
        <v>3360607</v>
      </c>
    </row>
    <row r="277" spans="1:16" ht="12">
      <c r="A277" s="30">
        <v>9</v>
      </c>
      <c r="D277" s="31" t="s">
        <v>251</v>
      </c>
      <c r="E277" s="30">
        <v>9</v>
      </c>
      <c r="F277" s="32"/>
      <c r="G277" s="365">
        <v>2454</v>
      </c>
      <c r="H277" s="366">
        <v>19403064</v>
      </c>
      <c r="I277" s="86">
        <v>2545</v>
      </c>
      <c r="J277" s="2">
        <f>21516449-1313027</f>
        <v>20203422</v>
      </c>
      <c r="K277" s="2"/>
      <c r="L277" s="86">
        <v>2631.65</v>
      </c>
      <c r="M277" s="2">
        <f>16278263+5122678-P277</f>
        <v>20913659.716903575</v>
      </c>
      <c r="N277" s="272">
        <f>M277+M289</f>
        <v>41513943</v>
      </c>
      <c r="O277" s="26">
        <v>0.5037743515932364</v>
      </c>
      <c r="P277" s="257">
        <f>O277*O60</f>
        <v>487281.2830964254</v>
      </c>
    </row>
    <row r="278" spans="1:13" ht="12">
      <c r="A278" s="30">
        <v>10</v>
      </c>
      <c r="C278" s="31" t="s">
        <v>63</v>
      </c>
      <c r="D278" s="31" t="s">
        <v>252</v>
      </c>
      <c r="E278" s="30">
        <v>10</v>
      </c>
      <c r="F278" s="32"/>
      <c r="G278" s="365">
        <v>24</v>
      </c>
      <c r="H278" s="366">
        <v>573476</v>
      </c>
      <c r="I278" s="86">
        <v>24</v>
      </c>
      <c r="J278" s="2">
        <v>584787</v>
      </c>
      <c r="K278" s="2"/>
      <c r="L278" s="86">
        <v>26.73</v>
      </c>
      <c r="M278" s="2">
        <v>649632</v>
      </c>
    </row>
    <row r="279" spans="1:13" ht="12">
      <c r="A279" s="30">
        <f>(A278+1)</f>
        <v>11</v>
      </c>
      <c r="D279" s="31" t="s">
        <v>253</v>
      </c>
      <c r="E279" s="30">
        <f>(E278+1)</f>
        <v>11</v>
      </c>
      <c r="F279" s="32"/>
      <c r="G279" s="365">
        <v>185</v>
      </c>
      <c r="H279" s="366">
        <v>2886675</v>
      </c>
      <c r="I279" s="86">
        <v>216</v>
      </c>
      <c r="J279" s="2">
        <v>3489883</v>
      </c>
      <c r="K279" s="2"/>
      <c r="L279" s="86">
        <v>212.86</v>
      </c>
      <c r="M279" s="2">
        <f>837815+2680718</f>
        <v>3518533</v>
      </c>
    </row>
    <row r="280" spans="1:13" ht="12">
      <c r="A280" s="30">
        <f>(A279+1)</f>
        <v>12</v>
      </c>
      <c r="C280" s="31" t="s">
        <v>66</v>
      </c>
      <c r="E280" s="30">
        <f>(E279+1)</f>
        <v>12</v>
      </c>
      <c r="G280" s="367">
        <v>2925</v>
      </c>
      <c r="H280" s="368">
        <v>25517299</v>
      </c>
      <c r="I280" s="83">
        <f>SUM(I276:I279)</f>
        <v>3066</v>
      </c>
      <c r="J280" s="84">
        <f>SUM(J276:J279)</f>
        <v>27340322</v>
      </c>
      <c r="K280" s="84"/>
      <c r="L280" s="83">
        <f>SUM(L276:L279)</f>
        <v>3207.0600000000004</v>
      </c>
      <c r="M280" s="84">
        <f>SUM(M276:M279)</f>
        <v>28442431.716903575</v>
      </c>
    </row>
    <row r="281" spans="1:13" ht="12">
      <c r="A281" s="30">
        <f>(A280+1)</f>
        <v>13</v>
      </c>
      <c r="C281" s="31" t="s">
        <v>67</v>
      </c>
      <c r="E281" s="30">
        <f>(E280+1)</f>
        <v>13</v>
      </c>
      <c r="G281" s="369"/>
      <c r="H281" s="370"/>
      <c r="I281" s="82"/>
      <c r="J281" s="81"/>
      <c r="K281" s="84"/>
      <c r="L281" s="82"/>
      <c r="M281" s="81"/>
    </row>
    <row r="282" spans="1:13" ht="12">
      <c r="A282" s="30">
        <f>(A281+1)</f>
        <v>14</v>
      </c>
      <c r="C282" s="31" t="s">
        <v>62</v>
      </c>
      <c r="D282" s="31" t="s">
        <v>250</v>
      </c>
      <c r="E282" s="30">
        <f>(E281+1)</f>
        <v>14</v>
      </c>
      <c r="F282" s="32"/>
      <c r="G282" s="371">
        <v>0</v>
      </c>
      <c r="H282" s="371">
        <v>0</v>
      </c>
      <c r="I282" s="86">
        <v>0</v>
      </c>
      <c r="J282" s="2"/>
      <c r="K282" s="2"/>
      <c r="L282" s="86"/>
      <c r="M282" s="2"/>
    </row>
    <row r="283" spans="1:13" ht="12">
      <c r="A283" s="30">
        <v>15</v>
      </c>
      <c r="C283" s="31"/>
      <c r="D283" s="31" t="s">
        <v>251</v>
      </c>
      <c r="E283" s="30">
        <v>15</v>
      </c>
      <c r="F283" s="32"/>
      <c r="G283" s="371">
        <v>0</v>
      </c>
      <c r="H283" s="371">
        <v>0</v>
      </c>
      <c r="I283" s="86">
        <v>0</v>
      </c>
      <c r="J283" s="2"/>
      <c r="K283" s="2"/>
      <c r="L283" s="86"/>
      <c r="M283" s="2"/>
    </row>
    <row r="284" spans="1:13" ht="12">
      <c r="A284" s="30">
        <v>16</v>
      </c>
      <c r="C284" s="31" t="s">
        <v>63</v>
      </c>
      <c r="D284" s="31" t="s">
        <v>252</v>
      </c>
      <c r="E284" s="30">
        <v>16</v>
      </c>
      <c r="F284" s="32"/>
      <c r="G284" s="371">
        <v>0</v>
      </c>
      <c r="H284" s="371">
        <v>0</v>
      </c>
      <c r="I284" s="86">
        <v>0</v>
      </c>
      <c r="J284" s="2"/>
      <c r="K284" s="2"/>
      <c r="L284" s="86"/>
      <c r="M284" s="2"/>
    </row>
    <row r="285" spans="1:13" ht="12">
      <c r="A285" s="30">
        <v>17</v>
      </c>
      <c r="C285" s="31"/>
      <c r="D285" s="31" t="s">
        <v>253</v>
      </c>
      <c r="E285" s="30">
        <v>17</v>
      </c>
      <c r="G285" s="372">
        <v>0</v>
      </c>
      <c r="H285" s="372">
        <v>0</v>
      </c>
      <c r="I285" s="83">
        <v>0</v>
      </c>
      <c r="J285" s="84"/>
      <c r="K285" s="84"/>
      <c r="L285" s="83"/>
      <c r="M285" s="84"/>
    </row>
    <row r="286" spans="1:13" ht="12">
      <c r="A286" s="30">
        <v>18</v>
      </c>
      <c r="C286" s="31" t="s">
        <v>68</v>
      </c>
      <c r="D286" s="31"/>
      <c r="E286" s="30">
        <v>18</v>
      </c>
      <c r="G286" s="372">
        <v>0</v>
      </c>
      <c r="H286" s="372">
        <v>0</v>
      </c>
      <c r="I286" s="83">
        <v>0</v>
      </c>
      <c r="J286" s="84">
        <f>SUM(J282:J285)</f>
        <v>0</v>
      </c>
      <c r="K286" s="84"/>
      <c r="L286" s="83">
        <f>SUM(L282:L285)</f>
        <v>0</v>
      </c>
      <c r="M286" s="84">
        <f>SUM(M282:M285)</f>
        <v>0</v>
      </c>
    </row>
    <row r="287" spans="1:13" ht="12">
      <c r="A287" s="30">
        <v>19</v>
      </c>
      <c r="C287" s="31" t="s">
        <v>69</v>
      </c>
      <c r="D287" s="31"/>
      <c r="E287" s="30">
        <v>19</v>
      </c>
      <c r="G287" s="367"/>
      <c r="H287" s="368"/>
      <c r="I287" s="83"/>
      <c r="J287" s="84"/>
      <c r="K287" s="84"/>
      <c r="L287" s="83"/>
      <c r="M287" s="84"/>
    </row>
    <row r="288" spans="1:13" ht="12">
      <c r="A288" s="30">
        <v>20</v>
      </c>
      <c r="C288" s="31" t="s">
        <v>62</v>
      </c>
      <c r="D288" s="31" t="s">
        <v>250</v>
      </c>
      <c r="E288" s="30">
        <v>20</v>
      </c>
      <c r="F288" s="107"/>
      <c r="G288" s="365">
        <v>250</v>
      </c>
      <c r="H288" s="366">
        <v>2535449</v>
      </c>
      <c r="I288" s="86">
        <v>277</v>
      </c>
      <c r="J288" s="2">
        <v>3028659</v>
      </c>
      <c r="K288" s="2"/>
      <c r="L288" s="86">
        <v>330.79</v>
      </c>
      <c r="M288" s="2">
        <v>3267257</v>
      </c>
    </row>
    <row r="289" spans="1:16" ht="12">
      <c r="A289" s="30">
        <v>21</v>
      </c>
      <c r="C289" s="31"/>
      <c r="D289" s="31" t="s">
        <v>251</v>
      </c>
      <c r="E289" s="30">
        <v>21</v>
      </c>
      <c r="F289" s="107"/>
      <c r="G289" s="365">
        <v>2354</v>
      </c>
      <c r="H289" s="366">
        <v>18769263</v>
      </c>
      <c r="I289" s="86">
        <v>2493</v>
      </c>
      <c r="J289" s="2">
        <f>21130768-1258132</f>
        <v>19872636</v>
      </c>
      <c r="K289" s="2"/>
      <c r="L289" s="86">
        <v>2592.22</v>
      </c>
      <c r="M289" s="2">
        <f>16034321+5045942-P289</f>
        <v>20600283.283096425</v>
      </c>
      <c r="O289" s="26">
        <v>0.49622564840676364</v>
      </c>
      <c r="P289" s="257">
        <f>O60-P277</f>
        <v>479979.7169035746</v>
      </c>
    </row>
    <row r="290" spans="1:13" ht="12">
      <c r="A290" s="30">
        <v>22</v>
      </c>
      <c r="C290" s="31" t="s">
        <v>63</v>
      </c>
      <c r="D290" s="31" t="s">
        <v>252</v>
      </c>
      <c r="E290" s="30">
        <v>22</v>
      </c>
      <c r="F290" s="107"/>
      <c r="G290" s="365">
        <v>22</v>
      </c>
      <c r="H290" s="366">
        <v>530868</v>
      </c>
      <c r="I290" s="86">
        <v>23</v>
      </c>
      <c r="J290" s="2">
        <v>562112</v>
      </c>
      <c r="K290" s="2"/>
      <c r="L290" s="86">
        <v>26.33</v>
      </c>
      <c r="M290" s="2">
        <v>630728</v>
      </c>
    </row>
    <row r="291" spans="1:13" ht="12">
      <c r="A291" s="30">
        <v>23</v>
      </c>
      <c r="D291" s="31" t="s">
        <v>253</v>
      </c>
      <c r="E291" s="30">
        <v>23</v>
      </c>
      <c r="F291" s="107"/>
      <c r="G291" s="365">
        <v>177</v>
      </c>
      <c r="H291" s="366">
        <v>2759964</v>
      </c>
      <c r="I291" s="86">
        <v>194</v>
      </c>
      <c r="J291" s="2">
        <v>3159040</v>
      </c>
      <c r="K291" s="2"/>
      <c r="L291" s="86">
        <v>209.68</v>
      </c>
      <c r="M291" s="2">
        <f>790355+2433985</f>
        <v>3224340</v>
      </c>
    </row>
    <row r="292" spans="1:13" ht="12">
      <c r="A292" s="30">
        <v>24</v>
      </c>
      <c r="C292" s="31" t="s">
        <v>70</v>
      </c>
      <c r="E292" s="30">
        <v>24</v>
      </c>
      <c r="F292" s="78"/>
      <c r="G292" s="369">
        <v>2803</v>
      </c>
      <c r="H292" s="370">
        <v>24595544</v>
      </c>
      <c r="I292" s="82">
        <f>SUM(I288:I291)</f>
        <v>2987</v>
      </c>
      <c r="J292" s="81">
        <f>SUM(J288:J291)</f>
        <v>26622447</v>
      </c>
      <c r="K292" s="81"/>
      <c r="L292" s="82">
        <f>SUM(L288:L291)</f>
        <v>3159.0199999999995</v>
      </c>
      <c r="M292" s="81">
        <f>SUM(M288:M291)</f>
        <v>27722608.283096425</v>
      </c>
    </row>
    <row r="293" spans="1:13" ht="12">
      <c r="A293" s="30">
        <v>25</v>
      </c>
      <c r="C293" s="31" t="s">
        <v>71</v>
      </c>
      <c r="E293" s="30">
        <v>25</v>
      </c>
      <c r="G293" s="367"/>
      <c r="H293" s="368"/>
      <c r="I293" s="83"/>
      <c r="J293" s="84"/>
      <c r="K293" s="84"/>
      <c r="L293" s="83"/>
      <c r="M293" s="84"/>
    </row>
    <row r="294" spans="1:13" ht="12">
      <c r="A294" s="30">
        <v>26</v>
      </c>
      <c r="C294" s="31" t="s">
        <v>62</v>
      </c>
      <c r="D294" s="31" t="s">
        <v>250</v>
      </c>
      <c r="E294" s="30">
        <v>26</v>
      </c>
      <c r="G294" s="367">
        <v>650</v>
      </c>
      <c r="H294" s="368">
        <v>6528010</v>
      </c>
      <c r="I294" s="83">
        <f aca="true" t="shared" si="5" ref="I294:J297">I270+I276+I282+I288</f>
        <v>695</v>
      </c>
      <c r="J294" s="84">
        <f t="shared" si="5"/>
        <v>7497262</v>
      </c>
      <c r="K294" s="84"/>
      <c r="L294" s="83">
        <f aca="true" t="shared" si="6" ref="L294:M297">L270+L276+L282+L288</f>
        <v>718.6400000000001</v>
      </c>
      <c r="M294" s="84">
        <f t="shared" si="6"/>
        <v>8219769</v>
      </c>
    </row>
    <row r="295" spans="1:13" ht="12">
      <c r="A295" s="30">
        <v>27</v>
      </c>
      <c r="C295" s="31"/>
      <c r="D295" s="31" t="s">
        <v>251</v>
      </c>
      <c r="E295" s="30">
        <v>27</v>
      </c>
      <c r="G295" s="367">
        <v>5185</v>
      </c>
      <c r="H295" s="368">
        <v>41525059</v>
      </c>
      <c r="I295" s="83">
        <f t="shared" si="5"/>
        <v>5423</v>
      </c>
      <c r="J295" s="84">
        <f t="shared" si="5"/>
        <v>42938614</v>
      </c>
      <c r="K295" s="84"/>
      <c r="L295" s="83">
        <f t="shared" si="6"/>
        <v>5631.6</v>
      </c>
      <c r="M295" s="84">
        <f>M271+M277+M283+M289</f>
        <v>44828931</v>
      </c>
    </row>
    <row r="296" spans="1:13" ht="12">
      <c r="A296" s="30">
        <v>28</v>
      </c>
      <c r="C296" s="31" t="s">
        <v>63</v>
      </c>
      <c r="D296" s="31" t="s">
        <v>252</v>
      </c>
      <c r="E296" s="30">
        <v>28</v>
      </c>
      <c r="G296" s="367">
        <v>54</v>
      </c>
      <c r="H296" s="368">
        <v>1306460</v>
      </c>
      <c r="I296" s="83">
        <f t="shared" si="5"/>
        <v>54</v>
      </c>
      <c r="J296" s="84">
        <f t="shared" si="5"/>
        <v>1312572</v>
      </c>
      <c r="K296" s="84"/>
      <c r="L296" s="83">
        <f t="shared" si="6"/>
        <v>57.2</v>
      </c>
      <c r="M296" s="84">
        <f t="shared" si="6"/>
        <v>1471179</v>
      </c>
    </row>
    <row r="297" spans="1:13" ht="12">
      <c r="A297" s="30">
        <v>29</v>
      </c>
      <c r="D297" s="31" t="s">
        <v>253</v>
      </c>
      <c r="E297" s="30">
        <v>29</v>
      </c>
      <c r="G297" s="367">
        <v>390</v>
      </c>
      <c r="H297" s="368">
        <v>6168325</v>
      </c>
      <c r="I297" s="83">
        <f t="shared" si="5"/>
        <v>435</v>
      </c>
      <c r="J297" s="84">
        <f t="shared" si="5"/>
        <v>7107949</v>
      </c>
      <c r="K297" s="84"/>
      <c r="L297" s="83">
        <f t="shared" si="6"/>
        <v>455.52</v>
      </c>
      <c r="M297" s="84">
        <f t="shared" si="6"/>
        <v>7228015</v>
      </c>
    </row>
    <row r="298" spans="1:13" ht="12">
      <c r="A298" s="30">
        <v>30</v>
      </c>
      <c r="E298" s="30">
        <v>30</v>
      </c>
      <c r="G298" s="369"/>
      <c r="H298" s="370"/>
      <c r="I298" s="82"/>
      <c r="J298" s="81"/>
      <c r="K298" s="84"/>
      <c r="L298" s="82"/>
      <c r="M298" s="81"/>
    </row>
    <row r="299" spans="1:13" ht="12">
      <c r="A299" s="30">
        <v>31</v>
      </c>
      <c r="C299" s="31" t="s">
        <v>72</v>
      </c>
      <c r="E299" s="30">
        <v>31</v>
      </c>
      <c r="G299" s="367">
        <v>5835</v>
      </c>
      <c r="H299" s="368">
        <v>48053069</v>
      </c>
      <c r="I299" s="83">
        <f>SUM(I294:I295)</f>
        <v>6118</v>
      </c>
      <c r="J299" s="84">
        <f>SUM(J294:J295)</f>
        <v>50435876</v>
      </c>
      <c r="K299" s="84"/>
      <c r="L299" s="83">
        <f>SUM(L294:L295)</f>
        <v>6350.240000000001</v>
      </c>
      <c r="M299" s="84">
        <f>SUM(M294:M295)</f>
        <v>53048700</v>
      </c>
    </row>
    <row r="300" spans="1:13" ht="12">
      <c r="A300" s="30">
        <v>32</v>
      </c>
      <c r="C300" s="31" t="s">
        <v>73</v>
      </c>
      <c r="E300" s="30">
        <v>32</v>
      </c>
      <c r="G300" s="367">
        <v>444</v>
      </c>
      <c r="H300" s="368">
        <v>7474785</v>
      </c>
      <c r="I300" s="83">
        <f>SUM(I296:I297)</f>
        <v>489</v>
      </c>
      <c r="J300" s="84">
        <f>SUM(J296:J297)</f>
        <v>8420521</v>
      </c>
      <c r="K300" s="84"/>
      <c r="L300" s="83">
        <f>SUM(L296:L297)</f>
        <v>512.72</v>
      </c>
      <c r="M300" s="84">
        <f>SUM(M296:M297)</f>
        <v>8699194</v>
      </c>
    </row>
    <row r="301" spans="1:13" ht="12">
      <c r="A301" s="30">
        <v>33</v>
      </c>
      <c r="C301" s="31" t="s">
        <v>74</v>
      </c>
      <c r="E301" s="30">
        <v>33</v>
      </c>
      <c r="F301" s="78"/>
      <c r="G301" s="369">
        <v>704</v>
      </c>
      <c r="H301" s="370">
        <v>7834470</v>
      </c>
      <c r="I301" s="82">
        <f>SUM(I294,I296)</f>
        <v>749</v>
      </c>
      <c r="J301" s="81">
        <f>SUM(J294,J296)</f>
        <v>8809834</v>
      </c>
      <c r="K301" s="81"/>
      <c r="L301" s="82">
        <f>SUM(L294,L296)</f>
        <v>775.8400000000001</v>
      </c>
      <c r="M301" s="81">
        <f>SUM(M294,M296)</f>
        <v>9690948</v>
      </c>
    </row>
    <row r="302" spans="1:13" ht="12">
      <c r="A302" s="30">
        <v>34</v>
      </c>
      <c r="C302" s="31" t="s">
        <v>208</v>
      </c>
      <c r="E302" s="30">
        <v>34</v>
      </c>
      <c r="F302" s="78"/>
      <c r="G302" s="369">
        <v>5575</v>
      </c>
      <c r="H302" s="370">
        <v>47693384</v>
      </c>
      <c r="I302" s="82">
        <f>SUM(I295,I297)</f>
        <v>5858</v>
      </c>
      <c r="J302" s="81">
        <f>SUM(J295,J297)</f>
        <v>50046563</v>
      </c>
      <c r="K302" s="81"/>
      <c r="L302" s="82">
        <f>SUM(L295,L297)</f>
        <v>6087.120000000001</v>
      </c>
      <c r="M302" s="81">
        <f>SUM(M295,M297)</f>
        <v>52056946</v>
      </c>
    </row>
    <row r="303" spans="1:13" ht="12">
      <c r="A303" s="31"/>
      <c r="C303" s="40" t="s">
        <v>1</v>
      </c>
      <c r="D303" s="40" t="s">
        <v>1</v>
      </c>
      <c r="E303" s="40" t="s">
        <v>1</v>
      </c>
      <c r="F303" s="40" t="s">
        <v>1</v>
      </c>
      <c r="G303" s="40" t="s">
        <v>1</v>
      </c>
      <c r="H303" s="40" t="s">
        <v>1</v>
      </c>
      <c r="I303" s="40" t="s">
        <v>1</v>
      </c>
      <c r="J303" s="40" t="s">
        <v>1</v>
      </c>
      <c r="K303" s="40" t="s">
        <v>1</v>
      </c>
      <c r="L303" s="40" t="s">
        <v>1</v>
      </c>
      <c r="M303" s="40"/>
    </row>
    <row r="304" spans="1:13" ht="12">
      <c r="A304" s="30">
        <v>35</v>
      </c>
      <c r="C304" s="26" t="s">
        <v>75</v>
      </c>
      <c r="E304" s="30">
        <v>35</v>
      </c>
      <c r="G304" s="367">
        <v>6279</v>
      </c>
      <c r="H304" s="368">
        <v>55527854</v>
      </c>
      <c r="I304" s="83">
        <f>SUM(I301:I302)</f>
        <v>6607</v>
      </c>
      <c r="J304" s="84">
        <f>SUM(J301:J302)</f>
        <v>58856397</v>
      </c>
      <c r="K304" s="84"/>
      <c r="L304" s="83">
        <f>SUM(L301:L302)</f>
        <v>6862.960000000001</v>
      </c>
      <c r="M304" s="84">
        <f>SUM(M301:M302)</f>
        <v>61747894</v>
      </c>
    </row>
    <row r="305" spans="3:13" ht="12">
      <c r="C305" s="31" t="s">
        <v>261</v>
      </c>
      <c r="F305" s="109" t="s">
        <v>1</v>
      </c>
      <c r="G305" s="109"/>
      <c r="H305" s="109"/>
      <c r="I305" s="41"/>
      <c r="J305" s="42"/>
      <c r="K305" s="109"/>
      <c r="L305" s="41"/>
      <c r="M305" s="42"/>
    </row>
    <row r="306" spans="3:13" ht="12">
      <c r="C306" s="31"/>
      <c r="F306" s="109"/>
      <c r="G306" s="109"/>
      <c r="H306" s="109"/>
      <c r="I306" s="41"/>
      <c r="J306" s="42"/>
      <c r="K306" s="109"/>
      <c r="L306" s="41"/>
      <c r="M306" s="42"/>
    </row>
    <row r="308" spans="1:13" ht="24">
      <c r="A308" s="26">
        <v>36</v>
      </c>
      <c r="B308" s="57"/>
      <c r="C308" s="110" t="s">
        <v>263</v>
      </c>
      <c r="D308" s="57"/>
      <c r="E308" s="57">
        <v>36</v>
      </c>
      <c r="F308" s="111"/>
      <c r="G308" s="111"/>
      <c r="H308" s="234">
        <v>12806470</v>
      </c>
      <c r="I308" s="60"/>
      <c r="J308" s="234">
        <v>12141626</v>
      </c>
      <c r="K308" s="111"/>
      <c r="L308" s="60"/>
      <c r="M308" s="234">
        <f>J308*1.05</f>
        <v>12748707.3</v>
      </c>
    </row>
    <row r="309" spans="3:13" ht="12">
      <c r="C309" s="26" t="s">
        <v>205</v>
      </c>
      <c r="F309" s="109"/>
      <c r="G309" s="109"/>
      <c r="H309" s="109"/>
      <c r="I309" s="41"/>
      <c r="J309" s="74"/>
      <c r="K309" s="109"/>
      <c r="L309" s="41"/>
      <c r="M309" s="74"/>
    </row>
    <row r="310" spans="6:13" ht="12">
      <c r="F310" s="109"/>
      <c r="G310" s="109"/>
      <c r="H310" s="109"/>
      <c r="I310" s="41"/>
      <c r="J310" s="74"/>
      <c r="K310" s="109"/>
      <c r="L310" s="41"/>
      <c r="M310" s="74"/>
    </row>
    <row r="311" spans="4:13" s="65" customFormat="1" ht="12">
      <c r="D311" s="79" t="s">
        <v>264</v>
      </c>
      <c r="E311" s="70"/>
      <c r="I311" s="71"/>
      <c r="J311" s="72"/>
      <c r="L311" s="71"/>
      <c r="M311" s="72"/>
    </row>
    <row r="312" spans="1:13" s="65" customFormat="1" ht="12">
      <c r="A312" s="38" t="s">
        <v>551</v>
      </c>
      <c r="B312" s="26"/>
      <c r="C312" s="26" t="s">
        <v>455</v>
      </c>
      <c r="D312" s="26"/>
      <c r="E312" s="26"/>
      <c r="F312" s="113"/>
      <c r="G312" s="113"/>
      <c r="H312" s="113"/>
      <c r="I312" s="104"/>
      <c r="J312" s="105"/>
      <c r="K312" s="26"/>
      <c r="L312" s="36"/>
      <c r="M312" s="39" t="str">
        <f>$M$3</f>
        <v>Date: 10/1/2009</v>
      </c>
    </row>
    <row r="313" spans="1:13" ht="12">
      <c r="A313" s="40" t="s">
        <v>1</v>
      </c>
      <c r="B313" s="40" t="s">
        <v>1</v>
      </c>
      <c r="C313" s="40" t="s">
        <v>1</v>
      </c>
      <c r="D313" s="40" t="s">
        <v>1</v>
      </c>
      <c r="E313" s="40" t="s">
        <v>1</v>
      </c>
      <c r="F313" s="40" t="s">
        <v>1</v>
      </c>
      <c r="G313" s="40"/>
      <c r="H313" s="40"/>
      <c r="I313" s="41" t="s">
        <v>1</v>
      </c>
      <c r="J313" s="42" t="s">
        <v>1</v>
      </c>
      <c r="K313" s="40" t="s">
        <v>1</v>
      </c>
      <c r="L313" s="41" t="s">
        <v>1</v>
      </c>
      <c r="M313" s="42" t="s">
        <v>1</v>
      </c>
    </row>
    <row r="314" spans="1:13" ht="12.75">
      <c r="A314" s="43" t="s">
        <v>2</v>
      </c>
      <c r="B314"/>
      <c r="C314"/>
      <c r="D314"/>
      <c r="E314" s="43" t="s">
        <v>2</v>
      </c>
      <c r="F314"/>
      <c r="G314"/>
      <c r="H314" s="44" t="s">
        <v>240</v>
      </c>
      <c r="I314" s="45"/>
      <c r="J314" s="46" t="s">
        <v>247</v>
      </c>
      <c r="K314" s="44"/>
      <c r="L314" s="45"/>
      <c r="M314" s="46" t="s">
        <v>576</v>
      </c>
    </row>
    <row r="315" spans="1:13" ht="12.75">
      <c r="A315" s="43" t="s">
        <v>4</v>
      </c>
      <c r="B315"/>
      <c r="C315" s="47" t="s">
        <v>20</v>
      </c>
      <c r="D315"/>
      <c r="E315" s="43" t="s">
        <v>4</v>
      </c>
      <c r="F315"/>
      <c r="G315"/>
      <c r="H315" s="46" t="s">
        <v>7</v>
      </c>
      <c r="I315" s="36"/>
      <c r="J315" s="46" t="s">
        <v>7</v>
      </c>
      <c r="K315"/>
      <c r="L315" s="36"/>
      <c r="M315" s="46" t="s">
        <v>8</v>
      </c>
    </row>
    <row r="316" spans="1:13" ht="12">
      <c r="A316" s="40" t="s">
        <v>1</v>
      </c>
      <c r="B316" s="40" t="s">
        <v>1</v>
      </c>
      <c r="C316" s="40" t="s">
        <v>1</v>
      </c>
      <c r="D316" s="40" t="s">
        <v>1</v>
      </c>
      <c r="E316" s="40" t="s">
        <v>1</v>
      </c>
      <c r="F316" s="40" t="s">
        <v>1</v>
      </c>
      <c r="G316" s="40"/>
      <c r="H316" s="40"/>
      <c r="I316" s="41" t="s">
        <v>1</v>
      </c>
      <c r="J316" s="42" t="s">
        <v>1</v>
      </c>
      <c r="K316" s="40" t="s">
        <v>1</v>
      </c>
      <c r="L316" s="41" t="s">
        <v>1</v>
      </c>
      <c r="M316" s="42" t="s">
        <v>1</v>
      </c>
    </row>
    <row r="317" spans="1:14" ht="12.75">
      <c r="A317" s="114">
        <v>1</v>
      </c>
      <c r="C317" s="31" t="s">
        <v>580</v>
      </c>
      <c r="D317"/>
      <c r="E317" s="114"/>
      <c r="F317"/>
      <c r="G317"/>
      <c r="H317"/>
      <c r="I317" s="36"/>
      <c r="J317" s="74">
        <v>4932495</v>
      </c>
      <c r="K317"/>
      <c r="L317" s="36"/>
      <c r="M317" s="74">
        <f>4932495+2951165</f>
        <v>7883660</v>
      </c>
      <c r="N317" s="248">
        <f>O59+O60</f>
        <v>2951165</v>
      </c>
    </row>
    <row r="318" spans="1:13" ht="12.75">
      <c r="A318" s="114">
        <v>2</v>
      </c>
      <c r="B318"/>
      <c r="C318" s="31" t="s">
        <v>586</v>
      </c>
      <c r="D318"/>
      <c r="E318" s="114"/>
      <c r="F318"/>
      <c r="G318"/>
      <c r="H318" s="292">
        <f>2129384-1052834-168674</f>
        <v>907876</v>
      </c>
      <c r="I318" s="36"/>
      <c r="J318" s="74">
        <f>1053232-26166+842</f>
        <v>1027908</v>
      </c>
      <c r="K318"/>
      <c r="L318" s="36"/>
      <c r="M318" s="74">
        <v>1000329</v>
      </c>
    </row>
    <row r="319" spans="1:13" ht="12.75">
      <c r="A319" s="114">
        <v>3</v>
      </c>
      <c r="B319"/>
      <c r="C319" s="31" t="s">
        <v>587</v>
      </c>
      <c r="D319"/>
      <c r="E319" s="114"/>
      <c r="F319"/>
      <c r="G319"/>
      <c r="H319" s="292">
        <v>168674</v>
      </c>
      <c r="I319" s="36"/>
      <c r="J319" s="74">
        <v>190508</v>
      </c>
      <c r="K319"/>
      <c r="L319" s="36"/>
      <c r="M319" s="74">
        <v>187509</v>
      </c>
    </row>
    <row r="320" spans="1:13" ht="12.75">
      <c r="A320" s="114">
        <v>4</v>
      </c>
      <c r="B320"/>
      <c r="C320" s="31" t="s">
        <v>588</v>
      </c>
      <c r="D320"/>
      <c r="E320" s="114"/>
      <c r="F320"/>
      <c r="G320"/>
      <c r="H320" s="292">
        <v>1052834</v>
      </c>
      <c r="I320" s="36"/>
      <c r="J320" s="74">
        <v>1065361</v>
      </c>
      <c r="K320"/>
      <c r="L320" s="36"/>
      <c r="M320" s="74">
        <f>404472+993678</f>
        <v>1398150</v>
      </c>
    </row>
    <row r="321" spans="1:13" ht="12.75">
      <c r="A321"/>
      <c r="B321"/>
      <c r="C321"/>
      <c r="D321"/>
      <c r="E321"/>
      <c r="F321" s="109" t="s">
        <v>1</v>
      </c>
      <c r="G321" s="109"/>
      <c r="H321" s="109"/>
      <c r="I321" s="41" t="s">
        <v>1</v>
      </c>
      <c r="J321" s="42"/>
      <c r="K321" s="109"/>
      <c r="L321" s="41"/>
      <c r="M321" s="42"/>
    </row>
    <row r="322" spans="1:13" ht="12.75">
      <c r="A322" s="114"/>
      <c r="B322"/>
      <c r="C322"/>
      <c r="D322"/>
      <c r="E322" s="114"/>
      <c r="F322" s="109" t="s">
        <v>1</v>
      </c>
      <c r="G322" s="109"/>
      <c r="H322" s="109"/>
      <c r="I322" s="41" t="s">
        <v>1</v>
      </c>
      <c r="J322" s="42"/>
      <c r="K322" s="109"/>
      <c r="L322" s="41"/>
      <c r="M322" s="42"/>
    </row>
    <row r="323" spans="1:13" ht="12.75">
      <c r="A323" s="114"/>
      <c r="B323"/>
      <c r="C323" s="115" t="s">
        <v>0</v>
      </c>
      <c r="D323" s="116"/>
      <c r="E323" s="114"/>
      <c r="F323"/>
      <c r="G323"/>
      <c r="H323" s="361"/>
      <c r="I323" s="362"/>
      <c r="J323" s="362"/>
      <c r="K323" s="361"/>
      <c r="L323" s="362"/>
      <c r="M323" s="362"/>
    </row>
    <row r="324" spans="1:13" ht="12.75">
      <c r="A324" s="114">
        <v>16</v>
      </c>
      <c r="B324"/>
      <c r="C324" s="26" t="s">
        <v>257</v>
      </c>
      <c r="D324"/>
      <c r="E324" s="114">
        <v>16</v>
      </c>
      <c r="F324"/>
      <c r="G324"/>
      <c r="H324" s="361">
        <v>-5320382</v>
      </c>
      <c r="I324" s="362"/>
      <c r="J324" s="362">
        <v>-32340</v>
      </c>
      <c r="K324" s="361"/>
      <c r="L324" s="362"/>
      <c r="M324" s="364">
        <v>0</v>
      </c>
    </row>
    <row r="325" spans="1:13" ht="12.75">
      <c r="A325" s="114">
        <v>17</v>
      </c>
      <c r="B325"/>
      <c r="C325" s="31" t="s">
        <v>0</v>
      </c>
      <c r="D325"/>
      <c r="E325" s="114">
        <v>17</v>
      </c>
      <c r="F325" s="32"/>
      <c r="G325" s="32"/>
      <c r="H325" s="363"/>
      <c r="I325" s="363"/>
      <c r="J325" s="363"/>
      <c r="K325" s="363"/>
      <c r="L325" s="363"/>
      <c r="M325" s="363"/>
    </row>
    <row r="326" spans="1:13" ht="12.75">
      <c r="A326" s="114">
        <v>18</v>
      </c>
      <c r="B326"/>
      <c r="C326"/>
      <c r="D326"/>
      <c r="E326" s="114">
        <v>18</v>
      </c>
      <c r="F326"/>
      <c r="G326"/>
      <c r="H326" s="361"/>
      <c r="I326" s="361"/>
      <c r="J326" s="361"/>
      <c r="K326" s="361"/>
      <c r="L326" s="361" t="s">
        <v>0</v>
      </c>
      <c r="M326" s="361"/>
    </row>
    <row r="327" spans="1:13" ht="12.75">
      <c r="A327" s="114">
        <v>19</v>
      </c>
      <c r="B327"/>
      <c r="C327"/>
      <c r="D327"/>
      <c r="E327" s="114">
        <v>19</v>
      </c>
      <c r="F327"/>
      <c r="G327"/>
      <c r="H327" s="361"/>
      <c r="I327" s="361"/>
      <c r="J327" s="361"/>
      <c r="K327" s="361"/>
      <c r="L327" s="361"/>
      <c r="M327" s="361"/>
    </row>
    <row r="328" spans="1:13" ht="12.75">
      <c r="A328" s="114"/>
      <c r="B328"/>
      <c r="C328" s="115"/>
      <c r="D328"/>
      <c r="E328" s="114"/>
      <c r="F328" s="109" t="s">
        <v>1</v>
      </c>
      <c r="G328" s="109"/>
      <c r="H328" s="109"/>
      <c r="I328" s="41" t="s">
        <v>1</v>
      </c>
      <c r="J328" s="42" t="s">
        <v>1</v>
      </c>
      <c r="K328" s="109" t="s">
        <v>1</v>
      </c>
      <c r="L328" s="41" t="s">
        <v>1</v>
      </c>
      <c r="M328" s="42" t="s">
        <v>1</v>
      </c>
    </row>
    <row r="329" spans="1:13" ht="12.75">
      <c r="A329" s="114">
        <v>20</v>
      </c>
      <c r="B329"/>
      <c r="C329" s="115" t="s">
        <v>82</v>
      </c>
      <c r="D329"/>
      <c r="E329" s="114">
        <v>20</v>
      </c>
      <c r="F329"/>
      <c r="G329"/>
      <c r="H329" s="361">
        <f>H317+H318+H319+H320+H324</f>
        <v>-3190998</v>
      </c>
      <c r="I329" s="361"/>
      <c r="J329" s="361">
        <f>J318+J319+J320+J324</f>
        <v>2251437</v>
      </c>
      <c r="K329" s="361"/>
      <c r="L329" s="361"/>
      <c r="M329" s="361">
        <f>M318+M319+M320+M324</f>
        <v>2585988</v>
      </c>
    </row>
    <row r="330" ht="12">
      <c r="A330" s="31"/>
    </row>
    <row r="331" spans="1:13" ht="12">
      <c r="A331" s="38" t="str">
        <f>$A$36</f>
        <v>Institution No.:  GFC</v>
      </c>
      <c r="B331" s="65"/>
      <c r="C331" s="65"/>
      <c r="D331" s="65"/>
      <c r="E331" s="70"/>
      <c r="F331" s="65"/>
      <c r="G331" s="65"/>
      <c r="H331" s="65"/>
      <c r="I331" s="71"/>
      <c r="J331" s="72"/>
      <c r="K331" s="65"/>
      <c r="L331" s="71"/>
      <c r="M331" s="37" t="s">
        <v>78</v>
      </c>
    </row>
    <row r="332" spans="4:13" s="65" customFormat="1" ht="12">
      <c r="D332" s="79" t="s">
        <v>266</v>
      </c>
      <c r="E332" s="70"/>
      <c r="I332" s="71"/>
      <c r="J332" s="72"/>
      <c r="L332" s="71"/>
      <c r="M332" s="72"/>
    </row>
    <row r="333" spans="1:13" s="65" customFormat="1" ht="12">
      <c r="A333" s="38" t="s">
        <v>551</v>
      </c>
      <c r="B333" s="26"/>
      <c r="C333" s="26" t="s">
        <v>455</v>
      </c>
      <c r="D333" s="26"/>
      <c r="E333" s="26"/>
      <c r="F333" s="113"/>
      <c r="G333" s="113"/>
      <c r="H333" s="113"/>
      <c r="I333" s="104"/>
      <c r="J333" s="74"/>
      <c r="K333" s="26"/>
      <c r="L333" s="36"/>
      <c r="M333" s="39" t="str">
        <f>$M$3</f>
        <v>Date: 10/1/2009</v>
      </c>
    </row>
    <row r="334" spans="1:13" ht="12">
      <c r="A334" s="40" t="s">
        <v>1</v>
      </c>
      <c r="B334" s="40" t="s">
        <v>1</v>
      </c>
      <c r="C334" s="40" t="s">
        <v>1</v>
      </c>
      <c r="D334" s="40" t="s">
        <v>1</v>
      </c>
      <c r="E334" s="40" t="s">
        <v>1</v>
      </c>
      <c r="F334" s="40" t="s">
        <v>1</v>
      </c>
      <c r="G334" s="40"/>
      <c r="H334" s="40"/>
      <c r="I334" s="41" t="s">
        <v>1</v>
      </c>
      <c r="J334" s="42" t="s">
        <v>1</v>
      </c>
      <c r="K334" s="40" t="s">
        <v>1</v>
      </c>
      <c r="L334" s="41" t="s">
        <v>1</v>
      </c>
      <c r="M334" s="42" t="s">
        <v>1</v>
      </c>
    </row>
    <row r="335" spans="1:13" ht="12.75">
      <c r="A335" s="43" t="s">
        <v>2</v>
      </c>
      <c r="B335"/>
      <c r="C335"/>
      <c r="D335"/>
      <c r="E335" s="43" t="s">
        <v>2</v>
      </c>
      <c r="F335"/>
      <c r="G335"/>
      <c r="H335" s="44" t="s">
        <v>240</v>
      </c>
      <c r="I335" s="45"/>
      <c r="J335" s="46" t="s">
        <v>247</v>
      </c>
      <c r="K335" s="44"/>
      <c r="L335" s="45"/>
      <c r="M335" s="46" t="s">
        <v>576</v>
      </c>
    </row>
    <row r="336" spans="1:13" ht="12.75">
      <c r="A336" s="43" t="s">
        <v>4</v>
      </c>
      <c r="B336"/>
      <c r="C336" s="47" t="s">
        <v>20</v>
      </c>
      <c r="D336"/>
      <c r="E336" s="43" t="s">
        <v>4</v>
      </c>
      <c r="F336"/>
      <c r="G336"/>
      <c r="H336" s="46" t="s">
        <v>7</v>
      </c>
      <c r="I336" s="36"/>
      <c r="J336" s="46" t="s">
        <v>7</v>
      </c>
      <c r="K336"/>
      <c r="L336" s="36"/>
      <c r="M336" s="46" t="s">
        <v>8</v>
      </c>
    </row>
    <row r="337" spans="1:13" ht="12">
      <c r="A337" s="40" t="s">
        <v>1</v>
      </c>
      <c r="B337" s="40" t="s">
        <v>1</v>
      </c>
      <c r="C337" s="40" t="s">
        <v>1</v>
      </c>
      <c r="D337" s="40" t="s">
        <v>1</v>
      </c>
      <c r="E337" s="40" t="s">
        <v>1</v>
      </c>
      <c r="F337" s="40" t="s">
        <v>1</v>
      </c>
      <c r="G337" s="40"/>
      <c r="H337" s="40"/>
      <c r="I337" s="41" t="s">
        <v>1</v>
      </c>
      <c r="J337" s="42" t="s">
        <v>1</v>
      </c>
      <c r="K337" s="40" t="s">
        <v>1</v>
      </c>
      <c r="L337" s="41" t="s">
        <v>1</v>
      </c>
      <c r="M337" s="42" t="s">
        <v>1</v>
      </c>
    </row>
    <row r="338" spans="1:13" ht="12.75">
      <c r="A338" s="114">
        <v>1</v>
      </c>
      <c r="B338"/>
      <c r="C338" s="31" t="s">
        <v>83</v>
      </c>
      <c r="D338"/>
      <c r="E338" s="114">
        <v>1</v>
      </c>
      <c r="F338"/>
      <c r="G338"/>
      <c r="H338" s="361"/>
      <c r="I338" s="362"/>
      <c r="J338" s="362"/>
      <c r="K338" s="361"/>
      <c r="L338" s="362"/>
      <c r="M338" s="362"/>
    </row>
    <row r="339" spans="1:13" ht="12.75">
      <c r="A339" s="114"/>
      <c r="B339"/>
      <c r="C339" s="31"/>
      <c r="D339"/>
      <c r="E339" s="114"/>
      <c r="F339"/>
      <c r="G339"/>
      <c r="H339" s="361"/>
      <c r="I339" s="362"/>
      <c r="J339" s="362"/>
      <c r="K339" s="361"/>
      <c r="L339" s="362"/>
      <c r="M339" s="362"/>
    </row>
    <row r="340" spans="1:13" ht="12.75">
      <c r="A340" s="114">
        <v>2</v>
      </c>
      <c r="B340"/>
      <c r="C340" s="32" t="s">
        <v>581</v>
      </c>
      <c r="D340"/>
      <c r="E340" s="114">
        <v>2</v>
      </c>
      <c r="F340" s="32"/>
      <c r="G340" s="32"/>
      <c r="H340" s="363">
        <v>1209621</v>
      </c>
      <c r="I340" s="363"/>
      <c r="J340" s="363">
        <v>1214026</v>
      </c>
      <c r="K340" s="363"/>
      <c r="L340" s="363"/>
      <c r="M340" s="363">
        <v>1152309</v>
      </c>
    </row>
    <row r="341" spans="1:13" ht="12.75">
      <c r="A341" s="114">
        <v>3</v>
      </c>
      <c r="B341"/>
      <c r="C341" s="32" t="s">
        <v>259</v>
      </c>
      <c r="D341"/>
      <c r="E341" s="114">
        <v>3</v>
      </c>
      <c r="F341" s="32"/>
      <c r="G341" s="32"/>
      <c r="H341" s="363"/>
      <c r="I341" s="363"/>
      <c r="J341" s="363">
        <v>26166</v>
      </c>
      <c r="K341" s="363"/>
      <c r="L341" s="363"/>
      <c r="M341" s="363"/>
    </row>
    <row r="342" spans="1:12" ht="12.75">
      <c r="A342" s="114">
        <v>4</v>
      </c>
      <c r="B342"/>
      <c r="C342" s="32" t="s">
        <v>220</v>
      </c>
      <c r="D342"/>
      <c r="E342" s="114">
        <v>4</v>
      </c>
      <c r="F342" s="32"/>
      <c r="G342" s="32"/>
      <c r="H342" s="363">
        <v>201728</v>
      </c>
      <c r="I342" s="363"/>
      <c r="J342" s="363">
        <v>150396</v>
      </c>
      <c r="K342" s="363"/>
      <c r="L342" s="363"/>
    </row>
    <row r="343" spans="1:13" ht="12.75">
      <c r="A343" s="114">
        <v>5</v>
      </c>
      <c r="B343"/>
      <c r="C343" s="32" t="s">
        <v>258</v>
      </c>
      <c r="D343"/>
      <c r="E343" s="114">
        <v>5</v>
      </c>
      <c r="F343" s="32"/>
      <c r="G343" s="32"/>
      <c r="H343" s="363"/>
      <c r="I343" s="363"/>
      <c r="J343" s="363"/>
      <c r="K343" s="363"/>
      <c r="L343" s="363"/>
      <c r="M343" s="363"/>
    </row>
    <row r="344" spans="1:13" ht="12.75">
      <c r="A344" s="114">
        <v>6</v>
      </c>
      <c r="B344"/>
      <c r="C344" s="32" t="s">
        <v>79</v>
      </c>
      <c r="D344"/>
      <c r="E344" s="114">
        <v>6</v>
      </c>
      <c r="F344" s="32"/>
      <c r="G344" s="32"/>
      <c r="H344" s="363">
        <v>875623</v>
      </c>
      <c r="I344" s="363"/>
      <c r="J344" s="363">
        <v>894513</v>
      </c>
      <c r="K344" s="363"/>
      <c r="L344" s="363"/>
      <c r="M344" s="363">
        <f>916980-81551-120370</f>
        <v>715059</v>
      </c>
    </row>
    <row r="345" spans="1:13" ht="12.75">
      <c r="A345" s="114">
        <v>7</v>
      </c>
      <c r="B345"/>
      <c r="C345" s="32"/>
      <c r="D345"/>
      <c r="E345" s="114"/>
      <c r="F345" s="32"/>
      <c r="G345" s="32"/>
      <c r="H345" s="363"/>
      <c r="I345" s="363"/>
      <c r="J345" s="363"/>
      <c r="K345" s="363"/>
      <c r="L345" s="363"/>
      <c r="M345" s="363"/>
    </row>
    <row r="346" spans="1:13" ht="12.75">
      <c r="A346" s="114"/>
      <c r="B346"/>
      <c r="C346"/>
      <c r="D346"/>
      <c r="E346" s="114"/>
      <c r="F346" s="109" t="s">
        <v>1</v>
      </c>
      <c r="G346" s="109"/>
      <c r="H346" s="109"/>
      <c r="I346" s="41" t="s">
        <v>1</v>
      </c>
      <c r="J346" s="42"/>
      <c r="K346" s="109"/>
      <c r="L346" s="41"/>
      <c r="M346" s="42"/>
    </row>
    <row r="347" spans="1:13" ht="12.75">
      <c r="A347" s="114">
        <v>9</v>
      </c>
      <c r="B347"/>
      <c r="C347" s="26" t="s">
        <v>77</v>
      </c>
      <c r="D347"/>
      <c r="E347" s="114">
        <v>9</v>
      </c>
      <c r="F347" s="32"/>
      <c r="G347" s="32"/>
      <c r="H347" s="363">
        <f>SUM(H338:H346)</f>
        <v>2286972</v>
      </c>
      <c r="I347" s="363"/>
      <c r="J347" s="363">
        <f>SUM(J340:J345)</f>
        <v>2285101</v>
      </c>
      <c r="K347" s="363"/>
      <c r="L347" s="363"/>
      <c r="M347" s="363">
        <f>SUM(M340:M345)</f>
        <v>1867368</v>
      </c>
    </row>
    <row r="348" spans="1:13" ht="12.75">
      <c r="A348" s="114"/>
      <c r="B348"/>
      <c r="C348" s="32"/>
      <c r="D348"/>
      <c r="E348" s="114"/>
      <c r="F348" s="32"/>
      <c r="G348" s="32"/>
      <c r="H348" s="363"/>
      <c r="I348" s="363"/>
      <c r="J348" s="363"/>
      <c r="K348" s="363"/>
      <c r="L348" s="363"/>
      <c r="M348" s="363"/>
    </row>
    <row r="349" spans="1:13" ht="12.75">
      <c r="A349" s="114">
        <v>11</v>
      </c>
      <c r="B349"/>
      <c r="C349" s="32" t="s">
        <v>206</v>
      </c>
      <c r="D349"/>
      <c r="E349" s="114">
        <v>11</v>
      </c>
      <c r="F349" s="32"/>
      <c r="G349" s="32"/>
      <c r="H349" s="363">
        <v>113471</v>
      </c>
      <c r="I349" s="363"/>
      <c r="J349" s="363">
        <v>115840</v>
      </c>
      <c r="K349" s="363"/>
      <c r="L349" s="363"/>
      <c r="M349" s="363">
        <v>120370</v>
      </c>
    </row>
    <row r="350" spans="1:13" ht="12.75">
      <c r="A350" s="114">
        <v>12</v>
      </c>
      <c r="B350"/>
      <c r="C350" s="32" t="s">
        <v>80</v>
      </c>
      <c r="D350"/>
      <c r="E350" s="114">
        <v>12</v>
      </c>
      <c r="F350" s="32"/>
      <c r="G350" s="32"/>
      <c r="H350" s="363"/>
      <c r="I350" s="363"/>
      <c r="J350" s="363"/>
      <c r="K350" s="363"/>
      <c r="L350" s="363"/>
      <c r="M350" s="363">
        <v>0</v>
      </c>
    </row>
    <row r="351" spans="1:13" ht="12.75">
      <c r="A351" s="114">
        <v>13</v>
      </c>
      <c r="B351"/>
      <c r="C351" s="32" t="s">
        <v>260</v>
      </c>
      <c r="D351"/>
      <c r="E351" s="114">
        <v>13</v>
      </c>
      <c r="F351" s="32"/>
      <c r="G351" s="32"/>
      <c r="H351" s="363"/>
      <c r="I351" s="363"/>
      <c r="J351" s="363"/>
      <c r="K351" s="363"/>
      <c r="L351" s="363"/>
      <c r="M351" s="363"/>
    </row>
    <row r="352" spans="1:13" ht="12.75">
      <c r="A352" s="114"/>
      <c r="B352"/>
      <c r="C352" s="32"/>
      <c r="D352"/>
      <c r="E352" s="114"/>
      <c r="F352" s="32"/>
      <c r="G352" s="32"/>
      <c r="H352" s="363"/>
      <c r="I352" s="363"/>
      <c r="J352" s="363"/>
      <c r="K352" s="363"/>
      <c r="L352" s="363"/>
      <c r="M352" s="363"/>
    </row>
    <row r="353" spans="1:13" ht="12.75">
      <c r="A353"/>
      <c r="B353"/>
      <c r="C353" s="32"/>
      <c r="D353"/>
      <c r="E353"/>
      <c r="F353" s="109" t="s">
        <v>1</v>
      </c>
      <c r="G353" s="109"/>
      <c r="H353" s="109"/>
      <c r="I353" s="41" t="s">
        <v>1</v>
      </c>
      <c r="J353" s="42"/>
      <c r="K353" s="109"/>
      <c r="L353" s="41"/>
      <c r="M353" s="42"/>
    </row>
    <row r="354" spans="1:13" ht="12.75">
      <c r="A354" s="114">
        <v>14</v>
      </c>
      <c r="B354"/>
      <c r="C354" s="26" t="s">
        <v>104</v>
      </c>
      <c r="D354"/>
      <c r="E354" s="114">
        <v>14</v>
      </c>
      <c r="F354"/>
      <c r="G354"/>
      <c r="H354" s="361">
        <f>SUM(H349:H353)</f>
        <v>113471</v>
      </c>
      <c r="I354" s="362"/>
      <c r="J354" s="361">
        <f>SUM(J349:J352)</f>
        <v>115840</v>
      </c>
      <c r="K354" s="361"/>
      <c r="L354" s="362"/>
      <c r="M354" s="361">
        <f>SUM(M349:M353)</f>
        <v>120370</v>
      </c>
    </row>
    <row r="355" spans="1:13" ht="12.75">
      <c r="A355" s="114"/>
      <c r="B355"/>
      <c r="C355" s="32"/>
      <c r="D355"/>
      <c r="E355" s="114"/>
      <c r="F355" s="109" t="s">
        <v>1</v>
      </c>
      <c r="G355" s="109"/>
      <c r="H355" s="109"/>
      <c r="I355" s="41" t="s">
        <v>1</v>
      </c>
      <c r="J355" s="42"/>
      <c r="K355" s="109"/>
      <c r="L355" s="41"/>
      <c r="M355" s="42"/>
    </row>
    <row r="356" spans="1:13" ht="12.75">
      <c r="A356" s="114">
        <v>15</v>
      </c>
      <c r="B356"/>
      <c r="C356" s="31" t="s">
        <v>84</v>
      </c>
      <c r="D356"/>
      <c r="E356" s="114">
        <v>15</v>
      </c>
      <c r="F356"/>
      <c r="G356"/>
      <c r="H356" s="361">
        <f>H347+H354</f>
        <v>2400443</v>
      </c>
      <c r="I356" s="362"/>
      <c r="J356" s="361">
        <f>J347+J354</f>
        <v>2400941</v>
      </c>
      <c r="K356" s="361"/>
      <c r="L356" s="362"/>
      <c r="M356" s="361">
        <f>M347+M354</f>
        <v>1987738</v>
      </c>
    </row>
    <row r="357" spans="1:13" ht="12.75">
      <c r="A357" s="114"/>
      <c r="B357"/>
      <c r="C357" s="31"/>
      <c r="D357"/>
      <c r="E357" s="114"/>
      <c r="F357"/>
      <c r="G357"/>
      <c r="H357" s="361"/>
      <c r="I357" s="362"/>
      <c r="J357" s="361"/>
      <c r="K357" s="361"/>
      <c r="L357" s="362"/>
      <c r="M357" s="361"/>
    </row>
    <row r="358" spans="1:13" ht="12.75">
      <c r="A358" s="114">
        <v>16</v>
      </c>
      <c r="B358"/>
      <c r="C358" s="31" t="s">
        <v>188</v>
      </c>
      <c r="D358"/>
      <c r="E358" s="114">
        <v>16</v>
      </c>
      <c r="F358"/>
      <c r="G358"/>
      <c r="H358" s="361"/>
      <c r="I358" s="362"/>
      <c r="J358" s="362"/>
      <c r="K358" s="361"/>
      <c r="L358" s="362"/>
      <c r="M358" s="362">
        <v>0</v>
      </c>
    </row>
    <row r="359" spans="1:13" ht="12.75">
      <c r="A359" s="114">
        <v>17</v>
      </c>
      <c r="B359"/>
      <c r="C359" s="26" t="s">
        <v>189</v>
      </c>
      <c r="D359"/>
      <c r="E359" s="114">
        <v>17</v>
      </c>
      <c r="F359"/>
      <c r="G359"/>
      <c r="H359" s="361">
        <v>2672495</v>
      </c>
      <c r="I359" s="362"/>
      <c r="J359" s="362">
        <v>6227830</v>
      </c>
      <c r="K359" s="361"/>
      <c r="L359" s="362"/>
      <c r="M359" s="364">
        <v>0</v>
      </c>
    </row>
    <row r="360" spans="1:13" ht="12.75">
      <c r="A360" s="114">
        <v>18</v>
      </c>
      <c r="B360"/>
      <c r="C360"/>
      <c r="D360"/>
      <c r="E360" s="114">
        <v>18</v>
      </c>
      <c r="F360"/>
      <c r="G360"/>
      <c r="H360" s="361"/>
      <c r="I360" s="361"/>
      <c r="J360" s="361"/>
      <c r="K360" s="361"/>
      <c r="L360" s="361"/>
      <c r="M360" s="361"/>
    </row>
    <row r="361" spans="1:13" ht="12.75">
      <c r="A361" s="114">
        <v>19</v>
      </c>
      <c r="B361"/>
      <c r="C361"/>
      <c r="D361"/>
      <c r="E361" s="114">
        <v>19</v>
      </c>
      <c r="F361"/>
      <c r="G361"/>
      <c r="H361" s="361"/>
      <c r="I361" s="361"/>
      <c r="J361" s="361"/>
      <c r="K361" s="361"/>
      <c r="L361" s="361"/>
      <c r="M361" s="361"/>
    </row>
    <row r="362" spans="1:13" ht="12.75">
      <c r="A362" s="114"/>
      <c r="B362"/>
      <c r="C362" s="115"/>
      <c r="D362"/>
      <c r="E362" s="114"/>
      <c r="F362" s="109" t="s">
        <v>1</v>
      </c>
      <c r="G362" s="109"/>
      <c r="H362" s="109"/>
      <c r="I362" s="41" t="s">
        <v>1</v>
      </c>
      <c r="J362" s="42"/>
      <c r="K362" s="109"/>
      <c r="L362" s="41"/>
      <c r="M362" s="42"/>
    </row>
    <row r="363" spans="1:13" ht="12.75">
      <c r="A363" s="114">
        <v>20</v>
      </c>
      <c r="B363"/>
      <c r="C363" s="115" t="s">
        <v>85</v>
      </c>
      <c r="D363"/>
      <c r="E363" s="114">
        <v>20</v>
      </c>
      <c r="F363"/>
      <c r="G363"/>
      <c r="H363" s="361">
        <f>H356+H359</f>
        <v>5072938</v>
      </c>
      <c r="I363" s="362"/>
      <c r="J363" s="361">
        <f>J356+J359</f>
        <v>8628771</v>
      </c>
      <c r="K363" s="361"/>
      <c r="L363" s="362"/>
      <c r="M363" s="361">
        <f>SUM(M356:M361)</f>
        <v>1987738</v>
      </c>
    </row>
    <row r="364" spans="1:13" ht="12">
      <c r="A364" s="114"/>
      <c r="C364" s="115"/>
      <c r="E364" s="114"/>
      <c r="F364" s="109" t="s">
        <v>1</v>
      </c>
      <c r="G364" s="109"/>
      <c r="H364" s="109"/>
      <c r="I364" s="41" t="s">
        <v>1</v>
      </c>
      <c r="J364" s="42"/>
      <c r="K364" s="109"/>
      <c r="L364" s="41"/>
      <c r="M364" s="42"/>
    </row>
    <row r="365" spans="6:13" ht="12">
      <c r="F365" s="109"/>
      <c r="G365" s="109"/>
      <c r="H365" s="109"/>
      <c r="I365" s="41"/>
      <c r="J365" s="74"/>
      <c r="K365" s="109"/>
      <c r="L365" s="41"/>
      <c r="M365" s="74"/>
    </row>
    <row r="366" ht="12">
      <c r="A366" s="31"/>
    </row>
    <row r="367" spans="1:13" ht="12">
      <c r="A367" s="38" t="str">
        <f>$A$36</f>
        <v>Institution No.:  GFC</v>
      </c>
      <c r="B367" s="65"/>
      <c r="C367" s="65"/>
      <c r="D367" s="65"/>
      <c r="E367" s="70"/>
      <c r="F367" s="65"/>
      <c r="G367" s="65"/>
      <c r="H367" s="65"/>
      <c r="I367" s="71"/>
      <c r="J367" s="72"/>
      <c r="K367" s="65"/>
      <c r="L367" s="71"/>
      <c r="M367" s="37" t="s">
        <v>211</v>
      </c>
    </row>
    <row r="368" spans="4:13" s="65" customFormat="1" ht="12">
      <c r="D368" s="79" t="s">
        <v>267</v>
      </c>
      <c r="E368" s="70"/>
      <c r="I368" s="71"/>
      <c r="J368" s="72"/>
      <c r="L368" s="71"/>
      <c r="M368" s="72"/>
    </row>
    <row r="369" spans="1:13" s="65" customFormat="1" ht="12">
      <c r="A369" s="38" t="s">
        <v>551</v>
      </c>
      <c r="B369" s="26"/>
      <c r="C369" s="26" t="s">
        <v>455</v>
      </c>
      <c r="D369" s="26"/>
      <c r="E369" s="26"/>
      <c r="F369" s="113"/>
      <c r="G369" s="113"/>
      <c r="H369" s="113"/>
      <c r="I369" s="104"/>
      <c r="J369" s="74"/>
      <c r="K369" s="26"/>
      <c r="L369" s="36"/>
      <c r="M369" s="39" t="str">
        <f>$M$3</f>
        <v>Date: 10/1/2009</v>
      </c>
    </row>
    <row r="370" spans="1:13" ht="12">
      <c r="A370" s="40" t="s">
        <v>1</v>
      </c>
      <c r="B370" s="40" t="s">
        <v>1</v>
      </c>
      <c r="C370" s="40" t="s">
        <v>1</v>
      </c>
      <c r="D370" s="40" t="s">
        <v>1</v>
      </c>
      <c r="E370" s="40" t="s">
        <v>1</v>
      </c>
      <c r="F370" s="40" t="s">
        <v>1</v>
      </c>
      <c r="G370" s="40"/>
      <c r="H370" s="40"/>
      <c r="I370" s="41" t="s">
        <v>1</v>
      </c>
      <c r="J370" s="42" t="s">
        <v>1</v>
      </c>
      <c r="K370" s="40" t="s">
        <v>1</v>
      </c>
      <c r="L370" s="41" t="s">
        <v>1</v>
      </c>
      <c r="M370" s="42" t="s">
        <v>1</v>
      </c>
    </row>
    <row r="371" spans="1:13" ht="12.75">
      <c r="A371" s="43" t="s">
        <v>2</v>
      </c>
      <c r="B371"/>
      <c r="C371"/>
      <c r="D371"/>
      <c r="E371" s="43" t="s">
        <v>2</v>
      </c>
      <c r="F371"/>
      <c r="G371"/>
      <c r="H371" s="44" t="s">
        <v>240</v>
      </c>
      <c r="I371" s="45"/>
      <c r="J371" s="46" t="s">
        <v>247</v>
      </c>
      <c r="K371" s="44"/>
      <c r="L371" s="45"/>
      <c r="M371" s="46" t="s">
        <v>576</v>
      </c>
    </row>
    <row r="372" spans="1:13" ht="12.75">
      <c r="A372" s="43" t="s">
        <v>4</v>
      </c>
      <c r="B372"/>
      <c r="C372" s="47" t="s">
        <v>20</v>
      </c>
      <c r="D372"/>
      <c r="E372" s="43" t="s">
        <v>4</v>
      </c>
      <c r="F372"/>
      <c r="G372"/>
      <c r="H372" s="46" t="s">
        <v>7</v>
      </c>
      <c r="I372" s="36"/>
      <c r="J372" s="46" t="s">
        <v>7</v>
      </c>
      <c r="K372"/>
      <c r="L372" s="36"/>
      <c r="M372" s="46" t="s">
        <v>8</v>
      </c>
    </row>
    <row r="373" spans="1:13" ht="12">
      <c r="A373" s="40" t="s">
        <v>1</v>
      </c>
      <c r="B373" s="40" t="s">
        <v>1</v>
      </c>
      <c r="C373" s="40" t="s">
        <v>1</v>
      </c>
      <c r="D373" s="40" t="s">
        <v>1</v>
      </c>
      <c r="E373" s="40" t="s">
        <v>1</v>
      </c>
      <c r="F373" s="40" t="s">
        <v>1</v>
      </c>
      <c r="G373" s="40"/>
      <c r="H373" s="40"/>
      <c r="I373" s="41" t="s">
        <v>1</v>
      </c>
      <c r="J373" s="42" t="s">
        <v>1</v>
      </c>
      <c r="K373" s="40" t="s">
        <v>1</v>
      </c>
      <c r="L373" s="41" t="s">
        <v>1</v>
      </c>
      <c r="M373" s="42" t="s">
        <v>1</v>
      </c>
    </row>
    <row r="374" spans="1:13" ht="12.75">
      <c r="A374" s="114">
        <v>1</v>
      </c>
      <c r="B374"/>
      <c r="C374" s="31" t="s">
        <v>614</v>
      </c>
      <c r="D374"/>
      <c r="E374" s="114">
        <v>1</v>
      </c>
      <c r="F374"/>
      <c r="G374"/>
      <c r="H374" s="361"/>
      <c r="I374" s="362"/>
      <c r="J374" s="362">
        <f>88229-842</f>
        <v>87387</v>
      </c>
      <c r="K374" s="361"/>
      <c r="L374" s="362"/>
      <c r="M374" s="362">
        <v>81551</v>
      </c>
    </row>
    <row r="375" spans="1:13" ht="12.75">
      <c r="A375" s="114"/>
      <c r="B375"/>
      <c r="C375" s="31"/>
      <c r="D375"/>
      <c r="E375" s="114"/>
      <c r="F375"/>
      <c r="G375"/>
      <c r="H375" s="361"/>
      <c r="I375" s="362"/>
      <c r="J375" s="362"/>
      <c r="K375" s="361"/>
      <c r="L375" s="362"/>
      <c r="M375" s="362"/>
    </row>
    <row r="376" spans="1:13" ht="12.75">
      <c r="A376" s="114">
        <v>2</v>
      </c>
      <c r="B376"/>
      <c r="C376" s="32" t="s">
        <v>269</v>
      </c>
      <c r="D376"/>
      <c r="E376" s="114">
        <v>2</v>
      </c>
      <c r="F376" s="32"/>
      <c r="G376" s="32"/>
      <c r="H376" s="363"/>
      <c r="I376" s="363"/>
      <c r="J376" s="363">
        <v>0</v>
      </c>
      <c r="K376" s="363"/>
      <c r="L376" s="363"/>
      <c r="M376" s="363">
        <v>0</v>
      </c>
    </row>
    <row r="377" spans="1:13" ht="12.75">
      <c r="A377" s="114">
        <v>3</v>
      </c>
      <c r="B377"/>
      <c r="C377" s="32" t="s">
        <v>212</v>
      </c>
      <c r="D377"/>
      <c r="E377" s="114">
        <v>3</v>
      </c>
      <c r="F377" s="32"/>
      <c r="G377" s="32"/>
      <c r="H377" s="363">
        <v>0</v>
      </c>
      <c r="I377" s="363"/>
      <c r="J377" s="363">
        <v>0</v>
      </c>
      <c r="K377" s="363"/>
      <c r="L377" s="363"/>
      <c r="M377" s="363">
        <v>0</v>
      </c>
    </row>
    <row r="378" spans="1:13" ht="12.75">
      <c r="A378" s="114">
        <v>4</v>
      </c>
      <c r="B378"/>
      <c r="C378" s="32" t="s">
        <v>213</v>
      </c>
      <c r="D378"/>
      <c r="E378" s="114">
        <v>4</v>
      </c>
      <c r="F378" s="32"/>
      <c r="G378" s="32"/>
      <c r="H378" s="363">
        <v>0</v>
      </c>
      <c r="I378" s="363"/>
      <c r="J378" s="363"/>
      <c r="K378" s="363"/>
      <c r="L378" s="363"/>
      <c r="M378" s="363"/>
    </row>
    <row r="379" spans="1:13" ht="12.75">
      <c r="A379" s="114"/>
      <c r="B379"/>
      <c r="C379" s="32"/>
      <c r="D379"/>
      <c r="E379" s="114"/>
      <c r="F379" s="109" t="s">
        <v>1</v>
      </c>
      <c r="G379" s="109"/>
      <c r="H379" s="109"/>
      <c r="I379" s="41" t="s">
        <v>1</v>
      </c>
      <c r="J379" s="42"/>
      <c r="K379" s="109"/>
      <c r="L379" s="41"/>
      <c r="M379" s="42"/>
    </row>
    <row r="380" spans="1:13" ht="12.75">
      <c r="A380" s="114">
        <v>9</v>
      </c>
      <c r="B380"/>
      <c r="C380" s="26" t="s">
        <v>193</v>
      </c>
      <c r="D380"/>
      <c r="E380" s="114">
        <v>9</v>
      </c>
      <c r="F380" s="32"/>
      <c r="G380" s="32"/>
      <c r="H380" s="363">
        <v>0</v>
      </c>
      <c r="I380" s="363"/>
      <c r="J380" s="363">
        <f>SUM(J374:J378)</f>
        <v>87387</v>
      </c>
      <c r="K380" s="363"/>
      <c r="L380" s="363"/>
      <c r="M380" s="363">
        <f>SUM(M374:M378)</f>
        <v>81551</v>
      </c>
    </row>
    <row r="381" spans="1:13" ht="12">
      <c r="A381" s="114"/>
      <c r="C381" s="32"/>
      <c r="E381" s="114"/>
      <c r="F381" s="32"/>
      <c r="G381" s="32"/>
      <c r="H381" s="2"/>
      <c r="I381" s="2"/>
      <c r="J381" s="2"/>
      <c r="K381" s="2"/>
      <c r="L381" s="2"/>
      <c r="M381" s="2"/>
    </row>
    <row r="382" spans="1:13" ht="12">
      <c r="A382" s="114"/>
      <c r="C382" s="32"/>
      <c r="E382" s="114"/>
      <c r="F382" s="32"/>
      <c r="G382" s="32"/>
      <c r="H382" s="2"/>
      <c r="I382" s="2"/>
      <c r="J382" s="2"/>
      <c r="K382" s="2"/>
      <c r="L382" s="2"/>
      <c r="M382" s="2"/>
    </row>
    <row r="383" spans="1:13" ht="12">
      <c r="A383" s="114"/>
      <c r="C383" s="32"/>
      <c r="E383" s="114"/>
      <c r="F383" s="32"/>
      <c r="G383" s="32"/>
      <c r="H383" s="2"/>
      <c r="I383" s="2"/>
      <c r="J383" s="2"/>
      <c r="K383" s="2"/>
      <c r="L383" s="2"/>
      <c r="M383" s="2"/>
    </row>
    <row r="384" spans="1:13" ht="12">
      <c r="A384" s="114"/>
      <c r="C384" s="32"/>
      <c r="E384" s="114"/>
      <c r="F384" s="32"/>
      <c r="G384" s="32"/>
      <c r="H384" s="2"/>
      <c r="I384" s="2"/>
      <c r="J384" s="2"/>
      <c r="K384" s="2"/>
      <c r="L384" s="2"/>
      <c r="M384" s="2"/>
    </row>
    <row r="385" spans="1:13" ht="12">
      <c r="A385" s="114"/>
      <c r="C385" s="32"/>
      <c r="E385" s="114"/>
      <c r="F385" s="32"/>
      <c r="G385" s="32"/>
      <c r="H385" s="2"/>
      <c r="I385" s="2"/>
      <c r="J385" s="2"/>
      <c r="K385" s="2"/>
      <c r="L385" s="2"/>
      <c r="M385" s="2"/>
    </row>
    <row r="386" spans="3:13" ht="12">
      <c r="C386" s="32"/>
      <c r="F386" s="109"/>
      <c r="G386" s="109"/>
      <c r="H386" s="109"/>
      <c r="I386" s="41"/>
      <c r="J386" s="42"/>
      <c r="K386" s="109"/>
      <c r="L386" s="41"/>
      <c r="M386" s="42"/>
    </row>
    <row r="387" spans="1:13" ht="12">
      <c r="A387" s="114"/>
      <c r="E387" s="114"/>
      <c r="H387" s="84"/>
      <c r="I387" s="81"/>
      <c r="J387" s="84"/>
      <c r="K387" s="84"/>
      <c r="L387" s="81"/>
      <c r="M387" s="84"/>
    </row>
    <row r="388" spans="1:13" ht="12">
      <c r="A388" s="114"/>
      <c r="C388" s="32"/>
      <c r="E388" s="114"/>
      <c r="F388" s="109"/>
      <c r="G388" s="109"/>
      <c r="H388" s="109"/>
      <c r="I388" s="41"/>
      <c r="J388" s="42"/>
      <c r="K388" s="109"/>
      <c r="L388" s="41"/>
      <c r="M388" s="42"/>
    </row>
    <row r="389" spans="1:13" ht="12">
      <c r="A389" s="114"/>
      <c r="C389" s="31"/>
      <c r="E389" s="114"/>
      <c r="H389" s="84"/>
      <c r="I389" s="81"/>
      <c r="J389" s="84"/>
      <c r="K389" s="84"/>
      <c r="L389" s="81"/>
      <c r="M389" s="84"/>
    </row>
    <row r="390" spans="1:13" ht="12">
      <c r="A390" s="114"/>
      <c r="C390" s="31"/>
      <c r="E390" s="114"/>
      <c r="H390" s="84"/>
      <c r="I390" s="81"/>
      <c r="J390" s="84"/>
      <c r="K390" s="84"/>
      <c r="L390" s="81"/>
      <c r="M390" s="84"/>
    </row>
    <row r="391" spans="1:13" ht="12">
      <c r="A391" s="114"/>
      <c r="C391" s="31"/>
      <c r="E391" s="114"/>
      <c r="H391" s="84"/>
      <c r="I391" s="81"/>
      <c r="J391" s="81"/>
      <c r="K391" s="84"/>
      <c r="L391" s="81"/>
      <c r="M391" s="81"/>
    </row>
    <row r="392" spans="1:13" ht="12">
      <c r="A392" s="114"/>
      <c r="E392" s="114"/>
      <c r="H392" s="84"/>
      <c r="I392" s="81"/>
      <c r="J392" s="81"/>
      <c r="K392" s="84"/>
      <c r="L392" s="81"/>
      <c r="M392" s="81"/>
    </row>
    <row r="393" spans="1:13" ht="12">
      <c r="A393" s="114"/>
      <c r="E393" s="114"/>
      <c r="H393" s="84"/>
      <c r="I393" s="84"/>
      <c r="J393" s="84"/>
      <c r="K393" s="84"/>
      <c r="L393" s="84"/>
      <c r="M393" s="84"/>
    </row>
    <row r="394" spans="1:13" ht="12">
      <c r="A394" s="114"/>
      <c r="E394" s="114"/>
      <c r="H394" s="84"/>
      <c r="I394" s="84"/>
      <c r="J394" s="84"/>
      <c r="K394" s="84"/>
      <c r="L394" s="84"/>
      <c r="M394" s="84"/>
    </row>
    <row r="395" spans="1:13" ht="12">
      <c r="A395" s="114"/>
      <c r="C395" s="115"/>
      <c r="E395" s="114"/>
      <c r="F395" s="109"/>
      <c r="G395" s="109"/>
      <c r="H395" s="109"/>
      <c r="I395" s="41"/>
      <c r="J395" s="42"/>
      <c r="K395" s="109"/>
      <c r="L395" s="41"/>
      <c r="M395" s="42"/>
    </row>
    <row r="396" spans="1:13" ht="12">
      <c r="A396" s="114"/>
      <c r="C396" s="115"/>
      <c r="E396" s="114"/>
      <c r="H396" s="84"/>
      <c r="I396" s="81"/>
      <c r="J396" s="84"/>
      <c r="K396" s="84"/>
      <c r="L396" s="81"/>
      <c r="M396" s="84"/>
    </row>
    <row r="397" spans="1:13" ht="12">
      <c r="A397" s="117"/>
      <c r="C397" s="31"/>
      <c r="E397" s="69"/>
      <c r="F397" s="109"/>
      <c r="G397" s="109"/>
      <c r="H397" s="109"/>
      <c r="I397" s="41"/>
      <c r="J397" s="42"/>
      <c r="K397" s="109"/>
      <c r="L397" s="41"/>
      <c r="M397" s="42"/>
    </row>
    <row r="399" spans="1:13" ht="12">
      <c r="A399" s="38" t="str">
        <f>$A$36</f>
        <v>Institution No.:  GFC</v>
      </c>
      <c r="B399" s="65"/>
      <c r="C399" s="65"/>
      <c r="D399" s="65"/>
      <c r="E399" s="70"/>
      <c r="F399" s="65"/>
      <c r="G399" s="65"/>
      <c r="H399" s="65"/>
      <c r="I399" s="71"/>
      <c r="J399" s="72"/>
      <c r="K399" s="65"/>
      <c r="L399" s="71"/>
      <c r="M399" s="37" t="s">
        <v>81</v>
      </c>
    </row>
    <row r="400" spans="1:13" s="65" customFormat="1" ht="12">
      <c r="A400" s="400" t="s">
        <v>207</v>
      </c>
      <c r="B400" s="400"/>
      <c r="C400" s="400"/>
      <c r="D400" s="400"/>
      <c r="E400" s="400"/>
      <c r="F400" s="400"/>
      <c r="G400" s="400"/>
      <c r="H400" s="400"/>
      <c r="I400" s="400"/>
      <c r="J400" s="400"/>
      <c r="K400" s="400"/>
      <c r="L400" s="400"/>
      <c r="M400" s="400"/>
    </row>
    <row r="401" spans="1:13" ht="12.75" customHeight="1">
      <c r="A401" s="38" t="s">
        <v>551</v>
      </c>
      <c r="C401" s="26" t="s">
        <v>455</v>
      </c>
      <c r="J401" s="74"/>
      <c r="L401" s="36"/>
      <c r="M401" s="39" t="str">
        <f>$M$3</f>
        <v>Date: 10/1/2009</v>
      </c>
    </row>
    <row r="402" spans="1:13" ht="12">
      <c r="A402" s="40" t="s">
        <v>1</v>
      </c>
      <c r="B402" s="40" t="s">
        <v>1</v>
      </c>
      <c r="C402" s="40" t="s">
        <v>1</v>
      </c>
      <c r="D402" s="40" t="s">
        <v>1</v>
      </c>
      <c r="E402" s="40" t="s">
        <v>1</v>
      </c>
      <c r="F402" s="40" t="s">
        <v>1</v>
      </c>
      <c r="G402" s="40"/>
      <c r="H402" s="40"/>
      <c r="I402" s="41" t="s">
        <v>1</v>
      </c>
      <c r="J402" s="42" t="s">
        <v>1</v>
      </c>
      <c r="K402" s="40" t="s">
        <v>1</v>
      </c>
      <c r="L402" s="41" t="s">
        <v>1</v>
      </c>
      <c r="M402" s="42" t="s">
        <v>1</v>
      </c>
    </row>
    <row r="403" spans="1:13" ht="12">
      <c r="A403" s="43" t="s">
        <v>2</v>
      </c>
      <c r="E403" s="43" t="s">
        <v>2</v>
      </c>
      <c r="F403" s="44"/>
      <c r="G403" s="44"/>
      <c r="H403" s="44" t="s">
        <v>240</v>
      </c>
      <c r="I403" s="45"/>
      <c r="J403" s="46" t="s">
        <v>247</v>
      </c>
      <c r="K403" s="44"/>
      <c r="L403" s="45"/>
      <c r="M403" s="46" t="s">
        <v>576</v>
      </c>
    </row>
    <row r="404" spans="1:13" ht="12">
      <c r="A404" s="43" t="s">
        <v>4</v>
      </c>
      <c r="C404" s="47" t="s">
        <v>20</v>
      </c>
      <c r="E404" s="43" t="s">
        <v>4</v>
      </c>
      <c r="F404" s="44"/>
      <c r="G404" s="44"/>
      <c r="H404" s="46" t="s">
        <v>7</v>
      </c>
      <c r="I404" s="45"/>
      <c r="J404" s="46" t="s">
        <v>7</v>
      </c>
      <c r="K404" s="44"/>
      <c r="L404" s="45"/>
      <c r="M404" s="46" t="s">
        <v>8</v>
      </c>
    </row>
    <row r="405" spans="1:13" ht="12">
      <c r="A405" s="40" t="s">
        <v>1</v>
      </c>
      <c r="B405" s="40" t="s">
        <v>1</v>
      </c>
      <c r="C405" s="40" t="s">
        <v>1</v>
      </c>
      <c r="D405" s="40" t="s">
        <v>1</v>
      </c>
      <c r="E405" s="40" t="s">
        <v>1</v>
      </c>
      <c r="F405" s="40" t="s">
        <v>1</v>
      </c>
      <c r="G405" s="40"/>
      <c r="H405" s="40"/>
      <c r="I405" s="41" t="s">
        <v>1</v>
      </c>
      <c r="J405" s="42" t="s">
        <v>1</v>
      </c>
      <c r="K405" s="40" t="s">
        <v>1</v>
      </c>
      <c r="L405" s="41" t="s">
        <v>1</v>
      </c>
      <c r="M405" s="42" t="s">
        <v>1</v>
      </c>
    </row>
    <row r="406" spans="1:13" ht="12">
      <c r="A406" s="118">
        <v>1</v>
      </c>
      <c r="C406" s="31" t="s">
        <v>583</v>
      </c>
      <c r="E406" s="118">
        <v>1</v>
      </c>
      <c r="F406" s="32"/>
      <c r="G406" s="32"/>
      <c r="H406" s="32"/>
      <c r="I406" s="33"/>
      <c r="K406" s="32"/>
      <c r="L406" s="33"/>
      <c r="M406" s="34"/>
    </row>
    <row r="407" spans="1:13" ht="12">
      <c r="A407" s="118">
        <f aca="true" t="shared" si="7" ref="A407:A429">(A406+1)</f>
        <v>2</v>
      </c>
      <c r="C407" s="31" t="s">
        <v>612</v>
      </c>
      <c r="E407" s="118">
        <f aca="true" t="shared" si="8" ref="E407:E429">(E406+1)</f>
        <v>2</v>
      </c>
      <c r="F407" s="32"/>
      <c r="G407" s="32"/>
      <c r="H407" s="119">
        <v>13461324</v>
      </c>
      <c r="I407" s="119"/>
      <c r="J407" s="119">
        <v>13723576</v>
      </c>
      <c r="K407" s="119"/>
      <c r="L407" s="119"/>
      <c r="M407" s="119">
        <v>9995029</v>
      </c>
    </row>
    <row r="408" spans="1:13" ht="12">
      <c r="A408" s="118">
        <f t="shared" si="7"/>
        <v>3</v>
      </c>
      <c r="C408" s="31" t="s">
        <v>613</v>
      </c>
      <c r="E408" s="118">
        <f t="shared" si="8"/>
        <v>3</v>
      </c>
      <c r="F408" s="32"/>
      <c r="G408" s="32"/>
      <c r="H408" s="119"/>
      <c r="I408" s="119"/>
      <c r="J408" s="119">
        <v>-1834513</v>
      </c>
      <c r="K408" s="119"/>
      <c r="L408" s="119"/>
      <c r="M408" s="119"/>
    </row>
    <row r="409" spans="1:13" ht="12">
      <c r="A409" s="118">
        <f t="shared" si="7"/>
        <v>4</v>
      </c>
      <c r="C409" s="31"/>
      <c r="E409" s="118">
        <f t="shared" si="8"/>
        <v>4</v>
      </c>
      <c r="F409" s="32"/>
      <c r="G409" s="32"/>
      <c r="H409" s="119"/>
      <c r="I409" s="119"/>
      <c r="J409" s="119"/>
      <c r="K409" s="119"/>
      <c r="L409" s="119"/>
      <c r="M409" s="119"/>
    </row>
    <row r="410" spans="1:13" ht="12">
      <c r="A410" s="118">
        <f>(A409+1)</f>
        <v>5</v>
      </c>
      <c r="C410" s="32"/>
      <c r="E410" s="118">
        <f>(E409+1)</f>
        <v>5</v>
      </c>
      <c r="F410" s="32"/>
      <c r="G410" s="32"/>
      <c r="H410" s="119"/>
      <c r="I410" s="119"/>
      <c r="J410" s="119"/>
      <c r="K410" s="119"/>
      <c r="L410" s="119"/>
      <c r="M410" s="119"/>
    </row>
    <row r="411" spans="1:13" ht="12">
      <c r="A411" s="118">
        <f t="shared" si="7"/>
        <v>6</v>
      </c>
      <c r="C411" s="32"/>
      <c r="E411" s="118">
        <f t="shared" si="8"/>
        <v>6</v>
      </c>
      <c r="F411" s="32"/>
      <c r="G411" s="32"/>
      <c r="H411" s="119"/>
      <c r="I411" s="119"/>
      <c r="J411" s="119"/>
      <c r="K411" s="119"/>
      <c r="L411" s="119"/>
      <c r="M411" s="119"/>
    </row>
    <row r="412" spans="1:13" ht="12">
      <c r="A412" s="118">
        <f>(A411+1)</f>
        <v>7</v>
      </c>
      <c r="C412" s="31"/>
      <c r="E412" s="118">
        <f>(E411+1)</f>
        <v>7</v>
      </c>
      <c r="F412" s="32"/>
      <c r="G412" s="32"/>
      <c r="H412" s="119"/>
      <c r="I412" s="119"/>
      <c r="J412" s="119"/>
      <c r="K412" s="119"/>
      <c r="L412" s="119"/>
      <c r="M412" s="119"/>
    </row>
    <row r="413" spans="1:13" ht="12">
      <c r="A413" s="118">
        <f>(A412+1)</f>
        <v>8</v>
      </c>
      <c r="C413" s="32"/>
      <c r="E413" s="118">
        <f>(E412+1)</f>
        <v>8</v>
      </c>
      <c r="F413" s="32"/>
      <c r="G413" s="32"/>
      <c r="H413" s="119">
        <v>0</v>
      </c>
      <c r="I413" s="119"/>
      <c r="J413" s="119">
        <v>0</v>
      </c>
      <c r="K413" s="119"/>
      <c r="L413" s="119"/>
      <c r="M413" s="119"/>
    </row>
    <row r="414" spans="1:13" ht="12">
      <c r="A414" s="118">
        <f t="shared" si="7"/>
        <v>9</v>
      </c>
      <c r="C414" s="32"/>
      <c r="E414" s="118">
        <f t="shared" si="8"/>
        <v>9</v>
      </c>
      <c r="F414" s="32"/>
      <c r="G414" s="32"/>
      <c r="H414" s="119"/>
      <c r="I414" s="119"/>
      <c r="J414" s="119"/>
      <c r="K414" s="119"/>
      <c r="L414" s="119"/>
      <c r="M414" s="119"/>
    </row>
    <row r="415" spans="1:13" ht="12">
      <c r="A415" s="118">
        <f t="shared" si="7"/>
        <v>10</v>
      </c>
      <c r="E415" s="118">
        <f t="shared" si="8"/>
        <v>10</v>
      </c>
      <c r="F415" s="32"/>
      <c r="G415" s="32"/>
      <c r="H415" s="119"/>
      <c r="I415" s="119"/>
      <c r="J415" s="119"/>
      <c r="K415" s="119"/>
      <c r="L415" s="119"/>
      <c r="M415" s="119"/>
    </row>
    <row r="416" spans="1:13" ht="12">
      <c r="A416" s="118">
        <f t="shared" si="7"/>
        <v>11</v>
      </c>
      <c r="E416" s="118">
        <f t="shared" si="8"/>
        <v>11</v>
      </c>
      <c r="F416" s="32"/>
      <c r="G416" s="32"/>
      <c r="H416" s="119"/>
      <c r="I416" s="119"/>
      <c r="J416" s="119"/>
      <c r="K416" s="119"/>
      <c r="L416" s="119"/>
      <c r="M416" s="119"/>
    </row>
    <row r="417" spans="1:13" ht="12">
      <c r="A417" s="118">
        <f t="shared" si="7"/>
        <v>12</v>
      </c>
      <c r="E417" s="118">
        <f t="shared" si="8"/>
        <v>12</v>
      </c>
      <c r="F417" s="32"/>
      <c r="G417" s="32"/>
      <c r="H417" s="119"/>
      <c r="I417" s="119"/>
      <c r="J417" s="119"/>
      <c r="K417" s="119"/>
      <c r="L417" s="119"/>
      <c r="M417" s="119"/>
    </row>
    <row r="418" spans="1:13" ht="12">
      <c r="A418" s="118">
        <f t="shared" si="7"/>
        <v>13</v>
      </c>
      <c r="C418" s="32"/>
      <c r="E418" s="118">
        <f t="shared" si="8"/>
        <v>13</v>
      </c>
      <c r="F418" s="32"/>
      <c r="G418" s="32"/>
      <c r="H418" s="119"/>
      <c r="I418" s="119"/>
      <c r="J418" s="119"/>
      <c r="K418" s="119"/>
      <c r="L418" s="119"/>
      <c r="M418" s="119"/>
    </row>
    <row r="419" spans="1:13" ht="12">
      <c r="A419" s="118">
        <f t="shared" si="7"/>
        <v>14</v>
      </c>
      <c r="C419" s="32" t="s">
        <v>183</v>
      </c>
      <c r="E419" s="118">
        <f t="shared" si="8"/>
        <v>14</v>
      </c>
      <c r="F419" s="32"/>
      <c r="G419" s="32"/>
      <c r="H419" s="119"/>
      <c r="I419" s="119"/>
      <c r="J419" s="119"/>
      <c r="K419" s="119"/>
      <c r="L419" s="119"/>
      <c r="M419" s="119"/>
    </row>
    <row r="420" spans="1:13" ht="12">
      <c r="A420" s="118">
        <f t="shared" si="7"/>
        <v>15</v>
      </c>
      <c r="C420" s="32"/>
      <c r="E420" s="118">
        <f t="shared" si="8"/>
        <v>15</v>
      </c>
      <c r="F420" s="32"/>
      <c r="G420" s="32"/>
      <c r="H420" s="119">
        <v>0</v>
      </c>
      <c r="I420" s="119"/>
      <c r="J420" s="119">
        <v>0</v>
      </c>
      <c r="K420" s="119"/>
      <c r="L420" s="119"/>
      <c r="M420" s="119"/>
    </row>
    <row r="421" spans="1:13" ht="12">
      <c r="A421" s="118">
        <f t="shared" si="7"/>
        <v>16</v>
      </c>
      <c r="C421" s="32"/>
      <c r="E421" s="118">
        <f t="shared" si="8"/>
        <v>16</v>
      </c>
      <c r="F421" s="32"/>
      <c r="G421" s="32"/>
      <c r="H421" s="119"/>
      <c r="I421" s="119"/>
      <c r="J421" s="119"/>
      <c r="K421" s="119"/>
      <c r="L421" s="119"/>
      <c r="M421" s="119"/>
    </row>
    <row r="422" spans="1:13" ht="12">
      <c r="A422" s="118">
        <f t="shared" si="7"/>
        <v>17</v>
      </c>
      <c r="C422" s="32"/>
      <c r="E422" s="118">
        <f t="shared" si="8"/>
        <v>17</v>
      </c>
      <c r="F422" s="32"/>
      <c r="G422" s="32"/>
      <c r="H422" s="119"/>
      <c r="I422" s="119"/>
      <c r="J422" s="119"/>
      <c r="K422" s="119"/>
      <c r="L422" s="119"/>
      <c r="M422" s="119"/>
    </row>
    <row r="423" spans="1:13" ht="12">
      <c r="A423" s="118">
        <f t="shared" si="7"/>
        <v>18</v>
      </c>
      <c r="C423" s="32"/>
      <c r="E423" s="118">
        <f t="shared" si="8"/>
        <v>18</v>
      </c>
      <c r="F423" s="32"/>
      <c r="G423" s="32"/>
      <c r="H423" s="119"/>
      <c r="I423" s="119"/>
      <c r="J423" s="119"/>
      <c r="K423" s="119"/>
      <c r="L423" s="119"/>
      <c r="M423" s="119"/>
    </row>
    <row r="424" spans="1:13" ht="12">
      <c r="A424" s="118">
        <f t="shared" si="7"/>
        <v>19</v>
      </c>
      <c r="C424" s="32"/>
      <c r="E424" s="118">
        <f t="shared" si="8"/>
        <v>19</v>
      </c>
      <c r="F424" s="32"/>
      <c r="G424" s="32"/>
      <c r="H424" s="119"/>
      <c r="I424" s="119"/>
      <c r="J424" s="119"/>
      <c r="K424" s="119"/>
      <c r="L424" s="119"/>
      <c r="M424" s="119"/>
    </row>
    <row r="425" spans="1:13" ht="12">
      <c r="A425" s="118">
        <f t="shared" si="7"/>
        <v>20</v>
      </c>
      <c r="C425" s="32"/>
      <c r="E425" s="118">
        <f t="shared" si="8"/>
        <v>20</v>
      </c>
      <c r="F425" s="32"/>
      <c r="G425" s="32"/>
      <c r="H425" s="119"/>
      <c r="I425" s="119"/>
      <c r="J425" s="119"/>
      <c r="K425" s="119"/>
      <c r="L425" s="119"/>
      <c r="M425" s="119"/>
    </row>
    <row r="426" spans="1:13" ht="12">
      <c r="A426" s="118">
        <f t="shared" si="7"/>
        <v>21</v>
      </c>
      <c r="C426" s="32"/>
      <c r="E426" s="118">
        <f t="shared" si="8"/>
        <v>21</v>
      </c>
      <c r="F426" s="32"/>
      <c r="G426" s="32"/>
      <c r="H426" s="119"/>
      <c r="I426" s="119"/>
      <c r="J426" s="119"/>
      <c r="K426" s="119"/>
      <c r="L426" s="119"/>
      <c r="M426" s="119"/>
    </row>
    <row r="427" spans="1:13" ht="12">
      <c r="A427" s="118">
        <f t="shared" si="7"/>
        <v>22</v>
      </c>
      <c r="C427" s="32"/>
      <c r="E427" s="118">
        <f t="shared" si="8"/>
        <v>22</v>
      </c>
      <c r="F427" s="32"/>
      <c r="G427" s="32"/>
      <c r="H427" s="119"/>
      <c r="I427" s="119"/>
      <c r="J427" s="119"/>
      <c r="K427" s="119"/>
      <c r="L427" s="119"/>
      <c r="M427" s="119"/>
    </row>
    <row r="428" spans="1:13" ht="12">
      <c r="A428" s="118">
        <f t="shared" si="7"/>
        <v>23</v>
      </c>
      <c r="C428" s="32"/>
      <c r="E428" s="118">
        <f t="shared" si="8"/>
        <v>23</v>
      </c>
      <c r="F428" s="32"/>
      <c r="G428" s="32"/>
      <c r="H428" s="119"/>
      <c r="I428" s="119"/>
      <c r="J428" s="119"/>
      <c r="K428" s="119"/>
      <c r="L428" s="119"/>
      <c r="M428" s="119"/>
    </row>
    <row r="429" spans="1:13" ht="12">
      <c r="A429" s="118">
        <f t="shared" si="7"/>
        <v>24</v>
      </c>
      <c r="C429" s="32"/>
      <c r="E429" s="118">
        <f t="shared" si="8"/>
        <v>24</v>
      </c>
      <c r="F429" s="32"/>
      <c r="G429" s="32"/>
      <c r="H429" s="119"/>
      <c r="I429" s="119"/>
      <c r="J429" s="119"/>
      <c r="K429" s="119"/>
      <c r="L429" s="119"/>
      <c r="M429" s="119"/>
    </row>
    <row r="430" spans="1:13" ht="12">
      <c r="A430" s="120"/>
      <c r="E430" s="120"/>
      <c r="F430" s="109" t="s">
        <v>1</v>
      </c>
      <c r="G430" s="109"/>
      <c r="H430" s="109"/>
      <c r="I430" s="41" t="s">
        <v>1</v>
      </c>
      <c r="J430" s="42"/>
      <c r="K430" s="109"/>
      <c r="L430" s="41"/>
      <c r="M430" s="42"/>
    </row>
    <row r="431" spans="1:13" ht="12">
      <c r="A431" s="118">
        <f>(A429+1)</f>
        <v>25</v>
      </c>
      <c r="C431" s="31" t="s">
        <v>184</v>
      </c>
      <c r="E431" s="118">
        <f>(E429+1)</f>
        <v>25</v>
      </c>
      <c r="H431" s="121">
        <f>SUM(H406:H429)</f>
        <v>13461324</v>
      </c>
      <c r="I431" s="122"/>
      <c r="J431" s="121">
        <f>SUM(J406:J429)</f>
        <v>11889063</v>
      </c>
      <c r="K431" s="121"/>
      <c r="L431" s="122"/>
      <c r="M431" s="121">
        <f>SUM(M406:M429)</f>
        <v>9995029</v>
      </c>
    </row>
    <row r="432" spans="1:13" ht="12">
      <c r="A432" s="118"/>
      <c r="C432" s="31"/>
      <c r="E432" s="118"/>
      <c r="F432" s="109" t="s">
        <v>1</v>
      </c>
      <c r="G432" s="109"/>
      <c r="H432" s="109"/>
      <c r="I432" s="41" t="s">
        <v>1</v>
      </c>
      <c r="J432" s="42"/>
      <c r="K432" s="109"/>
      <c r="L432" s="41"/>
      <c r="M432" s="42"/>
    </row>
    <row r="433" ht="12">
      <c r="E433" s="69"/>
    </row>
    <row r="434" ht="12">
      <c r="E434" s="69"/>
    </row>
    <row r="436" spans="1:13" ht="12">
      <c r="A436" s="38" t="str">
        <f>$A$36</f>
        <v>Institution No.:  GFC</v>
      </c>
      <c r="B436" s="65"/>
      <c r="C436" s="65"/>
      <c r="D436" s="65"/>
      <c r="E436" s="70"/>
      <c r="F436" s="65"/>
      <c r="G436" s="65"/>
      <c r="H436" s="65"/>
      <c r="I436" s="71"/>
      <c r="J436" s="72"/>
      <c r="K436" s="65"/>
      <c r="L436" s="71"/>
      <c r="M436" s="37" t="s">
        <v>185</v>
      </c>
    </row>
    <row r="437" spans="1:13" ht="12">
      <c r="A437" s="400" t="s">
        <v>242</v>
      </c>
      <c r="B437" s="400"/>
      <c r="C437" s="400"/>
      <c r="D437" s="400"/>
      <c r="E437" s="400"/>
      <c r="F437" s="400"/>
      <c r="G437" s="400"/>
      <c r="H437" s="400"/>
      <c r="I437" s="400"/>
      <c r="J437" s="400"/>
      <c r="K437" s="400"/>
      <c r="L437" s="400"/>
      <c r="M437" s="400"/>
    </row>
    <row r="438" spans="1:13" ht="12">
      <c r="A438" s="38" t="s">
        <v>551</v>
      </c>
      <c r="C438" s="26" t="s">
        <v>455</v>
      </c>
      <c r="J438" s="74"/>
      <c r="L438" s="36"/>
      <c r="M438" s="39" t="str">
        <f>$M$3</f>
        <v>Date: 10/1/2009</v>
      </c>
    </row>
    <row r="439" spans="1:13" ht="12">
      <c r="A439" s="40" t="s">
        <v>1</v>
      </c>
      <c r="B439" s="40" t="s">
        <v>1</v>
      </c>
      <c r="C439" s="40" t="s">
        <v>1</v>
      </c>
      <c r="D439" s="40" t="s">
        <v>1</v>
      </c>
      <c r="E439" s="40" t="s">
        <v>1</v>
      </c>
      <c r="F439" s="40" t="s">
        <v>1</v>
      </c>
      <c r="G439" s="40"/>
      <c r="H439" s="40"/>
      <c r="I439" s="41" t="s">
        <v>1</v>
      </c>
      <c r="J439" s="42" t="s">
        <v>1</v>
      </c>
      <c r="K439" s="40" t="s">
        <v>1</v>
      </c>
      <c r="L439" s="41" t="s">
        <v>1</v>
      </c>
      <c r="M439" s="42" t="s">
        <v>1</v>
      </c>
    </row>
    <row r="440" spans="1:13" ht="12">
      <c r="A440" s="43" t="s">
        <v>2</v>
      </c>
      <c r="E440" s="43" t="s">
        <v>2</v>
      </c>
      <c r="F440" s="44"/>
      <c r="G440" s="44"/>
      <c r="H440" s="44" t="s">
        <v>240</v>
      </c>
      <c r="I440" s="45"/>
      <c r="J440" s="46" t="s">
        <v>247</v>
      </c>
      <c r="K440" s="44"/>
      <c r="L440" s="45"/>
      <c r="M440" s="46" t="s">
        <v>576</v>
      </c>
    </row>
    <row r="441" spans="1:13" ht="12">
      <c r="A441" s="43" t="s">
        <v>4</v>
      </c>
      <c r="C441" s="47" t="s">
        <v>20</v>
      </c>
      <c r="E441" s="43" t="s">
        <v>4</v>
      </c>
      <c r="F441" s="44"/>
      <c r="G441" s="44"/>
      <c r="H441" s="46" t="s">
        <v>7</v>
      </c>
      <c r="I441" s="45"/>
      <c r="J441" s="46" t="s">
        <v>7</v>
      </c>
      <c r="K441" s="44"/>
      <c r="L441" s="45"/>
      <c r="M441" s="46" t="s">
        <v>8</v>
      </c>
    </row>
    <row r="442" spans="1:13" ht="12">
      <c r="A442" s="40" t="s">
        <v>1</v>
      </c>
      <c r="B442" s="40" t="s">
        <v>1</v>
      </c>
      <c r="C442" s="40" t="s">
        <v>1</v>
      </c>
      <c r="D442" s="40" t="s">
        <v>1</v>
      </c>
      <c r="E442" s="40" t="s">
        <v>1</v>
      </c>
      <c r="F442" s="40" t="s">
        <v>1</v>
      </c>
      <c r="G442" s="40"/>
      <c r="H442" s="40"/>
      <c r="I442" s="41" t="s">
        <v>1</v>
      </c>
      <c r="J442" s="42" t="s">
        <v>1</v>
      </c>
      <c r="K442" s="40" t="s">
        <v>1</v>
      </c>
      <c r="L442" s="41" t="s">
        <v>1</v>
      </c>
      <c r="M442" s="42" t="s">
        <v>1</v>
      </c>
    </row>
    <row r="443" spans="1:13" ht="12">
      <c r="A443" s="26">
        <v>1</v>
      </c>
      <c r="C443" s="26" t="s">
        <v>255</v>
      </c>
      <c r="E443" s="26">
        <v>1</v>
      </c>
      <c r="H443" s="123">
        <v>8268512</v>
      </c>
      <c r="I443" s="123"/>
      <c r="J443" s="123">
        <v>6120042</v>
      </c>
      <c r="K443" s="123"/>
      <c r="L443" s="123"/>
      <c r="M443" s="123">
        <v>5062911</v>
      </c>
    </row>
    <row r="444" ht="12">
      <c r="E444" s="69"/>
    </row>
    <row r="445" ht="12">
      <c r="E445" s="69"/>
    </row>
    <row r="446" ht="12">
      <c r="E446" s="69"/>
    </row>
    <row r="447" ht="12">
      <c r="E447" s="69"/>
    </row>
    <row r="448" ht="12">
      <c r="E448" s="69"/>
    </row>
    <row r="449" ht="12">
      <c r="E449" s="69"/>
    </row>
    <row r="450" ht="12">
      <c r="E450" s="69"/>
    </row>
    <row r="451" ht="12">
      <c r="E451" s="69"/>
    </row>
    <row r="452" ht="12">
      <c r="E452" s="69"/>
    </row>
    <row r="453" ht="12">
      <c r="E453" s="69"/>
    </row>
    <row r="454" ht="12">
      <c r="E454" s="69"/>
    </row>
    <row r="455" ht="12">
      <c r="E455" s="69"/>
    </row>
    <row r="456" ht="12">
      <c r="E456" s="69"/>
    </row>
    <row r="457" ht="12">
      <c r="E457" s="69"/>
    </row>
    <row r="458" spans="2:6" ht="12.75">
      <c r="B458" s="75"/>
      <c r="C458" s="76"/>
      <c r="D458" s="77"/>
      <c r="E458" s="77"/>
      <c r="F458" s="77"/>
    </row>
    <row r="459" spans="2:6" ht="12.75">
      <c r="B459" s="75"/>
      <c r="C459" s="76"/>
      <c r="D459" s="77"/>
      <c r="E459" s="77"/>
      <c r="F459" s="77"/>
    </row>
    <row r="460" ht="12">
      <c r="E460" s="69"/>
    </row>
    <row r="461" ht="12">
      <c r="E461" s="69"/>
    </row>
    <row r="462" ht="12">
      <c r="E462" s="69"/>
    </row>
    <row r="463" ht="12">
      <c r="E463" s="69"/>
    </row>
    <row r="464" ht="12">
      <c r="E464" s="69"/>
    </row>
    <row r="465" ht="12">
      <c r="E465" s="69"/>
    </row>
    <row r="466" ht="12">
      <c r="E466" s="69"/>
    </row>
    <row r="467" ht="12">
      <c r="E467" s="69"/>
    </row>
    <row r="468" ht="12">
      <c r="E468" s="69"/>
    </row>
    <row r="469" ht="12">
      <c r="E469" s="69"/>
    </row>
    <row r="470" ht="12">
      <c r="E470" s="69"/>
    </row>
    <row r="471" ht="12">
      <c r="E471" s="69"/>
    </row>
    <row r="472" ht="12">
      <c r="E472" s="69"/>
    </row>
    <row r="473" spans="5:13" ht="12">
      <c r="E473" s="69"/>
      <c r="I473" s="36"/>
      <c r="J473" s="74"/>
      <c r="L473" s="36"/>
      <c r="M473" s="74"/>
    </row>
    <row r="474" spans="1:13" ht="12">
      <c r="A474" s="38" t="str">
        <f>$A$36</f>
        <v>Institution No.:  GFC</v>
      </c>
      <c r="B474" s="65"/>
      <c r="C474" s="65"/>
      <c r="D474" s="65"/>
      <c r="E474" s="70"/>
      <c r="F474" s="65"/>
      <c r="G474" s="65"/>
      <c r="H474" s="65"/>
      <c r="I474" s="71"/>
      <c r="J474" s="72"/>
      <c r="K474" s="65"/>
      <c r="L474" s="71"/>
      <c r="M474" s="37" t="s">
        <v>22</v>
      </c>
    </row>
    <row r="475" spans="1:13" s="65" customFormat="1" ht="12">
      <c r="A475" s="414" t="s">
        <v>147</v>
      </c>
      <c r="B475" s="414"/>
      <c r="C475" s="414"/>
      <c r="D475" s="414"/>
      <c r="E475" s="414"/>
      <c r="F475" s="414"/>
      <c r="G475" s="414"/>
      <c r="H475" s="414"/>
      <c r="I475" s="414"/>
      <c r="J475" s="414"/>
      <c r="K475" s="414"/>
      <c r="L475" s="414"/>
      <c r="M475" s="414"/>
    </row>
    <row r="476" spans="1:13" s="65" customFormat="1" ht="12">
      <c r="A476" s="38" t="s">
        <v>551</v>
      </c>
      <c r="B476" s="26"/>
      <c r="C476" s="26" t="s">
        <v>455</v>
      </c>
      <c r="D476" s="26"/>
      <c r="E476" s="26"/>
      <c r="F476" s="26"/>
      <c r="G476" s="26"/>
      <c r="H476" s="26"/>
      <c r="I476" s="124"/>
      <c r="J476" s="74"/>
      <c r="K476" s="26"/>
      <c r="L476" s="36"/>
      <c r="M476" s="39" t="str">
        <f>$M$3</f>
        <v>Date: 10/1/2009</v>
      </c>
    </row>
    <row r="477" spans="1:13" ht="12">
      <c r="A477" s="40" t="s">
        <v>1</v>
      </c>
      <c r="B477" s="40" t="s">
        <v>1</v>
      </c>
      <c r="C477" s="40" t="s">
        <v>1</v>
      </c>
      <c r="D477" s="40" t="s">
        <v>1</v>
      </c>
      <c r="E477" s="40" t="s">
        <v>1</v>
      </c>
      <c r="F477" s="40" t="s">
        <v>1</v>
      </c>
      <c r="G477" s="40"/>
      <c r="H477" s="40"/>
      <c r="I477" s="41" t="s">
        <v>1</v>
      </c>
      <c r="J477" s="42" t="s">
        <v>1</v>
      </c>
      <c r="K477" s="40" t="s">
        <v>1</v>
      </c>
      <c r="L477" s="41" t="s">
        <v>1</v>
      </c>
      <c r="M477" s="42" t="s">
        <v>1</v>
      </c>
    </row>
    <row r="478" spans="1:13" ht="12">
      <c r="A478" s="43" t="s">
        <v>2</v>
      </c>
      <c r="E478" s="43" t="s">
        <v>2</v>
      </c>
      <c r="F478" s="44"/>
      <c r="G478" s="45"/>
      <c r="H478" s="44" t="s">
        <v>240</v>
      </c>
      <c r="I478" s="45"/>
      <c r="J478" s="46" t="s">
        <v>247</v>
      </c>
      <c r="K478" s="44"/>
      <c r="L478" s="45"/>
      <c r="M478" s="46" t="s">
        <v>576</v>
      </c>
    </row>
    <row r="479" spans="1:13" ht="12">
      <c r="A479" s="43" t="s">
        <v>4</v>
      </c>
      <c r="C479" s="47" t="s">
        <v>20</v>
      </c>
      <c r="E479" s="43" t="s">
        <v>4</v>
      </c>
      <c r="F479" s="44"/>
      <c r="G479" s="45" t="s">
        <v>6</v>
      </c>
      <c r="H479" s="46" t="s">
        <v>7</v>
      </c>
      <c r="I479" s="45" t="s">
        <v>6</v>
      </c>
      <c r="J479" s="46" t="s">
        <v>7</v>
      </c>
      <c r="K479" s="44"/>
      <c r="L479" s="45" t="s">
        <v>6</v>
      </c>
      <c r="M479" s="46" t="s">
        <v>8</v>
      </c>
    </row>
    <row r="480" spans="1:13" ht="12">
      <c r="A480" s="40" t="s">
        <v>1</v>
      </c>
      <c r="B480" s="40" t="s">
        <v>1</v>
      </c>
      <c r="C480" s="40" t="s">
        <v>1</v>
      </c>
      <c r="D480" s="40" t="s">
        <v>1</v>
      </c>
      <c r="E480" s="40" t="s">
        <v>1</v>
      </c>
      <c r="F480" s="40" t="s">
        <v>1</v>
      </c>
      <c r="G480" s="40"/>
      <c r="H480" s="40"/>
      <c r="I480" s="41" t="s">
        <v>1</v>
      </c>
      <c r="J480" s="42" t="s">
        <v>1</v>
      </c>
      <c r="K480" s="40" t="s">
        <v>1</v>
      </c>
      <c r="L480" s="41" t="s">
        <v>1</v>
      </c>
      <c r="M480" s="42" t="s">
        <v>1</v>
      </c>
    </row>
    <row r="481" spans="1:13" ht="12">
      <c r="A481" s="30">
        <v>1</v>
      </c>
      <c r="C481" s="31" t="s">
        <v>36</v>
      </c>
      <c r="E481" s="30">
        <v>1</v>
      </c>
      <c r="F481" s="32"/>
      <c r="G481" s="346">
        <v>361.19</v>
      </c>
      <c r="H481" s="347">
        <v>21132476</v>
      </c>
      <c r="I481" s="125">
        <f>338.13+20.54</f>
        <v>358.67</v>
      </c>
      <c r="J481" s="1">
        <v>23398641</v>
      </c>
      <c r="K481" s="1"/>
      <c r="L481" s="125">
        <f>345.19+20.54+8</f>
        <v>373.73</v>
      </c>
      <c r="M481" s="1">
        <f>23157584+183375+1181436</f>
        <v>24522395</v>
      </c>
    </row>
    <row r="482" spans="1:13" ht="12">
      <c r="A482" s="30">
        <v>2</v>
      </c>
      <c r="C482" s="31" t="s">
        <v>37</v>
      </c>
      <c r="E482" s="30">
        <v>2</v>
      </c>
      <c r="F482" s="32"/>
      <c r="G482" s="346"/>
      <c r="H482" s="347">
        <v>5648592</v>
      </c>
      <c r="I482" s="125"/>
      <c r="J482" s="1">
        <v>5990098</v>
      </c>
      <c r="K482" s="1"/>
      <c r="L482" s="125"/>
      <c r="M482" s="1">
        <f>6573414</f>
        <v>6573414</v>
      </c>
    </row>
    <row r="483" spans="1:13" ht="12">
      <c r="A483" s="30">
        <v>3</v>
      </c>
      <c r="C483" s="31" t="s">
        <v>209</v>
      </c>
      <c r="E483" s="30">
        <v>3</v>
      </c>
      <c r="F483" s="32"/>
      <c r="G483" s="346">
        <v>84.45</v>
      </c>
      <c r="H483" s="347">
        <v>2230701</v>
      </c>
      <c r="I483" s="125">
        <v>75.55</v>
      </c>
      <c r="J483" s="1">
        <v>2509928</v>
      </c>
      <c r="K483" s="1"/>
      <c r="L483" s="125">
        <v>75.19</v>
      </c>
      <c r="M483" s="1">
        <v>1718414</v>
      </c>
    </row>
    <row r="484" spans="1:13" ht="12">
      <c r="A484" s="30">
        <v>4</v>
      </c>
      <c r="C484" s="31" t="s">
        <v>23</v>
      </c>
      <c r="E484" s="30">
        <v>4</v>
      </c>
      <c r="F484" s="32"/>
      <c r="G484" s="346">
        <v>445.64</v>
      </c>
      <c r="H484" s="348">
        <v>29011769</v>
      </c>
      <c r="I484" s="125">
        <f>SUM(I481:I483)</f>
        <v>434.22</v>
      </c>
      <c r="J484" s="1">
        <f>SUM(J481:J483)</f>
        <v>31898667</v>
      </c>
      <c r="K484" s="126"/>
      <c r="L484" s="125">
        <f>SUM(L481:L483)</f>
        <v>448.92</v>
      </c>
      <c r="M484" s="1">
        <f>SUM(M481:M483)</f>
        <v>32814223</v>
      </c>
    </row>
    <row r="485" spans="1:13" ht="12">
      <c r="A485" s="30">
        <v>5</v>
      </c>
      <c r="E485" s="30">
        <v>5</v>
      </c>
      <c r="F485" s="32"/>
      <c r="G485" s="346"/>
      <c r="H485" s="347"/>
      <c r="I485" s="125"/>
      <c r="J485" s="1"/>
      <c r="K485" s="121"/>
      <c r="L485" s="125"/>
      <c r="M485" s="1"/>
    </row>
    <row r="486" spans="1:13" ht="12">
      <c r="A486" s="30">
        <v>6</v>
      </c>
      <c r="C486" s="31" t="s">
        <v>24</v>
      </c>
      <c r="E486" s="30">
        <v>6</v>
      </c>
      <c r="F486" s="32"/>
      <c r="G486" s="346">
        <v>0</v>
      </c>
      <c r="H486" s="347"/>
      <c r="I486" s="125">
        <v>0</v>
      </c>
      <c r="J486" s="1"/>
      <c r="K486" s="1"/>
      <c r="L486" s="125">
        <v>0</v>
      </c>
      <c r="M486" s="1"/>
    </row>
    <row r="487" spans="1:13" ht="12">
      <c r="A487" s="30">
        <v>7</v>
      </c>
      <c r="C487" s="31" t="s">
        <v>25</v>
      </c>
      <c r="E487" s="30">
        <v>7</v>
      </c>
      <c r="F487" s="32"/>
      <c r="G487" s="346">
        <v>17.55</v>
      </c>
      <c r="H487" s="347">
        <v>1492805</v>
      </c>
      <c r="I487" s="125">
        <v>32.37</v>
      </c>
      <c r="J487" s="1">
        <v>1548980</v>
      </c>
      <c r="K487" s="1"/>
      <c r="L487" s="125">
        <f>31.37+0.75</f>
        <v>32.120000000000005</v>
      </c>
      <c r="M487" s="1">
        <v>1539584</v>
      </c>
    </row>
    <row r="488" spans="1:13" ht="12">
      <c r="A488" s="30">
        <v>8</v>
      </c>
      <c r="C488" s="31" t="s">
        <v>26</v>
      </c>
      <c r="E488" s="30">
        <v>8</v>
      </c>
      <c r="F488" s="32"/>
      <c r="G488" s="346"/>
      <c r="H488" s="347">
        <v>351994</v>
      </c>
      <c r="I488" s="125"/>
      <c r="J488" s="1">
        <v>436314</v>
      </c>
      <c r="K488" s="1"/>
      <c r="L488" s="125"/>
      <c r="M488" s="1">
        <v>539841</v>
      </c>
    </row>
    <row r="489" spans="1:13" ht="12">
      <c r="A489" s="30">
        <v>9</v>
      </c>
      <c r="C489" s="31" t="s">
        <v>27</v>
      </c>
      <c r="E489" s="30">
        <v>9</v>
      </c>
      <c r="F489" s="32"/>
      <c r="G489" s="346">
        <v>17.55</v>
      </c>
      <c r="H489" s="347">
        <v>1844799</v>
      </c>
      <c r="I489" s="125">
        <f>SUM(I486:I488)</f>
        <v>32.37</v>
      </c>
      <c r="J489" s="1">
        <f>SUM(J486:J488)</f>
        <v>1985294</v>
      </c>
      <c r="K489" s="122"/>
      <c r="L489" s="125">
        <f>SUM(L486:L488)</f>
        <v>32.120000000000005</v>
      </c>
      <c r="M489" s="1">
        <f>SUM(M486:M488)</f>
        <v>2079425</v>
      </c>
    </row>
    <row r="490" spans="1:13" ht="12">
      <c r="A490" s="30">
        <v>10</v>
      </c>
      <c r="E490" s="30">
        <v>10</v>
      </c>
      <c r="F490" s="32"/>
      <c r="G490" s="349"/>
      <c r="H490" s="347"/>
      <c r="I490" s="127"/>
      <c r="J490" s="1"/>
      <c r="K490" s="121"/>
      <c r="L490" s="127"/>
      <c r="M490" s="1"/>
    </row>
    <row r="491" spans="1:13" ht="12">
      <c r="A491" s="30">
        <v>11</v>
      </c>
      <c r="C491" s="31" t="s">
        <v>28</v>
      </c>
      <c r="E491" s="30">
        <v>11</v>
      </c>
      <c r="G491" s="350">
        <v>463.19</v>
      </c>
      <c r="H491" s="351">
        <v>30856568</v>
      </c>
      <c r="I491" s="128">
        <f>SUM(I484+I489)</f>
        <v>466.59000000000003</v>
      </c>
      <c r="J491" s="121">
        <f>SUM(J484+J489)</f>
        <v>33883961</v>
      </c>
      <c r="K491" s="121"/>
      <c r="L491" s="128">
        <f>SUM(L484+L489)</f>
        <v>481.04</v>
      </c>
      <c r="M491" s="121">
        <f>SUM(M484+M489)</f>
        <v>34893648</v>
      </c>
    </row>
    <row r="492" spans="1:13" ht="12">
      <c r="A492" s="30">
        <v>12</v>
      </c>
      <c r="E492" s="30">
        <v>12</v>
      </c>
      <c r="G492" s="350"/>
      <c r="H492" s="351"/>
      <c r="I492" s="128"/>
      <c r="J492" s="121"/>
      <c r="K492" s="121"/>
      <c r="L492" s="128"/>
      <c r="M492" s="121"/>
    </row>
    <row r="493" spans="1:13" ht="12">
      <c r="A493" s="30">
        <v>13</v>
      </c>
      <c r="C493" s="31" t="s">
        <v>29</v>
      </c>
      <c r="E493" s="30">
        <v>13</v>
      </c>
      <c r="F493" s="32"/>
      <c r="G493" s="346"/>
      <c r="H493" s="347">
        <v>683009</v>
      </c>
      <c r="I493" s="125"/>
      <c r="J493" s="1">
        <v>740741</v>
      </c>
      <c r="K493" s="1"/>
      <c r="L493" s="125"/>
      <c r="M493" s="1">
        <f>304943+5030</f>
        <v>309973</v>
      </c>
    </row>
    <row r="494" spans="1:13" ht="12">
      <c r="A494" s="30">
        <v>14</v>
      </c>
      <c r="E494" s="30">
        <v>14</v>
      </c>
      <c r="F494" s="32"/>
      <c r="G494" s="346"/>
      <c r="H494" s="347"/>
      <c r="I494" s="125"/>
      <c r="J494" s="1"/>
      <c r="K494" s="1"/>
      <c r="L494" s="125"/>
      <c r="M494" s="1"/>
    </row>
    <row r="495" spans="1:13" ht="12">
      <c r="A495" s="30">
        <v>15</v>
      </c>
      <c r="C495" s="31" t="s">
        <v>30</v>
      </c>
      <c r="E495" s="30">
        <v>15</v>
      </c>
      <c r="F495" s="32"/>
      <c r="G495" s="346"/>
      <c r="H495" s="347">
        <v>462987</v>
      </c>
      <c r="I495" s="125"/>
      <c r="J495" s="1">
        <v>443694</v>
      </c>
      <c r="K495" s="1"/>
      <c r="L495" s="125"/>
      <c r="M495" s="1">
        <v>174953</v>
      </c>
    </row>
    <row r="496" spans="1:13" ht="12">
      <c r="A496" s="30">
        <v>16</v>
      </c>
      <c r="C496" s="31"/>
      <c r="E496" s="30">
        <v>16</v>
      </c>
      <c r="F496" s="32"/>
      <c r="G496" s="346"/>
      <c r="H496" s="347"/>
      <c r="I496" s="125"/>
      <c r="J496" s="1"/>
      <c r="K496" s="1"/>
      <c r="L496" s="125"/>
      <c r="M496" s="1"/>
    </row>
    <row r="497" spans="1:13" ht="12">
      <c r="A497" s="352">
        <v>17</v>
      </c>
      <c r="B497" s="353"/>
      <c r="C497" s="354" t="s">
        <v>31</v>
      </c>
      <c r="D497" s="353"/>
      <c r="E497" s="352">
        <v>17</v>
      </c>
      <c r="F497" s="355"/>
      <c r="G497" s="356"/>
      <c r="H497" s="357">
        <v>2556211</v>
      </c>
      <c r="I497" s="358"/>
      <c r="J497" s="359">
        <f>2148937-175</f>
        <v>2148762</v>
      </c>
      <c r="K497" s="359"/>
      <c r="L497" s="358"/>
      <c r="M497" s="359">
        <f>2812785+58000</f>
        <v>2870785</v>
      </c>
    </row>
    <row r="498" spans="1:13" s="4" customFormat="1" ht="18.75" customHeight="1">
      <c r="A498" s="30">
        <v>18</v>
      </c>
      <c r="B498" s="26"/>
      <c r="C498" s="360"/>
      <c r="D498" s="26"/>
      <c r="E498" s="30">
        <v>18</v>
      </c>
      <c r="F498" s="26"/>
      <c r="G498" s="346"/>
      <c r="H498" s="347"/>
      <c r="I498" s="125"/>
      <c r="J498" s="1"/>
      <c r="K498" s="1"/>
      <c r="L498" s="125"/>
      <c r="M498" s="1"/>
    </row>
    <row r="499" spans="1:13" ht="12">
      <c r="A499" s="30">
        <v>19</v>
      </c>
      <c r="C499" s="360" t="s">
        <v>262</v>
      </c>
      <c r="E499" s="30">
        <v>19</v>
      </c>
      <c r="G499" s="346"/>
      <c r="H499" s="347"/>
      <c r="I499" s="125"/>
      <c r="J499" s="1"/>
      <c r="K499" s="1"/>
      <c r="L499" s="125"/>
      <c r="M499" s="1">
        <v>5780</v>
      </c>
    </row>
    <row r="500" spans="1:13" ht="12">
      <c r="A500" s="30">
        <v>20</v>
      </c>
      <c r="C500" s="360"/>
      <c r="E500" s="30">
        <v>20</v>
      </c>
      <c r="G500" s="346"/>
      <c r="H500" s="347"/>
      <c r="I500" s="125"/>
      <c r="J500" s="1"/>
      <c r="K500" s="1"/>
      <c r="L500" s="125"/>
      <c r="M500" s="1"/>
    </row>
    <row r="501" spans="1:13" ht="12">
      <c r="A501" s="30">
        <v>21</v>
      </c>
      <c r="C501" s="31"/>
      <c r="E501" s="30">
        <v>21</v>
      </c>
      <c r="G501" s="346"/>
      <c r="H501" s="347"/>
      <c r="I501" s="125"/>
      <c r="J501" s="1"/>
      <c r="K501" s="1"/>
      <c r="L501" s="125"/>
      <c r="M501" s="1"/>
    </row>
    <row r="502" spans="1:13" ht="12">
      <c r="A502" s="30">
        <v>22</v>
      </c>
      <c r="C502" s="31"/>
      <c r="E502" s="30">
        <v>22</v>
      </c>
      <c r="G502" s="346"/>
      <c r="H502" s="347"/>
      <c r="I502" s="125"/>
      <c r="J502" s="1"/>
      <c r="K502" s="1"/>
      <c r="L502" s="125"/>
      <c r="M502" s="1"/>
    </row>
    <row r="503" spans="1:13" ht="12">
      <c r="A503" s="30">
        <v>23</v>
      </c>
      <c r="C503" s="31"/>
      <c r="E503" s="30">
        <v>23</v>
      </c>
      <c r="G503" s="346"/>
      <c r="H503" s="347"/>
      <c r="I503" s="125"/>
      <c r="J503" s="1"/>
      <c r="K503" s="1"/>
      <c r="L503" s="125"/>
      <c r="M503" s="1"/>
    </row>
    <row r="504" spans="1:13" ht="12">
      <c r="A504" s="30">
        <v>24</v>
      </c>
      <c r="C504" s="31"/>
      <c r="E504" s="30">
        <v>24</v>
      </c>
      <c r="G504" s="346"/>
      <c r="H504" s="347"/>
      <c r="I504" s="125"/>
      <c r="J504" s="1"/>
      <c r="K504" s="1"/>
      <c r="L504" s="125"/>
      <c r="M504" s="1"/>
    </row>
    <row r="505" spans="1:13" ht="12">
      <c r="A505" s="30"/>
      <c r="C505" s="31"/>
      <c r="E505" s="30"/>
      <c r="G505" s="346"/>
      <c r="H505" s="347"/>
      <c r="I505" s="125"/>
      <c r="J505" s="1"/>
      <c r="K505" s="1"/>
      <c r="L505" s="125"/>
      <c r="M505" s="1"/>
    </row>
    <row r="506" spans="1:13" ht="12">
      <c r="A506" s="30"/>
      <c r="E506" s="30"/>
      <c r="G506" s="346"/>
      <c r="H506" s="347"/>
      <c r="I506" s="125"/>
      <c r="J506" s="1"/>
      <c r="K506" s="1"/>
      <c r="L506" s="125"/>
      <c r="M506" s="1"/>
    </row>
    <row r="507" spans="1:13" ht="12">
      <c r="A507" s="30"/>
      <c r="E507" s="30"/>
      <c r="F507" s="109" t="s">
        <v>1</v>
      </c>
      <c r="G507" s="108"/>
      <c r="H507" s="42"/>
      <c r="I507" s="108"/>
      <c r="J507" s="42"/>
      <c r="K507" s="109"/>
      <c r="L507" s="108"/>
      <c r="M507" s="42"/>
    </row>
    <row r="508" spans="1:13" ht="12">
      <c r="A508" s="30">
        <v>25</v>
      </c>
      <c r="C508" s="31" t="s">
        <v>223</v>
      </c>
      <c r="E508" s="30">
        <v>25</v>
      </c>
      <c r="G508" s="350">
        <v>463.19</v>
      </c>
      <c r="H508" s="351">
        <v>34558775</v>
      </c>
      <c r="I508" s="128">
        <f>SUM(I491:I501)</f>
        <v>466.59000000000003</v>
      </c>
      <c r="J508" s="121">
        <f>SUM(J491:J501)</f>
        <v>37217158</v>
      </c>
      <c r="K508" s="129"/>
      <c r="L508" s="128">
        <f>SUM(L491:L501)</f>
        <v>481.04</v>
      </c>
      <c r="M508" s="121">
        <f>SUM(M491:M501)</f>
        <v>38255139</v>
      </c>
    </row>
    <row r="509" spans="6:13" ht="12">
      <c r="F509" s="109" t="s">
        <v>1</v>
      </c>
      <c r="G509" s="109"/>
      <c r="H509" s="109"/>
      <c r="I509" s="41"/>
      <c r="J509" s="42"/>
      <c r="K509" s="109"/>
      <c r="L509" s="41"/>
      <c r="M509" s="42"/>
    </row>
    <row r="510" ht="12">
      <c r="A510" s="31"/>
    </row>
    <row r="512" spans="1:13" ht="12">
      <c r="A512" s="38" t="str">
        <f>$A$36</f>
        <v>Institution No.:  GFC</v>
      </c>
      <c r="B512" s="65"/>
      <c r="C512" s="65"/>
      <c r="D512" s="65"/>
      <c r="E512" s="70"/>
      <c r="F512" s="65"/>
      <c r="G512" s="65"/>
      <c r="H512" s="65"/>
      <c r="I512" s="71"/>
      <c r="J512" s="72"/>
      <c r="K512" s="65"/>
      <c r="L512" s="71"/>
      <c r="M512" s="37" t="s">
        <v>33</v>
      </c>
    </row>
    <row r="513" spans="1:13" s="65" customFormat="1" ht="12">
      <c r="A513" s="414" t="s">
        <v>148</v>
      </c>
      <c r="B513" s="414"/>
      <c r="C513" s="414"/>
      <c r="D513" s="414"/>
      <c r="E513" s="414"/>
      <c r="F513" s="414"/>
      <c r="G513" s="414"/>
      <c r="H513" s="414"/>
      <c r="I513" s="414"/>
      <c r="J513" s="414"/>
      <c r="K513" s="414"/>
      <c r="L513" s="414"/>
      <c r="M513" s="414"/>
    </row>
    <row r="514" spans="1:13" s="65" customFormat="1" ht="12">
      <c r="A514" s="38" t="s">
        <v>551</v>
      </c>
      <c r="B514" s="26"/>
      <c r="C514" s="26" t="s">
        <v>455</v>
      </c>
      <c r="D514" s="26"/>
      <c r="E514" s="26"/>
      <c r="F514" s="113"/>
      <c r="G514" s="113"/>
      <c r="H514" s="113"/>
      <c r="I514" s="104"/>
      <c r="J514" s="105"/>
      <c r="K514" s="26"/>
      <c r="L514" s="36"/>
      <c r="M514" s="39" t="str">
        <f>$M$3</f>
        <v>Date: 10/1/2009</v>
      </c>
    </row>
    <row r="515" spans="1:13" ht="12">
      <c r="A515" s="40" t="s">
        <v>1</v>
      </c>
      <c r="B515" s="40" t="s">
        <v>1</v>
      </c>
      <c r="C515" s="40" t="s">
        <v>1</v>
      </c>
      <c r="D515" s="40" t="s">
        <v>1</v>
      </c>
      <c r="E515" s="40" t="s">
        <v>1</v>
      </c>
      <c r="F515" s="40" t="s">
        <v>1</v>
      </c>
      <c r="G515" s="40"/>
      <c r="H515" s="40"/>
      <c r="I515" s="41" t="s">
        <v>1</v>
      </c>
      <c r="J515" s="42" t="s">
        <v>1</v>
      </c>
      <c r="K515" s="40" t="s">
        <v>1</v>
      </c>
      <c r="L515" s="41" t="s">
        <v>1</v>
      </c>
      <c r="M515" s="42" t="s">
        <v>1</v>
      </c>
    </row>
    <row r="516" spans="1:13" ht="12">
      <c r="A516" s="43" t="s">
        <v>2</v>
      </c>
      <c r="E516" s="43" t="s">
        <v>2</v>
      </c>
      <c r="F516" s="44"/>
      <c r="G516" s="45"/>
      <c r="H516" s="44" t="s">
        <v>240</v>
      </c>
      <c r="I516" s="45"/>
      <c r="J516" s="46" t="s">
        <v>247</v>
      </c>
      <c r="K516" s="44"/>
      <c r="L516" s="45"/>
      <c r="M516" s="46" t="s">
        <v>576</v>
      </c>
    </row>
    <row r="517" spans="1:13" ht="12">
      <c r="A517" s="43" t="s">
        <v>4</v>
      </c>
      <c r="C517" s="47" t="s">
        <v>20</v>
      </c>
      <c r="E517" s="43" t="s">
        <v>4</v>
      </c>
      <c r="F517" s="44"/>
      <c r="G517" s="45" t="s">
        <v>6</v>
      </c>
      <c r="H517" s="46" t="s">
        <v>7</v>
      </c>
      <c r="I517" s="45" t="s">
        <v>6</v>
      </c>
      <c r="J517" s="46" t="s">
        <v>7</v>
      </c>
      <c r="K517" s="44"/>
      <c r="L517" s="45" t="s">
        <v>6</v>
      </c>
      <c r="M517" s="46" t="s">
        <v>8</v>
      </c>
    </row>
    <row r="518" spans="1:13" ht="12">
      <c r="A518" s="40" t="s">
        <v>1</v>
      </c>
      <c r="B518" s="40" t="s">
        <v>1</v>
      </c>
      <c r="C518" s="40" t="s">
        <v>1</v>
      </c>
      <c r="D518" s="40" t="s">
        <v>1</v>
      </c>
      <c r="E518" s="40" t="s">
        <v>1</v>
      </c>
      <c r="F518" s="40" t="s">
        <v>1</v>
      </c>
      <c r="G518" s="40"/>
      <c r="H518" s="40"/>
      <c r="I518" s="41" t="s">
        <v>1</v>
      </c>
      <c r="J518" s="42" t="s">
        <v>1</v>
      </c>
      <c r="K518" s="40" t="s">
        <v>1</v>
      </c>
      <c r="L518" s="41" t="s">
        <v>1</v>
      </c>
      <c r="M518" s="42" t="s">
        <v>1</v>
      </c>
    </row>
    <row r="519" spans="1:13" ht="12">
      <c r="A519" s="30">
        <v>1</v>
      </c>
      <c r="C519" s="31" t="s">
        <v>36</v>
      </c>
      <c r="E519" s="30">
        <v>1</v>
      </c>
      <c r="F519" s="32"/>
      <c r="G519" s="130">
        <v>1.1</v>
      </c>
      <c r="H519" s="343">
        <v>167792</v>
      </c>
      <c r="I519" s="130">
        <f>0.5+1.25</f>
        <v>1.75</v>
      </c>
      <c r="J519" s="1">
        <v>178701</v>
      </c>
      <c r="K519" s="131"/>
      <c r="L519" s="130">
        <f>0.5+1.25</f>
        <v>1.75</v>
      </c>
      <c r="M519" s="1">
        <v>101798</v>
      </c>
    </row>
    <row r="520" spans="1:13" ht="12">
      <c r="A520" s="30">
        <v>2</v>
      </c>
      <c r="C520" s="31" t="s">
        <v>37</v>
      </c>
      <c r="E520" s="30">
        <v>2</v>
      </c>
      <c r="F520" s="32"/>
      <c r="G520" s="130"/>
      <c r="H520" s="343">
        <v>160206</v>
      </c>
      <c r="I520" s="130"/>
      <c r="J520" s="1">
        <v>-2441</v>
      </c>
      <c r="K520" s="131"/>
      <c r="L520" s="130"/>
      <c r="M520" s="1">
        <v>33912</v>
      </c>
    </row>
    <row r="521" spans="1:13" ht="12">
      <c r="A521" s="30">
        <v>3</v>
      </c>
      <c r="C521" s="31" t="s">
        <v>34</v>
      </c>
      <c r="E521" s="30">
        <v>3</v>
      </c>
      <c r="F521" s="32"/>
      <c r="G521" s="130">
        <v>0</v>
      </c>
      <c r="H521" s="343">
        <v>2000</v>
      </c>
      <c r="I521" s="130">
        <v>0</v>
      </c>
      <c r="J521" s="1">
        <v>736</v>
      </c>
      <c r="K521" s="131"/>
      <c r="L521" s="130">
        <v>0</v>
      </c>
      <c r="M521" s="1">
        <v>0</v>
      </c>
    </row>
    <row r="522" spans="1:13" ht="12">
      <c r="A522" s="30">
        <v>4</v>
      </c>
      <c r="C522" s="31" t="s">
        <v>23</v>
      </c>
      <c r="E522" s="30">
        <v>4</v>
      </c>
      <c r="F522" s="32"/>
      <c r="G522" s="130">
        <v>1.1</v>
      </c>
      <c r="H522" s="343">
        <v>329998</v>
      </c>
      <c r="I522" s="130">
        <f>SUM(I519:I521)</f>
        <v>1.75</v>
      </c>
      <c r="J522" s="1">
        <f>SUM(J519:J521)</f>
        <v>176996</v>
      </c>
      <c r="K522" s="49"/>
      <c r="L522" s="130">
        <f>SUM(L519:L521)</f>
        <v>1.75</v>
      </c>
      <c r="M522" s="1">
        <f>SUM(M519:M521)</f>
        <v>135710</v>
      </c>
    </row>
    <row r="523" spans="1:13" ht="12">
      <c r="A523" s="30">
        <v>5</v>
      </c>
      <c r="E523" s="30">
        <v>5</v>
      </c>
      <c r="F523" s="32"/>
      <c r="G523" s="130"/>
      <c r="H523" s="343"/>
      <c r="I523" s="130"/>
      <c r="J523" s="1"/>
      <c r="K523" s="49"/>
      <c r="L523" s="130"/>
      <c r="M523" s="1"/>
    </row>
    <row r="524" spans="1:13" ht="12">
      <c r="A524" s="30">
        <v>6</v>
      </c>
      <c r="C524" s="31" t="s">
        <v>24</v>
      </c>
      <c r="E524" s="30">
        <v>6</v>
      </c>
      <c r="F524" s="32"/>
      <c r="G524" s="130">
        <v>0</v>
      </c>
      <c r="H524" s="343"/>
      <c r="I524" s="130">
        <v>0</v>
      </c>
      <c r="J524" s="1"/>
      <c r="K524" s="131"/>
      <c r="L524" s="130">
        <v>0</v>
      </c>
      <c r="M524" s="1"/>
    </row>
    <row r="525" spans="1:13" ht="12">
      <c r="A525" s="30">
        <v>7</v>
      </c>
      <c r="C525" s="31" t="s">
        <v>25</v>
      </c>
      <c r="E525" s="30">
        <v>7</v>
      </c>
      <c r="F525" s="32"/>
      <c r="G525" s="130">
        <v>0.31</v>
      </c>
      <c r="H525" s="343">
        <v>15281</v>
      </c>
      <c r="I525" s="130">
        <v>0</v>
      </c>
      <c r="J525" s="1">
        <v>370</v>
      </c>
      <c r="K525" s="131"/>
      <c r="L525" s="130">
        <v>0</v>
      </c>
      <c r="M525" s="1">
        <v>370</v>
      </c>
    </row>
    <row r="526" spans="1:13" ht="12">
      <c r="A526" s="30">
        <v>8</v>
      </c>
      <c r="C526" s="31" t="s">
        <v>26</v>
      </c>
      <c r="E526" s="30">
        <v>8</v>
      </c>
      <c r="F526" s="32"/>
      <c r="G526" s="130"/>
      <c r="H526" s="343">
        <v>4387</v>
      </c>
      <c r="I526" s="130"/>
      <c r="J526" s="1">
        <v>-2117</v>
      </c>
      <c r="K526" s="131"/>
      <c r="L526" s="130"/>
      <c r="M526" s="1">
        <v>13262</v>
      </c>
    </row>
    <row r="527" spans="1:13" ht="12">
      <c r="A527" s="30">
        <v>9</v>
      </c>
      <c r="C527" s="31" t="s">
        <v>27</v>
      </c>
      <c r="E527" s="30">
        <v>9</v>
      </c>
      <c r="F527" s="32"/>
      <c r="G527" s="130">
        <v>0.31</v>
      </c>
      <c r="H527" s="343">
        <v>19668</v>
      </c>
      <c r="I527" s="130">
        <f>SUM(I524:I526)</f>
        <v>0</v>
      </c>
      <c r="J527" s="1">
        <f>SUM(J524:J526)</f>
        <v>-1747</v>
      </c>
      <c r="K527" s="50"/>
      <c r="L527" s="130">
        <f>SUM(L524:L526)</f>
        <v>0</v>
      </c>
      <c r="M527" s="1">
        <f>SUM(M524:M526)</f>
        <v>13632</v>
      </c>
    </row>
    <row r="528" spans="1:13" ht="12">
      <c r="A528" s="30">
        <v>10</v>
      </c>
      <c r="E528" s="30">
        <v>10</v>
      </c>
      <c r="F528" s="32"/>
      <c r="G528" s="101"/>
      <c r="H528" s="343"/>
      <c r="I528" s="101"/>
      <c r="J528" s="1"/>
      <c r="K528" s="49"/>
      <c r="L528" s="101"/>
      <c r="M528" s="1"/>
    </row>
    <row r="529" spans="1:13" ht="12">
      <c r="A529" s="30">
        <v>11</v>
      </c>
      <c r="C529" s="31" t="s">
        <v>28</v>
      </c>
      <c r="E529" s="30">
        <v>11</v>
      </c>
      <c r="G529" s="132">
        <v>1.4100000000000001</v>
      </c>
      <c r="H529" s="344">
        <v>349666</v>
      </c>
      <c r="I529" s="132">
        <f>SUM(I522+I527)</f>
        <v>1.75</v>
      </c>
      <c r="J529" s="121">
        <f>SUM(J522+J527)</f>
        <v>175249</v>
      </c>
      <c r="K529" s="49"/>
      <c r="L529" s="132">
        <f>SUM(L522+L527)</f>
        <v>1.75</v>
      </c>
      <c r="M529" s="121">
        <f>SUM(M522+M527)</f>
        <v>149342</v>
      </c>
    </row>
    <row r="530" spans="1:13" ht="12">
      <c r="A530" s="30">
        <v>12</v>
      </c>
      <c r="E530" s="30">
        <v>12</v>
      </c>
      <c r="G530" s="132"/>
      <c r="H530" s="344"/>
      <c r="I530" s="132"/>
      <c r="J530" s="121"/>
      <c r="K530" s="49"/>
      <c r="L530" s="132"/>
      <c r="M530" s="121"/>
    </row>
    <row r="531" spans="1:13" ht="12">
      <c r="A531" s="30">
        <v>13</v>
      </c>
      <c r="C531" s="31" t="s">
        <v>29</v>
      </c>
      <c r="E531" s="30">
        <v>13</v>
      </c>
      <c r="F531" s="32"/>
      <c r="G531" s="130"/>
      <c r="H531" s="343">
        <v>63872</v>
      </c>
      <c r="I531" s="130"/>
      <c r="J531" s="1">
        <v>26087</v>
      </c>
      <c r="K531" s="131"/>
      <c r="L531" s="130"/>
      <c r="M531" s="1">
        <f>11664+725</f>
        <v>12389</v>
      </c>
    </row>
    <row r="532" spans="1:13" ht="12">
      <c r="A532" s="30">
        <v>14</v>
      </c>
      <c r="E532" s="30">
        <v>14</v>
      </c>
      <c r="F532" s="32"/>
      <c r="G532" s="130"/>
      <c r="H532" s="343"/>
      <c r="I532" s="130"/>
      <c r="J532" s="1"/>
      <c r="K532" s="131"/>
      <c r="L532" s="130"/>
      <c r="M532" s="1"/>
    </row>
    <row r="533" spans="1:13" ht="12">
      <c r="A533" s="30">
        <v>15</v>
      </c>
      <c r="C533" s="31" t="s">
        <v>30</v>
      </c>
      <c r="E533" s="30">
        <v>15</v>
      </c>
      <c r="F533" s="32"/>
      <c r="G533" s="130"/>
      <c r="H533" s="343">
        <v>32209</v>
      </c>
      <c r="I533" s="130"/>
      <c r="J533" s="1">
        <v>17430</v>
      </c>
      <c r="K533" s="131"/>
      <c r="L533" s="130"/>
      <c r="M533" s="1">
        <v>2200</v>
      </c>
    </row>
    <row r="534" spans="1:13" ht="12">
      <c r="A534" s="30">
        <v>16</v>
      </c>
      <c r="C534" s="31" t="s">
        <v>31</v>
      </c>
      <c r="E534" s="30">
        <v>16</v>
      </c>
      <c r="F534" s="32"/>
      <c r="G534" s="130"/>
      <c r="H534" s="343">
        <v>94328</v>
      </c>
      <c r="I534" s="130"/>
      <c r="J534" s="1">
        <v>68210</v>
      </c>
      <c r="K534" s="131"/>
      <c r="L534" s="130"/>
      <c r="M534" s="1">
        <f>-2973+19440</f>
        <v>16467</v>
      </c>
    </row>
    <row r="535" spans="1:13" ht="12">
      <c r="A535" s="30"/>
      <c r="C535" s="31"/>
      <c r="E535" s="30"/>
      <c r="G535" s="130"/>
      <c r="H535" s="343"/>
      <c r="I535" s="130"/>
      <c r="J535" s="1"/>
      <c r="K535" s="131"/>
      <c r="L535" s="130"/>
      <c r="M535" s="1"/>
    </row>
    <row r="536" spans="1:13" ht="12">
      <c r="A536" s="30">
        <v>17</v>
      </c>
      <c r="C536" s="31" t="s">
        <v>32</v>
      </c>
      <c r="E536" s="30">
        <v>17</v>
      </c>
      <c r="G536" s="130"/>
      <c r="H536" s="343">
        <v>2490</v>
      </c>
      <c r="I536" s="130"/>
      <c r="J536" s="1"/>
      <c r="K536" s="131"/>
      <c r="L536" s="130"/>
      <c r="M536" s="1">
        <v>0</v>
      </c>
    </row>
    <row r="537" spans="1:13" ht="12">
      <c r="A537" s="30">
        <v>18</v>
      </c>
      <c r="C537" s="31"/>
      <c r="E537" s="30">
        <v>18</v>
      </c>
      <c r="G537" s="130"/>
      <c r="H537" s="345"/>
      <c r="I537" s="130"/>
      <c r="J537" s="119"/>
      <c r="K537" s="32"/>
      <c r="L537" s="130"/>
      <c r="M537" s="119"/>
    </row>
    <row r="538" spans="1:13" ht="12">
      <c r="A538" s="30">
        <v>19</v>
      </c>
      <c r="C538" s="31"/>
      <c r="E538" s="30">
        <v>19</v>
      </c>
      <c r="G538" s="130"/>
      <c r="H538" s="345"/>
      <c r="I538" s="130"/>
      <c r="J538" s="119"/>
      <c r="K538" s="32"/>
      <c r="L538" s="130"/>
      <c r="M538" s="119"/>
    </row>
    <row r="539" spans="1:13" ht="12">
      <c r="A539" s="30">
        <v>20</v>
      </c>
      <c r="C539" s="31"/>
      <c r="E539" s="30">
        <v>20</v>
      </c>
      <c r="G539" s="130"/>
      <c r="H539" s="345"/>
      <c r="I539" s="130"/>
      <c r="J539" s="119"/>
      <c r="K539" s="32"/>
      <c r="L539" s="130"/>
      <c r="M539" s="119"/>
    </row>
    <row r="540" spans="1:13" ht="12">
      <c r="A540" s="30">
        <v>21</v>
      </c>
      <c r="C540" s="31"/>
      <c r="E540" s="30">
        <v>21</v>
      </c>
      <c r="G540" s="130"/>
      <c r="H540" s="345"/>
      <c r="I540" s="130"/>
      <c r="J540" s="119"/>
      <c r="K540" s="32"/>
      <c r="L540" s="130"/>
      <c r="M540" s="119"/>
    </row>
    <row r="541" spans="1:13" ht="12">
      <c r="A541" s="30">
        <v>22</v>
      </c>
      <c r="C541" s="31"/>
      <c r="E541" s="30">
        <v>22</v>
      </c>
      <c r="G541" s="130"/>
      <c r="H541" s="345"/>
      <c r="I541" s="130"/>
      <c r="J541" s="119"/>
      <c r="K541" s="32"/>
      <c r="L541" s="130"/>
      <c r="M541" s="119"/>
    </row>
    <row r="542" spans="1:13" ht="12">
      <c r="A542" s="30">
        <v>23</v>
      </c>
      <c r="C542" s="31"/>
      <c r="E542" s="30">
        <v>23</v>
      </c>
      <c r="G542" s="130"/>
      <c r="H542" s="345"/>
      <c r="I542" s="130"/>
      <c r="J542" s="119"/>
      <c r="K542" s="32"/>
      <c r="L542" s="130"/>
      <c r="M542" s="119"/>
    </row>
    <row r="543" spans="1:13" ht="12">
      <c r="A543" s="30">
        <v>24</v>
      </c>
      <c r="C543" s="31"/>
      <c r="E543" s="30">
        <v>24</v>
      </c>
      <c r="G543" s="130"/>
      <c r="H543" s="345"/>
      <c r="I543" s="130"/>
      <c r="J543" s="119"/>
      <c r="K543" s="32"/>
      <c r="L543" s="130"/>
      <c r="M543" s="119"/>
    </row>
    <row r="544" spans="1:13" ht="12">
      <c r="A544" s="30"/>
      <c r="E544" s="30"/>
      <c r="F544" s="133" t="s">
        <v>194</v>
      </c>
      <c r="G544" s="134"/>
      <c r="H544" s="34"/>
      <c r="I544" s="134"/>
      <c r="J544" s="34"/>
      <c r="K544" s="32"/>
      <c r="L544" s="134"/>
      <c r="M544" s="42" t="s">
        <v>1</v>
      </c>
    </row>
    <row r="545" spans="1:13" ht="12">
      <c r="A545" s="30">
        <v>25</v>
      </c>
      <c r="C545" s="31" t="s">
        <v>224</v>
      </c>
      <c r="E545" s="30">
        <v>25</v>
      </c>
      <c r="G545" s="132">
        <v>1.4100000000000001</v>
      </c>
      <c r="H545" s="344">
        <v>542565</v>
      </c>
      <c r="I545" s="132">
        <f>SUM(I529:I538)</f>
        <v>1.75</v>
      </c>
      <c r="J545" s="121">
        <f>SUM(J529:J538)</f>
        <v>286976</v>
      </c>
      <c r="K545" s="49"/>
      <c r="L545" s="132">
        <f>SUM(L529:L538)</f>
        <v>1.75</v>
      </c>
      <c r="M545" s="121">
        <f>SUM(M529:M538)</f>
        <v>180398</v>
      </c>
    </row>
    <row r="546" spans="5:13" ht="12">
      <c r="E546" s="69"/>
      <c r="F546" s="109" t="s">
        <v>1</v>
      </c>
      <c r="G546" s="109"/>
      <c r="H546" s="109"/>
      <c r="I546" s="41" t="s">
        <v>1</v>
      </c>
      <c r="J546" s="42" t="s">
        <v>1</v>
      </c>
      <c r="K546" s="109" t="s">
        <v>1</v>
      </c>
      <c r="L546" s="41" t="s">
        <v>1</v>
      </c>
      <c r="M546" s="42" t="s">
        <v>1</v>
      </c>
    </row>
    <row r="547" spans="1:13" ht="12">
      <c r="A547" s="31"/>
      <c r="J547" s="74"/>
      <c r="M547" s="74"/>
    </row>
    <row r="548" spans="10:13" ht="12">
      <c r="J548" s="74"/>
      <c r="M548" s="74"/>
    </row>
    <row r="549" spans="1:13" ht="12">
      <c r="A549" s="38" t="str">
        <f>$A$36</f>
        <v>Institution No.:  GFC</v>
      </c>
      <c r="B549" s="65"/>
      <c r="C549" s="65"/>
      <c r="D549" s="65"/>
      <c r="E549" s="70"/>
      <c r="F549" s="65"/>
      <c r="G549" s="65"/>
      <c r="H549" s="65"/>
      <c r="I549" s="71"/>
      <c r="J549" s="72"/>
      <c r="K549" s="65"/>
      <c r="L549" s="71"/>
      <c r="M549" s="37" t="s">
        <v>35</v>
      </c>
    </row>
    <row r="550" spans="1:13" s="65" customFormat="1" ht="12">
      <c r="A550" s="414" t="s">
        <v>149</v>
      </c>
      <c r="B550" s="414"/>
      <c r="C550" s="414"/>
      <c r="D550" s="414"/>
      <c r="E550" s="414"/>
      <c r="F550" s="414"/>
      <c r="G550" s="414"/>
      <c r="H550" s="414"/>
      <c r="I550" s="414"/>
      <c r="J550" s="414"/>
      <c r="K550" s="414"/>
      <c r="L550" s="414"/>
      <c r="M550" s="414"/>
    </row>
    <row r="551" spans="1:13" s="65" customFormat="1" ht="12">
      <c r="A551" s="38" t="s">
        <v>551</v>
      </c>
      <c r="B551" s="26"/>
      <c r="C551" s="26" t="s">
        <v>455</v>
      </c>
      <c r="D551" s="26"/>
      <c r="E551" s="26"/>
      <c r="F551" s="26"/>
      <c r="G551" s="26"/>
      <c r="H551" s="26"/>
      <c r="I551" s="124"/>
      <c r="J551" s="105"/>
      <c r="K551" s="26"/>
      <c r="L551" s="36"/>
      <c r="M551" s="39" t="str">
        <f>$M$3</f>
        <v>Date: 10/1/2009</v>
      </c>
    </row>
    <row r="552" spans="1:13" ht="12">
      <c r="A552" s="40" t="s">
        <v>1</v>
      </c>
      <c r="B552" s="40" t="s">
        <v>1</v>
      </c>
      <c r="C552" s="40" t="s">
        <v>1</v>
      </c>
      <c r="D552" s="40" t="s">
        <v>1</v>
      </c>
      <c r="E552" s="40" t="s">
        <v>1</v>
      </c>
      <c r="F552" s="40" t="s">
        <v>1</v>
      </c>
      <c r="G552" s="40"/>
      <c r="H552" s="40"/>
      <c r="I552" s="41" t="s">
        <v>1</v>
      </c>
      <c r="J552" s="42" t="s">
        <v>1</v>
      </c>
      <c r="K552" s="40" t="s">
        <v>1</v>
      </c>
      <c r="L552" s="41" t="s">
        <v>1</v>
      </c>
      <c r="M552" s="42" t="s">
        <v>1</v>
      </c>
    </row>
    <row r="553" spans="1:13" ht="12">
      <c r="A553" s="43" t="s">
        <v>2</v>
      </c>
      <c r="E553" s="43" t="s">
        <v>2</v>
      </c>
      <c r="F553" s="44"/>
      <c r="G553" s="45"/>
      <c r="H553" s="44" t="s">
        <v>240</v>
      </c>
      <c r="I553" s="45"/>
      <c r="J553" s="46" t="s">
        <v>247</v>
      </c>
      <c r="K553" s="44"/>
      <c r="L553" s="45"/>
      <c r="M553" s="46" t="s">
        <v>576</v>
      </c>
    </row>
    <row r="554" spans="1:13" ht="12">
      <c r="A554" s="43" t="s">
        <v>4</v>
      </c>
      <c r="C554" s="47" t="s">
        <v>20</v>
      </c>
      <c r="E554" s="43" t="s">
        <v>4</v>
      </c>
      <c r="F554" s="44"/>
      <c r="G554" s="45" t="s">
        <v>6</v>
      </c>
      <c r="H554" s="46" t="s">
        <v>7</v>
      </c>
      <c r="I554" s="45" t="s">
        <v>6</v>
      </c>
      <c r="J554" s="46" t="s">
        <v>7</v>
      </c>
      <c r="K554" s="44"/>
      <c r="L554" s="45" t="s">
        <v>6</v>
      </c>
      <c r="M554" s="46" t="s">
        <v>8</v>
      </c>
    </row>
    <row r="555" spans="1:13" ht="12">
      <c r="A555" s="40" t="s">
        <v>1</v>
      </c>
      <c r="B555" s="40" t="s">
        <v>1</v>
      </c>
      <c r="C555" s="40" t="s">
        <v>1</v>
      </c>
      <c r="D555" s="40" t="s">
        <v>1</v>
      </c>
      <c r="E555" s="40" t="s">
        <v>1</v>
      </c>
      <c r="F555" s="40" t="s">
        <v>1</v>
      </c>
      <c r="G555" s="40"/>
      <c r="H555" s="40"/>
      <c r="I555" s="41" t="s">
        <v>1</v>
      </c>
      <c r="J555" s="42" t="s">
        <v>1</v>
      </c>
      <c r="K555" s="40" t="s">
        <v>1</v>
      </c>
      <c r="L555" s="41" t="s">
        <v>1</v>
      </c>
      <c r="M555" s="42" t="s">
        <v>1</v>
      </c>
    </row>
    <row r="556" spans="1:13" ht="12">
      <c r="A556" s="30">
        <v>1</v>
      </c>
      <c r="C556" s="31" t="s">
        <v>36</v>
      </c>
      <c r="E556" s="30">
        <v>1</v>
      </c>
      <c r="F556" s="32"/>
      <c r="G556" s="337">
        <v>0</v>
      </c>
      <c r="H556" s="338">
        <v>2267</v>
      </c>
      <c r="I556" s="138">
        <v>0</v>
      </c>
      <c r="J556" s="2">
        <f>400-2180</f>
        <v>-1780</v>
      </c>
      <c r="K556" s="131"/>
      <c r="L556" s="86">
        <v>0</v>
      </c>
      <c r="M556" s="1"/>
    </row>
    <row r="557" spans="1:13" ht="12">
      <c r="A557" s="30">
        <v>2</v>
      </c>
      <c r="C557" s="31" t="s">
        <v>37</v>
      </c>
      <c r="E557" s="30">
        <v>2</v>
      </c>
      <c r="F557" s="32"/>
      <c r="G557" s="337"/>
      <c r="H557" s="338">
        <v>-10187</v>
      </c>
      <c r="I557" s="135"/>
      <c r="J557" s="2">
        <f>54980+54</f>
        <v>55034</v>
      </c>
      <c r="K557" s="131"/>
      <c r="L557" s="86"/>
      <c r="M557" s="2"/>
    </row>
    <row r="558" spans="1:13" ht="12">
      <c r="A558" s="30">
        <v>3</v>
      </c>
      <c r="E558" s="30">
        <v>3</v>
      </c>
      <c r="F558" s="32"/>
      <c r="G558" s="337"/>
      <c r="H558" s="338"/>
      <c r="I558" s="135"/>
      <c r="J558" s="2"/>
      <c r="K558" s="131"/>
      <c r="L558" s="86"/>
      <c r="M558" s="2"/>
    </row>
    <row r="559" spans="1:13" ht="12">
      <c r="A559" s="30">
        <v>4</v>
      </c>
      <c r="C559" s="31" t="s">
        <v>23</v>
      </c>
      <c r="E559" s="30">
        <v>4</v>
      </c>
      <c r="F559" s="32"/>
      <c r="G559" s="337">
        <v>0</v>
      </c>
      <c r="H559" s="338">
        <v>-7920</v>
      </c>
      <c r="I559" s="138">
        <f>SUM(I556:I558)</f>
        <v>0</v>
      </c>
      <c r="J559" s="2">
        <f>SUM(J556:J558)</f>
        <v>53254</v>
      </c>
      <c r="K559" s="49"/>
      <c r="L559" s="86">
        <f>SUM(L556:L558)</f>
        <v>0</v>
      </c>
      <c r="M559" s="2">
        <f>SUM(M556:M558)</f>
        <v>0</v>
      </c>
    </row>
    <row r="560" spans="1:13" ht="12">
      <c r="A560" s="30">
        <v>5</v>
      </c>
      <c r="E560" s="30">
        <v>5</v>
      </c>
      <c r="F560" s="32"/>
      <c r="G560" s="337"/>
      <c r="H560" s="338"/>
      <c r="I560" s="135"/>
      <c r="J560" s="2"/>
      <c r="K560" s="49"/>
      <c r="L560" s="86"/>
      <c r="M560" s="2"/>
    </row>
    <row r="561" spans="1:13" ht="12">
      <c r="A561" s="30">
        <v>6</v>
      </c>
      <c r="E561" s="30">
        <v>6</v>
      </c>
      <c r="F561" s="32"/>
      <c r="G561" s="337"/>
      <c r="H561" s="338"/>
      <c r="I561" s="135"/>
      <c r="J561" s="2"/>
      <c r="K561" s="49"/>
      <c r="L561" s="86"/>
      <c r="M561" s="2"/>
    </row>
    <row r="562" spans="1:13" ht="12">
      <c r="A562" s="30">
        <v>7</v>
      </c>
      <c r="C562" s="31" t="s">
        <v>25</v>
      </c>
      <c r="E562" s="30">
        <v>7</v>
      </c>
      <c r="F562" s="32"/>
      <c r="G562" s="337">
        <v>0</v>
      </c>
      <c r="H562" s="338">
        <v>0</v>
      </c>
      <c r="I562" s="138">
        <v>0</v>
      </c>
      <c r="J562" s="2"/>
      <c r="K562" s="131"/>
      <c r="L562" s="86">
        <v>0</v>
      </c>
      <c r="M562" s="2">
        <v>0</v>
      </c>
    </row>
    <row r="563" spans="1:13" ht="12">
      <c r="A563" s="30">
        <v>8</v>
      </c>
      <c r="C563" s="31" t="s">
        <v>26</v>
      </c>
      <c r="E563" s="30">
        <v>8</v>
      </c>
      <c r="F563" s="32"/>
      <c r="G563" s="337"/>
      <c r="H563" s="338">
        <v>169</v>
      </c>
      <c r="I563" s="135"/>
      <c r="J563" s="2">
        <v>507</v>
      </c>
      <c r="K563" s="131"/>
      <c r="L563" s="86"/>
      <c r="M563" s="2">
        <v>0</v>
      </c>
    </row>
    <row r="564" spans="1:13" ht="12">
      <c r="A564" s="30">
        <v>9</v>
      </c>
      <c r="C564" s="31" t="s">
        <v>27</v>
      </c>
      <c r="E564" s="30">
        <v>9</v>
      </c>
      <c r="F564" s="32"/>
      <c r="G564" s="337">
        <v>0</v>
      </c>
      <c r="H564" s="338">
        <v>169</v>
      </c>
      <c r="I564" s="138">
        <f>SUM(I562:I563)</f>
        <v>0</v>
      </c>
      <c r="J564" s="2">
        <f>SUM(J562:J563)</f>
        <v>507</v>
      </c>
      <c r="K564" s="50"/>
      <c r="L564" s="86">
        <f>SUM(L562:L563)</f>
        <v>0</v>
      </c>
      <c r="M564" s="2">
        <f>SUM(M562:M563)</f>
        <v>0</v>
      </c>
    </row>
    <row r="565" spans="1:13" ht="12">
      <c r="A565" s="30">
        <v>10</v>
      </c>
      <c r="E565" s="30">
        <v>10</v>
      </c>
      <c r="F565" s="32"/>
      <c r="G565" s="337"/>
      <c r="H565" s="338"/>
      <c r="I565" s="135"/>
      <c r="J565" s="2"/>
      <c r="K565" s="49"/>
      <c r="L565" s="86"/>
      <c r="M565" s="2"/>
    </row>
    <row r="566" spans="1:13" ht="12">
      <c r="A566" s="30">
        <v>11</v>
      </c>
      <c r="C566" s="31" t="s">
        <v>28</v>
      </c>
      <c r="E566" s="30">
        <v>11</v>
      </c>
      <c r="G566" s="339">
        <v>0</v>
      </c>
      <c r="H566" s="340">
        <v>-7751</v>
      </c>
      <c r="I566" s="139">
        <f>SUM(I559,I564)</f>
        <v>0</v>
      </c>
      <c r="J566" s="84">
        <f>SUM(J564,J559)</f>
        <v>53761</v>
      </c>
      <c r="K566" s="50"/>
      <c r="L566" s="83">
        <f>SUM(L559,L564)</f>
        <v>0</v>
      </c>
      <c r="M566" s="84">
        <f>SUM(M564,M559)</f>
        <v>0</v>
      </c>
    </row>
    <row r="567" spans="1:13" ht="12">
      <c r="A567" s="30">
        <v>12</v>
      </c>
      <c r="E567" s="30">
        <v>12</v>
      </c>
      <c r="G567" s="341"/>
      <c r="H567" s="340"/>
      <c r="I567" s="136"/>
      <c r="J567" s="84"/>
      <c r="K567" s="49"/>
      <c r="L567" s="83"/>
      <c r="M567" s="84"/>
    </row>
    <row r="568" spans="1:13" ht="12">
      <c r="A568" s="30">
        <v>13</v>
      </c>
      <c r="C568" s="31" t="s">
        <v>38</v>
      </c>
      <c r="E568" s="30">
        <v>13</v>
      </c>
      <c r="F568" s="32"/>
      <c r="G568" s="342"/>
      <c r="H568" s="338">
        <v>406</v>
      </c>
      <c r="I568" s="135"/>
      <c r="J568" s="2"/>
      <c r="K568" s="131"/>
      <c r="L568" s="86"/>
      <c r="M568" s="2"/>
    </row>
    <row r="569" spans="1:13" ht="12">
      <c r="A569" s="30">
        <v>14</v>
      </c>
      <c r="E569" s="30">
        <v>14</v>
      </c>
      <c r="F569" s="32"/>
      <c r="G569" s="342"/>
      <c r="H569" s="338"/>
      <c r="I569" s="135"/>
      <c r="J569" s="2"/>
      <c r="K569" s="131"/>
      <c r="L569" s="86"/>
      <c r="M569" s="2"/>
    </row>
    <row r="570" spans="1:13" ht="12">
      <c r="A570" s="30">
        <v>15</v>
      </c>
      <c r="C570" s="31" t="s">
        <v>30</v>
      </c>
      <c r="E570" s="30">
        <v>15</v>
      </c>
      <c r="F570" s="32"/>
      <c r="G570" s="342"/>
      <c r="H570" s="338">
        <v>3075</v>
      </c>
      <c r="I570" s="135"/>
      <c r="J570" s="2">
        <v>478</v>
      </c>
      <c r="K570" s="131"/>
      <c r="L570" s="86"/>
      <c r="M570" s="2"/>
    </row>
    <row r="571" spans="1:13" ht="12">
      <c r="A571" s="30">
        <v>16</v>
      </c>
      <c r="C571" s="31" t="s">
        <v>31</v>
      </c>
      <c r="E571" s="30">
        <v>16</v>
      </c>
      <c r="F571" s="32"/>
      <c r="G571" s="342"/>
      <c r="H571" s="338">
        <v>9324</v>
      </c>
      <c r="I571" s="135"/>
      <c r="J571" s="2">
        <v>1713</v>
      </c>
      <c r="K571" s="131"/>
      <c r="L571" s="86"/>
      <c r="M571" s="2"/>
    </row>
    <row r="572" spans="1:13" ht="12">
      <c r="A572" s="30"/>
      <c r="C572" s="31"/>
      <c r="E572" s="30"/>
      <c r="F572" s="32"/>
      <c r="G572" s="342"/>
      <c r="H572" s="338"/>
      <c r="I572" s="135"/>
      <c r="J572" s="2"/>
      <c r="K572" s="131"/>
      <c r="L572" s="86"/>
      <c r="M572" s="2"/>
    </row>
    <row r="573" spans="1:13" ht="12">
      <c r="A573" s="30">
        <v>17</v>
      </c>
      <c r="C573" s="31" t="s">
        <v>32</v>
      </c>
      <c r="E573" s="30">
        <v>17</v>
      </c>
      <c r="F573" s="32"/>
      <c r="G573" s="342"/>
      <c r="H573" s="338"/>
      <c r="I573" s="135"/>
      <c r="J573" s="2"/>
      <c r="K573" s="131"/>
      <c r="L573" s="86"/>
      <c r="M573" s="2">
        <v>0</v>
      </c>
    </row>
    <row r="574" spans="1:13" ht="12">
      <c r="A574" s="30">
        <v>18</v>
      </c>
      <c r="C574" s="31"/>
      <c r="E574" s="30">
        <v>18</v>
      </c>
      <c r="F574" s="32"/>
      <c r="G574" s="342"/>
      <c r="H574" s="338"/>
      <c r="I574" s="135"/>
      <c r="J574" s="2"/>
      <c r="K574" s="131"/>
      <c r="L574" s="86"/>
      <c r="M574" s="2"/>
    </row>
    <row r="575" spans="1:13" ht="12">
      <c r="A575" s="30">
        <v>19</v>
      </c>
      <c r="C575" s="31"/>
      <c r="E575" s="30">
        <v>19</v>
      </c>
      <c r="F575" s="32"/>
      <c r="G575" s="342"/>
      <c r="H575" s="338"/>
      <c r="I575" s="135"/>
      <c r="J575" s="2"/>
      <c r="K575" s="131"/>
      <c r="L575" s="86"/>
      <c r="M575" s="2"/>
    </row>
    <row r="576" spans="1:13" ht="12">
      <c r="A576" s="30">
        <v>20</v>
      </c>
      <c r="C576" s="31"/>
      <c r="E576" s="30">
        <v>20</v>
      </c>
      <c r="F576" s="32"/>
      <c r="G576" s="342"/>
      <c r="H576" s="338"/>
      <c r="I576" s="135"/>
      <c r="J576" s="2"/>
      <c r="K576" s="131"/>
      <c r="L576" s="86"/>
      <c r="M576" s="2"/>
    </row>
    <row r="577" spans="1:13" ht="12">
      <c r="A577" s="30">
        <v>21</v>
      </c>
      <c r="C577" s="31"/>
      <c r="E577" s="30">
        <v>21</v>
      </c>
      <c r="F577" s="32"/>
      <c r="G577" s="342"/>
      <c r="H577" s="338"/>
      <c r="I577" s="135"/>
      <c r="J577" s="2"/>
      <c r="K577" s="131"/>
      <c r="L577" s="86"/>
      <c r="M577" s="2"/>
    </row>
    <row r="578" spans="1:13" ht="12">
      <c r="A578" s="30">
        <v>22</v>
      </c>
      <c r="C578" s="31"/>
      <c r="E578" s="30">
        <v>22</v>
      </c>
      <c r="F578" s="32"/>
      <c r="G578" s="342"/>
      <c r="H578" s="338"/>
      <c r="I578" s="135"/>
      <c r="J578" s="2"/>
      <c r="K578" s="131"/>
      <c r="L578" s="86"/>
      <c r="M578" s="2"/>
    </row>
    <row r="579" spans="1:13" ht="12">
      <c r="A579" s="30">
        <v>23</v>
      </c>
      <c r="C579" s="31"/>
      <c r="E579" s="30">
        <v>23</v>
      </c>
      <c r="F579" s="32"/>
      <c r="G579" s="342"/>
      <c r="H579" s="338"/>
      <c r="I579" s="135"/>
      <c r="J579" s="2"/>
      <c r="K579" s="131"/>
      <c r="L579" s="86"/>
      <c r="M579" s="2"/>
    </row>
    <row r="580" spans="1:13" ht="12">
      <c r="A580" s="30">
        <v>24</v>
      </c>
      <c r="C580" s="31"/>
      <c r="E580" s="30">
        <v>24</v>
      </c>
      <c r="F580" s="32"/>
      <c r="G580" s="342"/>
      <c r="H580" s="338"/>
      <c r="I580" s="135"/>
      <c r="J580" s="2"/>
      <c r="K580" s="131"/>
      <c r="L580" s="86"/>
      <c r="M580" s="2"/>
    </row>
    <row r="581" spans="5:13" ht="12">
      <c r="E581" s="69"/>
      <c r="F581" s="109" t="s">
        <v>1</v>
      </c>
      <c r="G581" s="42" t="s">
        <v>1</v>
      </c>
      <c r="H581" s="42" t="s">
        <v>1</v>
      </c>
      <c r="I581" s="42" t="s">
        <v>1</v>
      </c>
      <c r="J581" s="42" t="s">
        <v>1</v>
      </c>
      <c r="K581" s="109" t="s">
        <v>1</v>
      </c>
      <c r="L581" s="42" t="s">
        <v>1</v>
      </c>
      <c r="M581" s="42" t="s">
        <v>1</v>
      </c>
    </row>
    <row r="582" spans="1:13" ht="12">
      <c r="A582" s="30">
        <v>25</v>
      </c>
      <c r="C582" s="31" t="s">
        <v>225</v>
      </c>
      <c r="E582" s="30">
        <v>25</v>
      </c>
      <c r="G582" s="341">
        <v>0</v>
      </c>
      <c r="H582" s="340">
        <v>5054</v>
      </c>
      <c r="I582" s="136">
        <f>SUM(I566:I573)</f>
        <v>0</v>
      </c>
      <c r="J582" s="84">
        <f>SUM(J566:J573)</f>
        <v>55952</v>
      </c>
      <c r="K582" s="84"/>
      <c r="L582" s="83">
        <f>SUM(L566:L573)</f>
        <v>0</v>
      </c>
      <c r="M582" s="84">
        <f>SUM(M566:M573)</f>
        <v>0</v>
      </c>
    </row>
    <row r="583" spans="5:13" ht="12">
      <c r="E583" s="69"/>
      <c r="F583" s="109" t="s">
        <v>1</v>
      </c>
      <c r="G583" s="109"/>
      <c r="H583" s="109"/>
      <c r="I583" s="41" t="s">
        <v>1</v>
      </c>
      <c r="J583" s="42" t="s">
        <v>1</v>
      </c>
      <c r="K583" s="109" t="s">
        <v>1</v>
      </c>
      <c r="L583" s="41" t="s">
        <v>1</v>
      </c>
      <c r="M583" s="42" t="s">
        <v>1</v>
      </c>
    </row>
    <row r="584" spans="1:13" ht="12">
      <c r="A584" s="31"/>
      <c r="J584" s="74"/>
      <c r="M584" s="74"/>
    </row>
    <row r="585" spans="10:13" ht="12">
      <c r="J585" s="74"/>
      <c r="M585" s="74"/>
    </row>
    <row r="586" spans="1:13" ht="12">
      <c r="A586" s="38" t="str">
        <f>$A$36</f>
        <v>Institution No.:  GFC</v>
      </c>
      <c r="B586" s="65"/>
      <c r="C586" s="65"/>
      <c r="D586" s="65"/>
      <c r="E586" s="70"/>
      <c r="F586" s="65"/>
      <c r="G586" s="65"/>
      <c r="H586" s="65"/>
      <c r="I586" s="71"/>
      <c r="J586" s="72"/>
      <c r="K586" s="65"/>
      <c r="L586" s="71"/>
      <c r="M586" s="37" t="s">
        <v>39</v>
      </c>
    </row>
    <row r="587" spans="1:13" s="65" customFormat="1" ht="12">
      <c r="A587" s="414" t="s">
        <v>150</v>
      </c>
      <c r="B587" s="414"/>
      <c r="C587" s="414"/>
      <c r="D587" s="414"/>
      <c r="E587" s="414"/>
      <c r="F587" s="414"/>
      <c r="G587" s="414"/>
      <c r="H587" s="414"/>
      <c r="I587" s="414"/>
      <c r="J587" s="414"/>
      <c r="K587" s="414"/>
      <c r="L587" s="414"/>
      <c r="M587" s="414"/>
    </row>
    <row r="588" spans="1:13" s="65" customFormat="1" ht="12">
      <c r="A588" s="38" t="s">
        <v>551</v>
      </c>
      <c r="B588" s="38"/>
      <c r="C588" s="26" t="s">
        <v>455</v>
      </c>
      <c r="D588" s="26"/>
      <c r="E588" s="26"/>
      <c r="F588" s="26"/>
      <c r="G588" s="26"/>
      <c r="H588" s="26"/>
      <c r="I588" s="124"/>
      <c r="J588" s="105"/>
      <c r="K588" s="26"/>
      <c r="L588" s="36"/>
      <c r="M588" s="39" t="str">
        <f>$M$3</f>
        <v>Date: 10/1/2009</v>
      </c>
    </row>
    <row r="589" spans="1:13" ht="12">
      <c r="A589" s="40" t="s">
        <v>1</v>
      </c>
      <c r="B589" s="40" t="s">
        <v>1</v>
      </c>
      <c r="C589" s="40" t="s">
        <v>1</v>
      </c>
      <c r="D589" s="40" t="s">
        <v>1</v>
      </c>
      <c r="E589" s="40" t="s">
        <v>1</v>
      </c>
      <c r="F589" s="40" t="s">
        <v>1</v>
      </c>
      <c r="G589" s="40"/>
      <c r="H589" s="40"/>
      <c r="I589" s="41" t="s">
        <v>1</v>
      </c>
      <c r="J589" s="42" t="s">
        <v>1</v>
      </c>
      <c r="K589" s="40" t="s">
        <v>1</v>
      </c>
      <c r="L589" s="41" t="s">
        <v>1</v>
      </c>
      <c r="M589" s="42" t="s">
        <v>1</v>
      </c>
    </row>
    <row r="590" spans="1:13" ht="12">
      <c r="A590" s="43" t="s">
        <v>2</v>
      </c>
      <c r="E590" s="43" t="s">
        <v>2</v>
      </c>
      <c r="F590" s="44"/>
      <c r="G590" s="45"/>
      <c r="H590" s="44" t="s">
        <v>240</v>
      </c>
      <c r="I590" s="45"/>
      <c r="J590" s="46" t="s">
        <v>247</v>
      </c>
      <c r="K590" s="44"/>
      <c r="L590" s="45"/>
      <c r="M590" s="46" t="s">
        <v>576</v>
      </c>
    </row>
    <row r="591" spans="1:13" ht="12">
      <c r="A591" s="43" t="s">
        <v>4</v>
      </c>
      <c r="C591" s="47" t="s">
        <v>20</v>
      </c>
      <c r="E591" s="43" t="s">
        <v>4</v>
      </c>
      <c r="F591" s="44"/>
      <c r="G591" s="45" t="s">
        <v>6</v>
      </c>
      <c r="H591" s="46" t="s">
        <v>7</v>
      </c>
      <c r="I591" s="45" t="s">
        <v>6</v>
      </c>
      <c r="J591" s="46" t="s">
        <v>7</v>
      </c>
      <c r="K591" s="44"/>
      <c r="L591" s="45" t="s">
        <v>6</v>
      </c>
      <c r="M591" s="46" t="s">
        <v>8</v>
      </c>
    </row>
    <row r="592" spans="1:13" ht="12">
      <c r="A592" s="40" t="s">
        <v>1</v>
      </c>
      <c r="B592" s="40" t="s">
        <v>1</v>
      </c>
      <c r="C592" s="40" t="s">
        <v>1</v>
      </c>
      <c r="D592" s="40" t="s">
        <v>1</v>
      </c>
      <c r="E592" s="40" t="s">
        <v>1</v>
      </c>
      <c r="F592" s="40" t="s">
        <v>1</v>
      </c>
      <c r="G592" s="40"/>
      <c r="H592" s="40"/>
      <c r="I592" s="41" t="s">
        <v>1</v>
      </c>
      <c r="J592" s="42" t="s">
        <v>1</v>
      </c>
      <c r="K592" s="40" t="s">
        <v>1</v>
      </c>
      <c r="L592" s="137" t="s">
        <v>1</v>
      </c>
      <c r="M592" s="42" t="s">
        <v>1</v>
      </c>
    </row>
    <row r="593" spans="1:13" ht="12">
      <c r="A593" s="30">
        <v>1</v>
      </c>
      <c r="C593" s="31" t="s">
        <v>36</v>
      </c>
      <c r="E593" s="30">
        <v>1</v>
      </c>
      <c r="F593" s="32"/>
      <c r="G593" s="333">
        <v>33.230000000000004</v>
      </c>
      <c r="H593" s="334">
        <v>2552077</v>
      </c>
      <c r="I593" s="138">
        <f>11.2+24</f>
        <v>35.2</v>
      </c>
      <c r="J593" s="1">
        <f>2875552+28776</f>
        <v>2904328</v>
      </c>
      <c r="K593" s="131"/>
      <c r="L593" s="138">
        <f>11.2+26</f>
        <v>37.2</v>
      </c>
      <c r="M593" s="1">
        <f>848837+2207137</f>
        <v>3055974</v>
      </c>
    </row>
    <row r="594" spans="1:13" ht="12">
      <c r="A594" s="30">
        <v>2</v>
      </c>
      <c r="C594" s="31" t="s">
        <v>37</v>
      </c>
      <c r="E594" s="30">
        <v>2</v>
      </c>
      <c r="F594" s="32"/>
      <c r="G594" s="333"/>
      <c r="H594" s="334">
        <v>650334</v>
      </c>
      <c r="I594" s="138"/>
      <c r="J594" s="1">
        <f>681101+3883</f>
        <v>684984</v>
      </c>
      <c r="K594" s="131"/>
      <c r="L594" s="138"/>
      <c r="M594" s="1">
        <v>755162</v>
      </c>
    </row>
    <row r="595" spans="1:13" ht="12">
      <c r="A595" s="30">
        <v>3</v>
      </c>
      <c r="E595" s="30">
        <v>3</v>
      </c>
      <c r="F595" s="32"/>
      <c r="G595" s="333"/>
      <c r="H595" s="334"/>
      <c r="I595" s="138"/>
      <c r="J595" s="1"/>
      <c r="K595" s="131"/>
      <c r="L595" s="138"/>
      <c r="M595" s="1"/>
    </row>
    <row r="596" spans="1:13" ht="12">
      <c r="A596" s="30">
        <v>4</v>
      </c>
      <c r="C596" s="31" t="s">
        <v>23</v>
      </c>
      <c r="E596" s="30">
        <v>4</v>
      </c>
      <c r="F596" s="32"/>
      <c r="G596" s="333">
        <v>33.230000000000004</v>
      </c>
      <c r="H596" s="334">
        <v>3202411</v>
      </c>
      <c r="I596" s="138">
        <f>SUM(I593:I595)</f>
        <v>35.2</v>
      </c>
      <c r="J596" s="1">
        <f>SUM(J593:J595)</f>
        <v>3589312</v>
      </c>
      <c r="K596" s="49"/>
      <c r="L596" s="138">
        <f>SUM(L593:L595)</f>
        <v>37.2</v>
      </c>
      <c r="M596" s="1">
        <f>SUM(M593:M595)</f>
        <v>3811136</v>
      </c>
    </row>
    <row r="597" spans="1:13" ht="12">
      <c r="A597" s="30">
        <v>5</v>
      </c>
      <c r="E597" s="30">
        <v>5</v>
      </c>
      <c r="F597" s="32"/>
      <c r="G597" s="333"/>
      <c r="H597" s="334"/>
      <c r="I597" s="138"/>
      <c r="J597" s="1"/>
      <c r="K597" s="49"/>
      <c r="L597" s="138"/>
      <c r="M597" s="1"/>
    </row>
    <row r="598" spans="1:13" ht="12">
      <c r="A598" s="30">
        <v>6</v>
      </c>
      <c r="E598" s="30">
        <v>6</v>
      </c>
      <c r="F598" s="32"/>
      <c r="G598" s="333"/>
      <c r="H598" s="334"/>
      <c r="I598" s="138"/>
      <c r="J598" s="1"/>
      <c r="K598" s="49"/>
      <c r="L598" s="138"/>
      <c r="M598" s="1"/>
    </row>
    <row r="599" spans="1:13" ht="12">
      <c r="A599" s="30">
        <v>7</v>
      </c>
      <c r="C599" s="31" t="s">
        <v>25</v>
      </c>
      <c r="E599" s="30">
        <v>7</v>
      </c>
      <c r="F599" s="32"/>
      <c r="G599" s="333">
        <v>36.32</v>
      </c>
      <c r="H599" s="334">
        <v>1694112</v>
      </c>
      <c r="I599" s="138">
        <v>40.99</v>
      </c>
      <c r="J599" s="1">
        <v>1891277</v>
      </c>
      <c r="K599" s="131"/>
      <c r="L599" s="138">
        <v>39.05</v>
      </c>
      <c r="M599" s="1">
        <v>1951183</v>
      </c>
    </row>
    <row r="600" spans="1:13" ht="12">
      <c r="A600" s="30">
        <v>8</v>
      </c>
      <c r="C600" s="31" t="s">
        <v>26</v>
      </c>
      <c r="E600" s="30">
        <v>8</v>
      </c>
      <c r="F600" s="32"/>
      <c r="G600" s="333"/>
      <c r="H600" s="334">
        <v>415326</v>
      </c>
      <c r="I600" s="138"/>
      <c r="J600" s="1">
        <v>522515</v>
      </c>
      <c r="K600" s="131"/>
      <c r="L600" s="138"/>
      <c r="M600" s="1">
        <v>507443</v>
      </c>
    </row>
    <row r="601" spans="1:13" ht="12">
      <c r="A601" s="30">
        <v>9</v>
      </c>
      <c r="C601" s="31" t="s">
        <v>27</v>
      </c>
      <c r="E601" s="30">
        <v>9</v>
      </c>
      <c r="F601" s="32"/>
      <c r="G601" s="333">
        <v>36.32</v>
      </c>
      <c r="H601" s="334">
        <v>2109438</v>
      </c>
      <c r="I601" s="138">
        <f>SUM(I599:I600)</f>
        <v>40.99</v>
      </c>
      <c r="J601" s="1">
        <f>SUM(J599:J600)</f>
        <v>2413792</v>
      </c>
      <c r="K601" s="49"/>
      <c r="L601" s="138">
        <f>SUM(L599:L600)</f>
        <v>39.05</v>
      </c>
      <c r="M601" s="1">
        <f>SUM(M599:M600)</f>
        <v>2458626</v>
      </c>
    </row>
    <row r="602" spans="1:13" ht="12">
      <c r="A602" s="30">
        <v>10</v>
      </c>
      <c r="E602" s="30">
        <v>10</v>
      </c>
      <c r="F602" s="32"/>
      <c r="G602" s="333"/>
      <c r="H602" s="334"/>
      <c r="I602" s="138"/>
      <c r="J602" s="1"/>
      <c r="K602" s="49"/>
      <c r="L602" s="138"/>
      <c r="M602" s="1"/>
    </row>
    <row r="603" spans="1:13" ht="12">
      <c r="A603" s="30">
        <v>11</v>
      </c>
      <c r="C603" s="31" t="s">
        <v>28</v>
      </c>
      <c r="E603" s="30">
        <v>11</v>
      </c>
      <c r="G603" s="335">
        <v>69.55000000000001</v>
      </c>
      <c r="H603" s="336">
        <v>5311849</v>
      </c>
      <c r="I603" s="139">
        <f>SUM(I596,I601)</f>
        <v>76.19</v>
      </c>
      <c r="J603" s="121">
        <f>SUM(J601,J596)</f>
        <v>6003104</v>
      </c>
      <c r="K603" s="49"/>
      <c r="L603" s="139">
        <f>SUM(L596,L601)</f>
        <v>76.25</v>
      </c>
      <c r="M603" s="121">
        <f>SUM(M601,M596)</f>
        <v>6269762</v>
      </c>
    </row>
    <row r="604" spans="1:13" ht="12">
      <c r="A604" s="30">
        <v>12</v>
      </c>
      <c r="E604" s="30">
        <v>12</v>
      </c>
      <c r="G604" s="335"/>
      <c r="H604" s="336"/>
      <c r="I604" s="139"/>
      <c r="J604" s="121"/>
      <c r="K604" s="49"/>
      <c r="L604" s="139"/>
      <c r="M604" s="121"/>
    </row>
    <row r="605" spans="1:13" ht="12">
      <c r="A605" s="30">
        <v>13</v>
      </c>
      <c r="C605" s="31" t="s">
        <v>38</v>
      </c>
      <c r="E605" s="30">
        <v>13</v>
      </c>
      <c r="F605" s="32"/>
      <c r="G605" s="333"/>
      <c r="H605" s="334">
        <v>303742</v>
      </c>
      <c r="I605" s="138"/>
      <c r="J605" s="1">
        <v>328077</v>
      </c>
      <c r="K605" s="131"/>
      <c r="L605" s="138"/>
      <c r="M605" s="1">
        <f>267609+2990</f>
        <v>270599</v>
      </c>
    </row>
    <row r="606" spans="1:13" ht="12">
      <c r="A606" s="30">
        <v>14</v>
      </c>
      <c r="E606" s="30">
        <v>14</v>
      </c>
      <c r="F606" s="32"/>
      <c r="G606" s="333"/>
      <c r="H606" s="334"/>
      <c r="I606" s="138"/>
      <c r="J606" s="1"/>
      <c r="K606" s="131"/>
      <c r="L606" s="138"/>
      <c r="M606" s="1"/>
    </row>
    <row r="607" spans="1:13" ht="12">
      <c r="A607" s="30">
        <v>15</v>
      </c>
      <c r="C607" s="31" t="s">
        <v>30</v>
      </c>
      <c r="E607" s="30">
        <v>15</v>
      </c>
      <c r="F607" s="32"/>
      <c r="G607" s="333"/>
      <c r="H607" s="334">
        <v>40048</v>
      </c>
      <c r="I607" s="138"/>
      <c r="J607" s="1">
        <v>71195</v>
      </c>
      <c r="K607" s="131"/>
      <c r="L607" s="138"/>
      <c r="M607" s="1">
        <v>38998</v>
      </c>
    </row>
    <row r="608" spans="1:13" ht="12">
      <c r="A608" s="30">
        <v>16</v>
      </c>
      <c r="C608" s="31" t="s">
        <v>31</v>
      </c>
      <c r="E608" s="30">
        <v>16</v>
      </c>
      <c r="F608" s="32"/>
      <c r="G608" s="333"/>
      <c r="H608" s="334">
        <v>1084698</v>
      </c>
      <c r="I608" s="138"/>
      <c r="J608" s="1">
        <f>1252593-16527</f>
        <v>1236066</v>
      </c>
      <c r="K608" s="131"/>
      <c r="L608" s="138"/>
      <c r="M608" s="1">
        <f>1769993+111894</f>
        <v>1881887</v>
      </c>
    </row>
    <row r="609" spans="1:13" ht="12">
      <c r="A609" s="30"/>
      <c r="C609" s="31"/>
      <c r="E609" s="30"/>
      <c r="F609" s="32"/>
      <c r="G609" s="333"/>
      <c r="H609" s="334"/>
      <c r="I609" s="138"/>
      <c r="J609" s="1"/>
      <c r="K609" s="131"/>
      <c r="L609" s="138"/>
      <c r="M609" s="1"/>
    </row>
    <row r="610" spans="1:13" ht="12">
      <c r="A610" s="30">
        <v>17</v>
      </c>
      <c r="C610" s="31" t="s">
        <v>32</v>
      </c>
      <c r="E610" s="30">
        <v>17</v>
      </c>
      <c r="F610" s="32"/>
      <c r="G610" s="333"/>
      <c r="H610" s="334"/>
      <c r="I610" s="138"/>
      <c r="J610" s="1"/>
      <c r="K610" s="131"/>
      <c r="L610" s="138"/>
      <c r="M610" s="1">
        <v>41485</v>
      </c>
    </row>
    <row r="611" spans="1:13" ht="12">
      <c r="A611" s="30">
        <v>18</v>
      </c>
      <c r="C611" s="31" t="s">
        <v>40</v>
      </c>
      <c r="E611" s="30">
        <v>18</v>
      </c>
      <c r="F611" s="32"/>
      <c r="G611" s="333"/>
      <c r="H611" s="334">
        <v>220101</v>
      </c>
      <c r="I611" s="138"/>
      <c r="J611" s="1">
        <v>276278</v>
      </c>
      <c r="K611" s="131"/>
      <c r="L611" s="138"/>
      <c r="M611" s="1">
        <f>14946+149052</f>
        <v>163998</v>
      </c>
    </row>
    <row r="612" spans="1:13" ht="12">
      <c r="A612" s="30">
        <v>19</v>
      </c>
      <c r="C612" s="31" t="s">
        <v>42</v>
      </c>
      <c r="E612" s="30">
        <v>19</v>
      </c>
      <c r="F612" s="32"/>
      <c r="G612" s="333"/>
      <c r="H612" s="334">
        <v>0</v>
      </c>
      <c r="I612" s="138"/>
      <c r="J612" s="1">
        <v>0</v>
      </c>
      <c r="K612" s="131"/>
      <c r="L612" s="138"/>
      <c r="M612" s="1">
        <v>0</v>
      </c>
    </row>
    <row r="613" spans="1:13" ht="12">
      <c r="A613" s="30">
        <v>20</v>
      </c>
      <c r="C613" s="31" t="s">
        <v>103</v>
      </c>
      <c r="E613" s="30">
        <v>20</v>
      </c>
      <c r="F613" s="32"/>
      <c r="G613" s="333"/>
      <c r="H613" s="334">
        <v>0</v>
      </c>
      <c r="I613" s="138"/>
      <c r="J613" s="1">
        <v>0</v>
      </c>
      <c r="K613" s="131"/>
      <c r="L613" s="138"/>
      <c r="M613" s="1">
        <v>0</v>
      </c>
    </row>
    <row r="614" spans="1:13" ht="12">
      <c r="A614" s="30">
        <v>21</v>
      </c>
      <c r="C614" s="31"/>
      <c r="E614" s="30">
        <v>21</v>
      </c>
      <c r="F614" s="32"/>
      <c r="G614" s="333"/>
      <c r="H614" s="334"/>
      <c r="I614" s="138"/>
      <c r="J614" s="1"/>
      <c r="K614" s="131"/>
      <c r="L614" s="138"/>
      <c r="M614" s="1"/>
    </row>
    <row r="615" spans="1:13" ht="12">
      <c r="A615" s="30">
        <v>22</v>
      </c>
      <c r="C615" s="31"/>
      <c r="E615" s="30">
        <v>22</v>
      </c>
      <c r="F615" s="32"/>
      <c r="G615" s="333"/>
      <c r="H615" s="334"/>
      <c r="I615" s="138"/>
      <c r="J615" s="1"/>
      <c r="K615" s="131"/>
      <c r="L615" s="138"/>
      <c r="M615" s="1"/>
    </row>
    <row r="616" spans="1:13" ht="12">
      <c r="A616" s="30">
        <v>23</v>
      </c>
      <c r="C616" s="31"/>
      <c r="E616" s="30">
        <v>23</v>
      </c>
      <c r="F616" s="32"/>
      <c r="G616" s="333"/>
      <c r="H616" s="334"/>
      <c r="I616" s="138"/>
      <c r="J616" s="1"/>
      <c r="K616" s="131"/>
      <c r="L616" s="138"/>
      <c r="M616" s="1"/>
    </row>
    <row r="617" spans="1:13" ht="12">
      <c r="A617" s="30">
        <v>24</v>
      </c>
      <c r="C617" s="31"/>
      <c r="E617" s="30">
        <v>24</v>
      </c>
      <c r="F617" s="32"/>
      <c r="G617" s="333"/>
      <c r="H617" s="334"/>
      <c r="I617" s="138"/>
      <c r="J617" s="1"/>
      <c r="K617" s="131"/>
      <c r="L617" s="138"/>
      <c r="M617" s="1"/>
    </row>
    <row r="618" spans="5:13" ht="12">
      <c r="E618" s="69"/>
      <c r="F618" s="109" t="s">
        <v>1</v>
      </c>
      <c r="G618" s="137" t="s">
        <v>1</v>
      </c>
      <c r="H618" s="42" t="s">
        <v>1</v>
      </c>
      <c r="I618" s="137" t="s">
        <v>1</v>
      </c>
      <c r="J618" s="42" t="s">
        <v>1</v>
      </c>
      <c r="K618" s="109" t="s">
        <v>1</v>
      </c>
      <c r="L618" s="137" t="s">
        <v>1</v>
      </c>
      <c r="M618" s="42" t="s">
        <v>1</v>
      </c>
    </row>
    <row r="619" spans="1:13" ht="12">
      <c r="A619" s="30">
        <v>25</v>
      </c>
      <c r="C619" s="31" t="s">
        <v>226</v>
      </c>
      <c r="E619" s="30">
        <v>25</v>
      </c>
      <c r="G619" s="132">
        <v>69.55</v>
      </c>
      <c r="H619" s="336">
        <v>6960438</v>
      </c>
      <c r="I619" s="132">
        <f>SUM(I603:I616)</f>
        <v>76.19</v>
      </c>
      <c r="J619" s="121">
        <f>SUM(J603:J616)</f>
        <v>7914720</v>
      </c>
      <c r="K619" s="44"/>
      <c r="L619" s="132">
        <f>SUM(L603:L616)</f>
        <v>76.25</v>
      </c>
      <c r="M619" s="121">
        <f>SUM(M603:M616)</f>
        <v>8666729</v>
      </c>
    </row>
    <row r="620" spans="5:13" ht="12">
      <c r="E620" s="69"/>
      <c r="F620" s="109" t="s">
        <v>1</v>
      </c>
      <c r="G620" s="109"/>
      <c r="H620" s="109"/>
      <c r="I620" s="41"/>
      <c r="J620" s="42"/>
      <c r="K620" s="109"/>
      <c r="L620" s="41"/>
      <c r="M620" s="42"/>
    </row>
    <row r="621" ht="12">
      <c r="A621" s="31"/>
    </row>
    <row r="623" spans="1:13" ht="12">
      <c r="A623" s="38" t="str">
        <f>$A$36</f>
        <v>Institution No.:  GFC</v>
      </c>
      <c r="B623" s="65"/>
      <c r="C623" s="65"/>
      <c r="D623" s="65"/>
      <c r="E623" s="70"/>
      <c r="F623" s="65"/>
      <c r="G623" s="65"/>
      <c r="H623" s="65"/>
      <c r="I623" s="71"/>
      <c r="J623" s="72"/>
      <c r="K623" s="65"/>
      <c r="L623" s="71"/>
      <c r="M623" s="37" t="s">
        <v>41</v>
      </c>
    </row>
    <row r="624" spans="1:13" s="65" customFormat="1" ht="12">
      <c r="A624" s="414" t="s">
        <v>151</v>
      </c>
      <c r="B624" s="414"/>
      <c r="C624" s="414"/>
      <c r="D624" s="414"/>
      <c r="E624" s="414"/>
      <c r="F624" s="414"/>
      <c r="G624" s="414"/>
      <c r="H624" s="414"/>
      <c r="I624" s="414"/>
      <c r="J624" s="414"/>
      <c r="K624" s="414"/>
      <c r="L624" s="414"/>
      <c r="M624" s="414"/>
    </row>
    <row r="625" spans="1:13" s="65" customFormat="1" ht="12">
      <c r="A625" s="38" t="s">
        <v>551</v>
      </c>
      <c r="B625" s="26"/>
      <c r="C625" s="26" t="s">
        <v>455</v>
      </c>
      <c r="D625" s="26"/>
      <c r="E625" s="26"/>
      <c r="F625" s="26"/>
      <c r="G625" s="26"/>
      <c r="H625" s="26"/>
      <c r="I625" s="124"/>
      <c r="J625" s="105"/>
      <c r="K625" s="26"/>
      <c r="L625" s="36"/>
      <c r="M625" s="39" t="str">
        <f>$M$3</f>
        <v>Date: 10/1/2009</v>
      </c>
    </row>
    <row r="626" spans="1:13" ht="12">
      <c r="A626" s="40" t="s">
        <v>1</v>
      </c>
      <c r="B626" s="40" t="s">
        <v>1</v>
      </c>
      <c r="C626" s="40" t="s">
        <v>1</v>
      </c>
      <c r="D626" s="40" t="s">
        <v>1</v>
      </c>
      <c r="E626" s="40" t="s">
        <v>1</v>
      </c>
      <c r="F626" s="40" t="s">
        <v>1</v>
      </c>
      <c r="G626" s="40"/>
      <c r="H626" s="40"/>
      <c r="I626" s="41" t="s">
        <v>1</v>
      </c>
      <c r="J626" s="42" t="s">
        <v>1</v>
      </c>
      <c r="K626" s="40" t="s">
        <v>1</v>
      </c>
      <c r="L626" s="41" t="s">
        <v>1</v>
      </c>
      <c r="M626" s="42" t="s">
        <v>1</v>
      </c>
    </row>
    <row r="627" spans="1:13" ht="12">
      <c r="A627" s="43" t="s">
        <v>2</v>
      </c>
      <c r="E627" s="43" t="s">
        <v>2</v>
      </c>
      <c r="F627" s="44"/>
      <c r="G627" s="45"/>
      <c r="H627" s="44" t="s">
        <v>240</v>
      </c>
      <c r="I627" s="45"/>
      <c r="J627" s="46" t="s">
        <v>247</v>
      </c>
      <c r="K627" s="44"/>
      <c r="L627" s="45"/>
      <c r="M627" s="46" t="s">
        <v>576</v>
      </c>
    </row>
    <row r="628" spans="1:13" ht="12">
      <c r="A628" s="43" t="s">
        <v>4</v>
      </c>
      <c r="C628" s="47" t="s">
        <v>20</v>
      </c>
      <c r="E628" s="43" t="s">
        <v>4</v>
      </c>
      <c r="F628" s="44"/>
      <c r="G628" s="45" t="s">
        <v>6</v>
      </c>
      <c r="H628" s="46" t="s">
        <v>7</v>
      </c>
      <c r="I628" s="45" t="s">
        <v>6</v>
      </c>
      <c r="J628" s="46" t="s">
        <v>7</v>
      </c>
      <c r="K628" s="44"/>
      <c r="L628" s="45" t="s">
        <v>6</v>
      </c>
      <c r="M628" s="46" t="s">
        <v>8</v>
      </c>
    </row>
    <row r="629" spans="1:13" ht="12">
      <c r="A629" s="40" t="s">
        <v>1</v>
      </c>
      <c r="B629" s="40" t="s">
        <v>1</v>
      </c>
      <c r="C629" s="40" t="s">
        <v>1</v>
      </c>
      <c r="D629" s="40" t="s">
        <v>1</v>
      </c>
      <c r="E629" s="40" t="s">
        <v>1</v>
      </c>
      <c r="F629" s="40" t="s">
        <v>1</v>
      </c>
      <c r="G629" s="40"/>
      <c r="H629" s="40"/>
      <c r="I629" s="41" t="s">
        <v>1</v>
      </c>
      <c r="J629" s="42" t="s">
        <v>1</v>
      </c>
      <c r="K629" s="40" t="s">
        <v>1</v>
      </c>
      <c r="L629" s="41" t="s">
        <v>1</v>
      </c>
      <c r="M629" s="42" t="s">
        <v>1</v>
      </c>
    </row>
    <row r="630" spans="1:13" ht="12">
      <c r="A630" s="30">
        <v>1</v>
      </c>
      <c r="C630" s="31" t="s">
        <v>36</v>
      </c>
      <c r="E630" s="30">
        <v>1</v>
      </c>
      <c r="F630" s="32"/>
      <c r="G630" s="328">
        <v>14.83</v>
      </c>
      <c r="H630" s="329">
        <v>1100626</v>
      </c>
      <c r="I630" s="86">
        <f>0.75+19.09</f>
        <v>19.84</v>
      </c>
      <c r="J630" s="2">
        <f>1350130+6447</f>
        <v>1356577</v>
      </c>
      <c r="K630" s="131"/>
      <c r="L630" s="86">
        <f>0.25+17.14</f>
        <v>17.39</v>
      </c>
      <c r="M630" s="1">
        <f>605600+1645+1303484</f>
        <v>1910729</v>
      </c>
    </row>
    <row r="631" spans="1:13" ht="12">
      <c r="A631" s="30">
        <v>2</v>
      </c>
      <c r="C631" s="31" t="s">
        <v>37</v>
      </c>
      <c r="E631" s="30">
        <v>2</v>
      </c>
      <c r="F631" s="32"/>
      <c r="G631" s="328"/>
      <c r="H631" s="329">
        <v>229483</v>
      </c>
      <c r="I631" s="86"/>
      <c r="J631" s="2">
        <f>360110+970</f>
        <v>361080</v>
      </c>
      <c r="K631" s="131"/>
      <c r="L631" s="86"/>
      <c r="M631" s="2">
        <f>32479+2224+263843</f>
        <v>298546</v>
      </c>
    </row>
    <row r="632" spans="1:13" ht="12">
      <c r="A632" s="30">
        <v>3</v>
      </c>
      <c r="E632" s="30">
        <v>3</v>
      </c>
      <c r="F632" s="32"/>
      <c r="G632" s="328"/>
      <c r="H632" s="329"/>
      <c r="I632" s="86"/>
      <c r="J632" s="2"/>
      <c r="K632" s="131"/>
      <c r="L632" s="86"/>
      <c r="M632" s="2"/>
    </row>
    <row r="633" spans="1:13" ht="12">
      <c r="A633" s="30">
        <v>4</v>
      </c>
      <c r="C633" s="31" t="s">
        <v>23</v>
      </c>
      <c r="E633" s="30">
        <v>4</v>
      </c>
      <c r="F633" s="32"/>
      <c r="G633" s="328">
        <v>14.83</v>
      </c>
      <c r="H633" s="329">
        <v>1330109</v>
      </c>
      <c r="I633" s="86">
        <f>SUM(I630:I632)</f>
        <v>19.84</v>
      </c>
      <c r="J633" s="2">
        <f>SUM(J630:J632)</f>
        <v>1717657</v>
      </c>
      <c r="K633" s="49"/>
      <c r="L633" s="86">
        <f>SUM(L630:L632)</f>
        <v>17.39</v>
      </c>
      <c r="M633" s="2">
        <f>SUM(M630:M632)</f>
        <v>2209275</v>
      </c>
    </row>
    <row r="634" spans="1:13" ht="12">
      <c r="A634" s="30">
        <v>5</v>
      </c>
      <c r="E634" s="30">
        <v>5</v>
      </c>
      <c r="F634" s="32"/>
      <c r="G634" s="328"/>
      <c r="H634" s="329"/>
      <c r="I634" s="86"/>
      <c r="J634" s="2"/>
      <c r="K634" s="49"/>
      <c r="L634" s="86"/>
      <c r="M634" s="2"/>
    </row>
    <row r="635" spans="1:13" ht="12">
      <c r="A635" s="30">
        <v>6</v>
      </c>
      <c r="E635" s="30">
        <v>6</v>
      </c>
      <c r="F635" s="32"/>
      <c r="G635" s="328"/>
      <c r="H635" s="329"/>
      <c r="I635" s="86"/>
      <c r="J635" s="2"/>
      <c r="K635" s="49"/>
      <c r="L635" s="86"/>
      <c r="M635" s="2"/>
    </row>
    <row r="636" spans="1:13" ht="12">
      <c r="A636" s="30">
        <v>7</v>
      </c>
      <c r="C636" s="31" t="s">
        <v>25</v>
      </c>
      <c r="E636" s="30">
        <v>7</v>
      </c>
      <c r="F636" s="32"/>
      <c r="G636" s="328">
        <v>49.26</v>
      </c>
      <c r="H636" s="329">
        <v>2209567</v>
      </c>
      <c r="I636" s="86">
        <v>49.36</v>
      </c>
      <c r="J636" s="2">
        <v>2280262</v>
      </c>
      <c r="K636" s="131"/>
      <c r="L636" s="86">
        <v>50.65</v>
      </c>
      <c r="M636" s="1">
        <v>2211244</v>
      </c>
    </row>
    <row r="637" spans="1:13" ht="12">
      <c r="A637" s="30">
        <v>8</v>
      </c>
      <c r="C637" s="31" t="s">
        <v>26</v>
      </c>
      <c r="E637" s="30">
        <v>8</v>
      </c>
      <c r="F637" s="32"/>
      <c r="G637" s="328"/>
      <c r="H637" s="329">
        <v>507327</v>
      </c>
      <c r="I637" s="86"/>
      <c r="J637" s="2">
        <v>546195</v>
      </c>
      <c r="K637" s="131"/>
      <c r="L637" s="86"/>
      <c r="M637" s="2">
        <v>513165</v>
      </c>
    </row>
    <row r="638" spans="1:13" ht="12">
      <c r="A638" s="30">
        <v>9</v>
      </c>
      <c r="C638" s="31" t="s">
        <v>27</v>
      </c>
      <c r="E638" s="30">
        <v>9</v>
      </c>
      <c r="F638" s="32"/>
      <c r="G638" s="328">
        <v>49.26</v>
      </c>
      <c r="H638" s="329">
        <v>2716894</v>
      </c>
      <c r="I638" s="86">
        <f>SUM(I636:I637)</f>
        <v>49.36</v>
      </c>
      <c r="J638" s="2">
        <f>SUM(J636:J637)</f>
        <v>2826457</v>
      </c>
      <c r="K638" s="49"/>
      <c r="L638" s="86">
        <f>SUM(L636:L637)</f>
        <v>50.65</v>
      </c>
      <c r="M638" s="2">
        <f>SUM(M636:M637)</f>
        <v>2724409</v>
      </c>
    </row>
    <row r="639" spans="1:13" ht="12">
      <c r="A639" s="30">
        <v>10</v>
      </c>
      <c r="E639" s="30">
        <v>10</v>
      </c>
      <c r="F639" s="32"/>
      <c r="G639" s="328"/>
      <c r="H639" s="329"/>
      <c r="I639" s="86"/>
      <c r="J639" s="2"/>
      <c r="K639" s="49"/>
      <c r="L639" s="86"/>
      <c r="M639" s="2"/>
    </row>
    <row r="640" spans="1:13" ht="12">
      <c r="A640" s="30">
        <v>11</v>
      </c>
      <c r="C640" s="31" t="s">
        <v>28</v>
      </c>
      <c r="E640" s="30">
        <v>11</v>
      </c>
      <c r="G640" s="330">
        <v>64.09</v>
      </c>
      <c r="H640" s="331">
        <v>4047003</v>
      </c>
      <c r="I640" s="83">
        <f>SUM(I638,I633)</f>
        <v>69.2</v>
      </c>
      <c r="J640" s="84">
        <f>SUM(J638,J633)</f>
        <v>4544114</v>
      </c>
      <c r="K640" s="49"/>
      <c r="L640" s="83">
        <f>SUM(L638,L633)</f>
        <v>68.03999999999999</v>
      </c>
      <c r="M640" s="84">
        <f>SUM(M638,M633)</f>
        <v>4933684</v>
      </c>
    </row>
    <row r="641" spans="1:13" ht="12">
      <c r="A641" s="30">
        <v>12</v>
      </c>
      <c r="E641" s="30">
        <v>12</v>
      </c>
      <c r="G641" s="330"/>
      <c r="H641" s="331"/>
      <c r="I641" s="83"/>
      <c r="J641" s="84"/>
      <c r="K641" s="49"/>
      <c r="L641" s="83"/>
      <c r="M641" s="84"/>
    </row>
    <row r="642" spans="1:13" ht="12">
      <c r="A642" s="30">
        <v>13</v>
      </c>
      <c r="C642" s="31" t="s">
        <v>38</v>
      </c>
      <c r="E642" s="30">
        <v>13</v>
      </c>
      <c r="F642" s="32"/>
      <c r="G642" s="328"/>
      <c r="H642" s="329">
        <v>427726</v>
      </c>
      <c r="I642" s="86"/>
      <c r="J642" s="2">
        <v>385062</v>
      </c>
      <c r="K642" s="131"/>
      <c r="L642" s="86"/>
      <c r="M642" s="2">
        <f>144061+4153</f>
        <v>148214</v>
      </c>
    </row>
    <row r="643" spans="1:13" ht="12">
      <c r="A643" s="30">
        <v>14</v>
      </c>
      <c r="E643" s="30">
        <v>14</v>
      </c>
      <c r="F643" s="32"/>
      <c r="G643" s="328"/>
      <c r="H643" s="329"/>
      <c r="I643" s="86"/>
      <c r="J643" s="2"/>
      <c r="K643" s="131"/>
      <c r="L643" s="86"/>
      <c r="M643" s="2"/>
    </row>
    <row r="644" spans="1:13" ht="12">
      <c r="A644" s="30">
        <v>15</v>
      </c>
      <c r="C644" s="31" t="s">
        <v>30</v>
      </c>
      <c r="E644" s="30">
        <v>15</v>
      </c>
      <c r="F644" s="32"/>
      <c r="G644" s="328"/>
      <c r="H644" s="329">
        <v>102670</v>
      </c>
      <c r="I644" s="86"/>
      <c r="J644" s="2">
        <v>124479</v>
      </c>
      <c r="K644" s="131"/>
      <c r="L644" s="86"/>
      <c r="M644" s="2">
        <v>56932</v>
      </c>
    </row>
    <row r="645" spans="1:13" ht="12">
      <c r="A645" s="30">
        <v>16</v>
      </c>
      <c r="C645" s="31" t="s">
        <v>31</v>
      </c>
      <c r="E645" s="30">
        <v>16</v>
      </c>
      <c r="F645" s="32"/>
      <c r="G645" s="328"/>
      <c r="H645" s="329">
        <v>417181</v>
      </c>
      <c r="I645" s="86"/>
      <c r="J645" s="2">
        <f>938278-542587</f>
        <v>395691</v>
      </c>
      <c r="K645" s="131"/>
      <c r="L645" s="86"/>
      <c r="M645" s="2">
        <f>1985886+80215</f>
        <v>2066101</v>
      </c>
    </row>
    <row r="646" spans="1:13" ht="12">
      <c r="A646" s="30"/>
      <c r="C646" s="31"/>
      <c r="E646" s="30"/>
      <c r="F646" s="32"/>
      <c r="G646" s="328"/>
      <c r="H646" s="329"/>
      <c r="I646" s="86"/>
      <c r="J646" s="2"/>
      <c r="K646" s="131"/>
      <c r="L646" s="86"/>
      <c r="M646" s="2"/>
    </row>
    <row r="647" spans="1:13" ht="12">
      <c r="A647" s="30">
        <v>17</v>
      </c>
      <c r="C647" s="31" t="s">
        <v>32</v>
      </c>
      <c r="E647" s="30">
        <v>17</v>
      </c>
      <c r="F647" s="32"/>
      <c r="G647" s="328"/>
      <c r="H647" s="329"/>
      <c r="I647" s="86"/>
      <c r="J647" s="2"/>
      <c r="K647" s="131"/>
      <c r="L647" s="86"/>
      <c r="M647" s="2"/>
    </row>
    <row r="648" spans="1:13" ht="12">
      <c r="A648" s="30">
        <v>18</v>
      </c>
      <c r="E648" s="30">
        <v>18</v>
      </c>
      <c r="F648" s="32"/>
      <c r="G648" s="328"/>
      <c r="H648" s="329"/>
      <c r="I648" s="86"/>
      <c r="J648" s="2"/>
      <c r="K648" s="131"/>
      <c r="L648" s="86"/>
      <c r="M648" s="2"/>
    </row>
    <row r="649" spans="1:13" ht="12">
      <c r="A649" s="30">
        <v>19</v>
      </c>
      <c r="C649" s="31" t="s">
        <v>42</v>
      </c>
      <c r="E649" s="30">
        <v>19</v>
      </c>
      <c r="F649" s="32"/>
      <c r="G649" s="328"/>
      <c r="H649" s="329">
        <v>0</v>
      </c>
      <c r="I649" s="86"/>
      <c r="J649" s="2">
        <v>0</v>
      </c>
      <c r="K649" s="131"/>
      <c r="L649" s="86"/>
      <c r="M649" s="2">
        <v>0</v>
      </c>
    </row>
    <row r="650" spans="1:13" ht="12">
      <c r="A650" s="30">
        <v>20</v>
      </c>
      <c r="C650" s="31"/>
      <c r="E650" s="30">
        <v>20</v>
      </c>
      <c r="F650" s="32"/>
      <c r="G650" s="328"/>
      <c r="H650" s="329"/>
      <c r="I650" s="86"/>
      <c r="J650" s="2"/>
      <c r="K650" s="131"/>
      <c r="L650" s="86"/>
      <c r="M650" s="2"/>
    </row>
    <row r="651" spans="1:13" ht="12">
      <c r="A651" s="30">
        <v>21</v>
      </c>
      <c r="C651" s="31"/>
      <c r="E651" s="30">
        <v>21</v>
      </c>
      <c r="F651" s="32"/>
      <c r="G651" s="328"/>
      <c r="H651" s="329"/>
      <c r="I651" s="86"/>
      <c r="J651" s="2"/>
      <c r="K651" s="131"/>
      <c r="L651" s="86"/>
      <c r="M651" s="2"/>
    </row>
    <row r="652" spans="1:13" ht="12">
      <c r="A652" s="30">
        <v>22</v>
      </c>
      <c r="C652" s="31"/>
      <c r="E652" s="30">
        <v>22</v>
      </c>
      <c r="F652" s="32"/>
      <c r="G652" s="328"/>
      <c r="H652" s="329"/>
      <c r="I652" s="86"/>
      <c r="J652" s="2"/>
      <c r="K652" s="131"/>
      <c r="L652" s="86"/>
      <c r="M652" s="2"/>
    </row>
    <row r="653" spans="1:13" ht="12">
      <c r="A653" s="30">
        <v>23</v>
      </c>
      <c r="C653" s="31"/>
      <c r="E653" s="30">
        <v>23</v>
      </c>
      <c r="F653" s="32"/>
      <c r="G653" s="328"/>
      <c r="H653" s="329"/>
      <c r="I653" s="86"/>
      <c r="J653" s="2"/>
      <c r="K653" s="131"/>
      <c r="L653" s="86"/>
      <c r="M653" s="2"/>
    </row>
    <row r="654" spans="1:13" ht="12">
      <c r="A654" s="30">
        <v>24</v>
      </c>
      <c r="C654" s="31"/>
      <c r="E654" s="30">
        <v>24</v>
      </c>
      <c r="F654" s="32"/>
      <c r="G654" s="328"/>
      <c r="H654" s="329"/>
      <c r="I654" s="86"/>
      <c r="J654" s="2"/>
      <c r="K654" s="131"/>
      <c r="L654" s="86"/>
      <c r="M654" s="2"/>
    </row>
    <row r="655" spans="5:13" ht="12">
      <c r="E655" s="69"/>
      <c r="F655" s="109" t="s">
        <v>1</v>
      </c>
      <c r="G655" s="42" t="s">
        <v>1</v>
      </c>
      <c r="H655" s="42" t="s">
        <v>1</v>
      </c>
      <c r="I655" s="42" t="s">
        <v>1</v>
      </c>
      <c r="J655" s="42" t="s">
        <v>1</v>
      </c>
      <c r="K655" s="109" t="s">
        <v>1</v>
      </c>
      <c r="L655" s="109" t="s">
        <v>1</v>
      </c>
      <c r="M655" s="42" t="s">
        <v>1</v>
      </c>
    </row>
    <row r="656" spans="1:13" ht="12">
      <c r="A656" s="30">
        <v>25</v>
      </c>
      <c r="C656" s="31" t="s">
        <v>227</v>
      </c>
      <c r="E656" s="30">
        <v>25</v>
      </c>
      <c r="G656" s="330">
        <v>64.09</v>
      </c>
      <c r="H656" s="332">
        <v>4994580</v>
      </c>
      <c r="I656" s="83">
        <f>SUM(I640:I654)</f>
        <v>69.2</v>
      </c>
      <c r="J656" s="121">
        <f>SUM(J640:J654)</f>
        <v>5449346</v>
      </c>
      <c r="K656" s="44"/>
      <c r="L656" s="83">
        <f>SUM(L640:L654)</f>
        <v>68.03999999999999</v>
      </c>
      <c r="M656" s="121">
        <f>SUM(M640:M654)</f>
        <v>7204931</v>
      </c>
    </row>
    <row r="657" spans="5:13" ht="12">
      <c r="E657" s="69"/>
      <c r="F657" s="109" t="s">
        <v>1</v>
      </c>
      <c r="G657" s="109"/>
      <c r="H657" s="109"/>
      <c r="I657" s="41" t="s">
        <v>1</v>
      </c>
      <c r="J657" s="42" t="s">
        <v>1</v>
      </c>
      <c r="K657" s="109" t="s">
        <v>1</v>
      </c>
      <c r="L657" s="41" t="s">
        <v>1</v>
      </c>
      <c r="M657" s="42" t="s">
        <v>1</v>
      </c>
    </row>
    <row r="659" ht="12">
      <c r="A659" s="31"/>
    </row>
    <row r="660" spans="1:13" ht="12">
      <c r="A660" s="38" t="str">
        <f>$A$36</f>
        <v>Institution No.:  GFC</v>
      </c>
      <c r="B660" s="65"/>
      <c r="C660" s="65"/>
      <c r="D660" s="65"/>
      <c r="E660" s="70"/>
      <c r="F660" s="65"/>
      <c r="G660" s="65"/>
      <c r="H660" s="65"/>
      <c r="I660" s="71"/>
      <c r="J660" s="72"/>
      <c r="K660" s="65"/>
      <c r="L660" s="71"/>
      <c r="M660" s="37" t="s">
        <v>43</v>
      </c>
    </row>
    <row r="661" spans="1:13" s="65" customFormat="1" ht="12">
      <c r="A661" s="414" t="s">
        <v>152</v>
      </c>
      <c r="B661" s="414"/>
      <c r="C661" s="414"/>
      <c r="D661" s="414"/>
      <c r="E661" s="414"/>
      <c r="F661" s="414"/>
      <c r="G661" s="414"/>
      <c r="H661" s="414"/>
      <c r="I661" s="414"/>
      <c r="J661" s="414"/>
      <c r="K661" s="414"/>
      <c r="L661" s="414"/>
      <c r="M661" s="414"/>
    </row>
    <row r="662" spans="1:13" s="65" customFormat="1" ht="12">
      <c r="A662" s="38" t="s">
        <v>551</v>
      </c>
      <c r="B662" s="26"/>
      <c r="C662" s="26" t="s">
        <v>455</v>
      </c>
      <c r="D662" s="26"/>
      <c r="E662" s="26"/>
      <c r="F662" s="113"/>
      <c r="G662" s="113"/>
      <c r="H662" s="113"/>
      <c r="I662" s="104"/>
      <c r="J662" s="74"/>
      <c r="K662" s="26"/>
      <c r="L662" s="36"/>
      <c r="M662" s="39" t="str">
        <f>$M$3</f>
        <v>Date: 10/1/2009</v>
      </c>
    </row>
    <row r="663" spans="1:13" ht="12">
      <c r="A663" s="40" t="s">
        <v>1</v>
      </c>
      <c r="B663" s="40" t="s">
        <v>1</v>
      </c>
      <c r="C663" s="40" t="s">
        <v>1</v>
      </c>
      <c r="D663" s="40" t="s">
        <v>1</v>
      </c>
      <c r="E663" s="40" t="s">
        <v>1</v>
      </c>
      <c r="F663" s="40" t="s">
        <v>1</v>
      </c>
      <c r="G663" s="40"/>
      <c r="H663" s="40"/>
      <c r="I663" s="41" t="s">
        <v>1</v>
      </c>
      <c r="J663" s="42" t="s">
        <v>1</v>
      </c>
      <c r="K663" s="40" t="s">
        <v>1</v>
      </c>
      <c r="L663" s="41" t="s">
        <v>1</v>
      </c>
      <c r="M663" s="42" t="s">
        <v>1</v>
      </c>
    </row>
    <row r="664" spans="1:13" ht="12">
      <c r="A664" s="43" t="s">
        <v>2</v>
      </c>
      <c r="E664" s="43" t="s">
        <v>2</v>
      </c>
      <c r="F664" s="44"/>
      <c r="G664" s="45"/>
      <c r="H664" s="44" t="s">
        <v>240</v>
      </c>
      <c r="I664" s="45"/>
      <c r="J664" s="46" t="s">
        <v>247</v>
      </c>
      <c r="K664" s="44"/>
      <c r="L664" s="45"/>
      <c r="M664" s="46" t="s">
        <v>576</v>
      </c>
    </row>
    <row r="665" spans="1:13" ht="12">
      <c r="A665" s="43" t="s">
        <v>4</v>
      </c>
      <c r="C665" s="47" t="s">
        <v>20</v>
      </c>
      <c r="E665" s="43" t="s">
        <v>4</v>
      </c>
      <c r="F665" s="44"/>
      <c r="G665" s="45" t="s">
        <v>6</v>
      </c>
      <c r="H665" s="46" t="s">
        <v>7</v>
      </c>
      <c r="I665" s="45" t="s">
        <v>6</v>
      </c>
      <c r="J665" s="46" t="s">
        <v>7</v>
      </c>
      <c r="K665" s="44"/>
      <c r="L665" s="45" t="s">
        <v>6</v>
      </c>
      <c r="M665" s="46" t="s">
        <v>8</v>
      </c>
    </row>
    <row r="666" spans="1:13" ht="12">
      <c r="A666" s="40" t="s">
        <v>1</v>
      </c>
      <c r="B666" s="40" t="s">
        <v>1</v>
      </c>
      <c r="C666" s="40" t="s">
        <v>1</v>
      </c>
      <c r="D666" s="40" t="s">
        <v>1</v>
      </c>
      <c r="E666" s="40" t="s">
        <v>1</v>
      </c>
      <c r="F666" s="40" t="s">
        <v>1</v>
      </c>
      <c r="G666" s="40"/>
      <c r="H666" s="40"/>
      <c r="I666" s="41" t="s">
        <v>1</v>
      </c>
      <c r="J666" s="42" t="s">
        <v>1</v>
      </c>
      <c r="K666" s="40" t="s">
        <v>1</v>
      </c>
      <c r="L666" s="41" t="s">
        <v>1</v>
      </c>
      <c r="M666" s="42" t="s">
        <v>1</v>
      </c>
    </row>
    <row r="667" spans="1:13" ht="12">
      <c r="A667" s="30">
        <v>1</v>
      </c>
      <c r="C667" s="31" t="s">
        <v>36</v>
      </c>
      <c r="E667" s="30">
        <v>1</v>
      </c>
      <c r="F667" s="32"/>
      <c r="G667" s="322">
        <v>29.31</v>
      </c>
      <c r="H667" s="323">
        <v>3231813</v>
      </c>
      <c r="I667" s="125">
        <v>31.76</v>
      </c>
      <c r="J667" s="1">
        <f>2718380+7985+951735.78</f>
        <v>3678100.7800000003</v>
      </c>
      <c r="K667" s="131"/>
      <c r="L667" s="125">
        <f>31.46+9.26</f>
        <v>40.72</v>
      </c>
      <c r="M667" s="1">
        <f>51173+170+2760774+852414</f>
        <v>3664531</v>
      </c>
    </row>
    <row r="668" spans="1:13" ht="12">
      <c r="A668" s="30">
        <v>2</v>
      </c>
      <c r="C668" s="31" t="s">
        <v>37</v>
      </c>
      <c r="E668" s="30">
        <v>2</v>
      </c>
      <c r="F668" s="32"/>
      <c r="G668" s="322"/>
      <c r="H668" s="323">
        <v>1019916</v>
      </c>
      <c r="I668" s="125"/>
      <c r="J668" s="1">
        <f>1013012+548+224146.88</f>
        <v>1237706.88</v>
      </c>
      <c r="K668" s="131"/>
      <c r="L668" s="125"/>
      <c r="M668" s="1">
        <f>271119+10944+684380+200755</f>
        <v>1167198</v>
      </c>
    </row>
    <row r="669" spans="1:13" ht="12">
      <c r="A669" s="30">
        <v>3</v>
      </c>
      <c r="E669" s="30">
        <v>3</v>
      </c>
      <c r="F669" s="32"/>
      <c r="G669" s="322"/>
      <c r="H669" s="323"/>
      <c r="I669" s="125"/>
      <c r="J669" s="1"/>
      <c r="K669" s="131"/>
      <c r="L669" s="125"/>
      <c r="M669" s="1"/>
    </row>
    <row r="670" spans="1:13" ht="12">
      <c r="A670" s="30">
        <v>4</v>
      </c>
      <c r="C670" s="31" t="s">
        <v>23</v>
      </c>
      <c r="E670" s="30">
        <v>4</v>
      </c>
      <c r="F670" s="32"/>
      <c r="G670" s="322">
        <v>29.31</v>
      </c>
      <c r="H670" s="323">
        <v>4251729</v>
      </c>
      <c r="I670" s="125">
        <f>SUM(I667:I669)</f>
        <v>31.76</v>
      </c>
      <c r="J670" s="1">
        <f>SUM(J667:J669)</f>
        <v>4915807.66</v>
      </c>
      <c r="K670" s="49"/>
      <c r="L670" s="125">
        <f>SUM(L667:L669)</f>
        <v>40.72</v>
      </c>
      <c r="M670" s="1">
        <f>SUM(M667:M669)</f>
        <v>4831729</v>
      </c>
    </row>
    <row r="671" spans="1:13" ht="12">
      <c r="A671" s="30">
        <v>5</v>
      </c>
      <c r="E671" s="30">
        <v>5</v>
      </c>
      <c r="F671" s="32"/>
      <c r="G671" s="322"/>
      <c r="H671" s="323"/>
      <c r="I671" s="125"/>
      <c r="J671" s="1"/>
      <c r="K671" s="49"/>
      <c r="L671" s="125"/>
      <c r="M671" s="1"/>
    </row>
    <row r="672" spans="1:13" ht="12">
      <c r="A672" s="30">
        <v>6</v>
      </c>
      <c r="E672" s="30">
        <v>6</v>
      </c>
      <c r="F672" s="32"/>
      <c r="G672" s="322"/>
      <c r="H672" s="323"/>
      <c r="I672" s="125"/>
      <c r="J672" s="1"/>
      <c r="K672" s="49"/>
      <c r="L672" s="125"/>
      <c r="M672" s="1"/>
    </row>
    <row r="673" spans="1:13" ht="12">
      <c r="A673" s="30">
        <v>7</v>
      </c>
      <c r="C673" s="31" t="s">
        <v>25</v>
      </c>
      <c r="E673" s="30">
        <v>7</v>
      </c>
      <c r="F673" s="32"/>
      <c r="G673" s="322">
        <v>33.22</v>
      </c>
      <c r="H673" s="323">
        <v>2414818</v>
      </c>
      <c r="I673" s="125">
        <v>36.49</v>
      </c>
      <c r="J673" s="1">
        <f>1854897+780702.85</f>
        <v>2635599.85</v>
      </c>
      <c r="K673" s="131"/>
      <c r="L673" s="125">
        <f>34.8+11.81</f>
        <v>46.61</v>
      </c>
      <c r="M673" s="1">
        <f>1726266+699229</f>
        <v>2425495</v>
      </c>
    </row>
    <row r="674" spans="1:13" ht="12">
      <c r="A674" s="30">
        <v>8</v>
      </c>
      <c r="C674" s="31" t="s">
        <v>26</v>
      </c>
      <c r="E674" s="30">
        <v>8</v>
      </c>
      <c r="F674" s="32"/>
      <c r="G674" s="322"/>
      <c r="H674" s="323">
        <v>744500</v>
      </c>
      <c r="I674" s="125"/>
      <c r="J674" s="1">
        <f>688414+177344.62</f>
        <v>865758.62</v>
      </c>
      <c r="K674" s="131"/>
      <c r="L674" s="125"/>
      <c r="M674" s="1">
        <f>616569+158837</f>
        <v>775406</v>
      </c>
    </row>
    <row r="675" spans="1:13" ht="12">
      <c r="A675" s="30">
        <v>9</v>
      </c>
      <c r="C675" s="31" t="s">
        <v>27</v>
      </c>
      <c r="E675" s="30">
        <v>9</v>
      </c>
      <c r="F675" s="32"/>
      <c r="G675" s="322">
        <v>33.22</v>
      </c>
      <c r="H675" s="323">
        <v>3159318</v>
      </c>
      <c r="I675" s="125">
        <f>SUM(I673:I674)</f>
        <v>36.49</v>
      </c>
      <c r="J675" s="1">
        <f>SUM(J673:J674)</f>
        <v>3501358.47</v>
      </c>
      <c r="K675" s="49"/>
      <c r="L675" s="125">
        <f>SUM(L673:L674)</f>
        <v>46.61</v>
      </c>
      <c r="M675" s="1">
        <f>SUM(M673:M674)</f>
        <v>3200901</v>
      </c>
    </row>
    <row r="676" spans="1:13" ht="12">
      <c r="A676" s="30">
        <v>10</v>
      </c>
      <c r="E676" s="30">
        <v>10</v>
      </c>
      <c r="F676" s="32"/>
      <c r="G676" s="322"/>
      <c r="H676" s="323"/>
      <c r="I676" s="125"/>
      <c r="J676" s="1"/>
      <c r="K676" s="49"/>
      <c r="L676" s="125"/>
      <c r="M676" s="1"/>
    </row>
    <row r="677" spans="1:13" ht="12">
      <c r="A677" s="30">
        <v>11</v>
      </c>
      <c r="C677" s="31" t="s">
        <v>28</v>
      </c>
      <c r="E677" s="30">
        <v>11</v>
      </c>
      <c r="F677" s="32"/>
      <c r="G677" s="322">
        <v>62.53</v>
      </c>
      <c r="H677" s="323">
        <v>7411047</v>
      </c>
      <c r="I677" s="125">
        <f>SUM(I675,I670)</f>
        <v>68.25</v>
      </c>
      <c r="J677" s="1">
        <f>SUM(J675,J670)</f>
        <v>8417166.13</v>
      </c>
      <c r="K677" s="49"/>
      <c r="L677" s="125">
        <f>SUM(L675,L670)</f>
        <v>87.33</v>
      </c>
      <c r="M677" s="1">
        <f>SUM(M675,M670)</f>
        <v>8032630</v>
      </c>
    </row>
    <row r="678" spans="1:13" ht="12">
      <c r="A678" s="30">
        <v>12</v>
      </c>
      <c r="E678" s="30">
        <v>12</v>
      </c>
      <c r="F678" s="32"/>
      <c r="G678" s="322"/>
      <c r="H678" s="323"/>
      <c r="I678" s="125"/>
      <c r="J678" s="1"/>
      <c r="K678" s="49"/>
      <c r="L678" s="125"/>
      <c r="M678" s="1"/>
    </row>
    <row r="679" spans="1:13" ht="12">
      <c r="A679" s="30">
        <v>13</v>
      </c>
      <c r="C679" s="31" t="s">
        <v>38</v>
      </c>
      <c r="E679" s="30">
        <v>13</v>
      </c>
      <c r="F679" s="32"/>
      <c r="G679" s="322"/>
      <c r="H679" s="323">
        <v>125232</v>
      </c>
      <c r="I679" s="125"/>
      <c r="J679" s="1">
        <f>96323+25893.2</f>
        <v>122216.2</v>
      </c>
      <c r="K679" s="131"/>
      <c r="L679" s="125"/>
      <c r="M679" s="1">
        <f>69745+5056+20786+2405</f>
        <v>97992</v>
      </c>
    </row>
    <row r="680" spans="1:13" ht="12">
      <c r="A680" s="30">
        <v>14</v>
      </c>
      <c r="E680" s="30">
        <v>14</v>
      </c>
      <c r="F680" s="32"/>
      <c r="G680" s="322"/>
      <c r="H680" s="323"/>
      <c r="I680" s="125"/>
      <c r="J680" s="1"/>
      <c r="K680" s="131"/>
      <c r="L680" s="125"/>
      <c r="M680" s="1"/>
    </row>
    <row r="681" spans="1:13" ht="12">
      <c r="A681" s="30">
        <v>15</v>
      </c>
      <c r="C681" s="31" t="s">
        <v>30</v>
      </c>
      <c r="E681" s="30">
        <v>15</v>
      </c>
      <c r="F681" s="32"/>
      <c r="G681" s="322"/>
      <c r="H681" s="323">
        <v>80416</v>
      </c>
      <c r="I681" s="125"/>
      <c r="J681" s="1">
        <v>75102</v>
      </c>
      <c r="K681" s="131"/>
      <c r="L681" s="125"/>
      <c r="M681" s="1">
        <v>49844</v>
      </c>
    </row>
    <row r="682" spans="1:13" ht="12">
      <c r="A682" s="30">
        <v>16</v>
      </c>
      <c r="C682" s="31" t="s">
        <v>31</v>
      </c>
      <c r="E682" s="30">
        <v>16</v>
      </c>
      <c r="F682" s="32"/>
      <c r="G682" s="322"/>
      <c r="H682" s="323">
        <v>1867627</v>
      </c>
      <c r="I682" s="125"/>
      <c r="J682" s="1">
        <f>2013145-1358229+836373.63</f>
        <v>1491289.63</v>
      </c>
      <c r="K682" s="131"/>
      <c r="L682" s="125"/>
      <c r="M682" s="1">
        <f>5158784+1248163-2683516+749090</f>
        <v>4472521</v>
      </c>
    </row>
    <row r="683" spans="1:13" ht="12">
      <c r="A683" s="30">
        <v>17</v>
      </c>
      <c r="C683" s="31" t="s">
        <v>32</v>
      </c>
      <c r="E683" s="30">
        <v>17</v>
      </c>
      <c r="F683" s="32"/>
      <c r="G683" s="322"/>
      <c r="H683" s="323"/>
      <c r="I683" s="125"/>
      <c r="K683" s="131"/>
      <c r="L683" s="125"/>
      <c r="M683" s="1"/>
    </row>
    <row r="684" spans="1:13" ht="12">
      <c r="A684" s="30">
        <v>18</v>
      </c>
      <c r="E684" s="30">
        <v>18</v>
      </c>
      <c r="F684" s="32"/>
      <c r="G684" s="322"/>
      <c r="H684" s="323"/>
      <c r="I684" s="125"/>
      <c r="J684" s="1"/>
      <c r="K684" s="131"/>
      <c r="L684" s="125"/>
      <c r="M684" s="1"/>
    </row>
    <row r="685" spans="1:13" ht="12">
      <c r="A685" s="30">
        <v>19</v>
      </c>
      <c r="C685" s="31" t="s">
        <v>42</v>
      </c>
      <c r="E685" s="30">
        <v>19</v>
      </c>
      <c r="F685" s="32"/>
      <c r="G685" s="322"/>
      <c r="H685" s="323">
        <v>0</v>
      </c>
      <c r="I685" s="125"/>
      <c r="J685" s="1">
        <v>0</v>
      </c>
      <c r="K685" s="131"/>
      <c r="L685" s="125"/>
      <c r="M685" s="1">
        <v>0</v>
      </c>
    </row>
    <row r="686" spans="1:13" ht="12">
      <c r="A686" s="30">
        <v>20</v>
      </c>
      <c r="C686" s="31"/>
      <c r="E686" s="30">
        <v>20</v>
      </c>
      <c r="F686" s="32"/>
      <c r="G686" s="322"/>
      <c r="H686" s="323"/>
      <c r="I686" s="125"/>
      <c r="J686" s="1"/>
      <c r="K686" s="131"/>
      <c r="L686" s="125"/>
      <c r="M686" s="1"/>
    </row>
    <row r="687" spans="1:13" ht="12">
      <c r="A687" s="30">
        <v>21</v>
      </c>
      <c r="C687" s="31"/>
      <c r="E687" s="30">
        <v>21</v>
      </c>
      <c r="F687" s="32"/>
      <c r="G687" s="322"/>
      <c r="H687" s="323"/>
      <c r="I687" s="125"/>
      <c r="J687" s="1"/>
      <c r="K687" s="131"/>
      <c r="L687" s="125"/>
      <c r="M687" s="1"/>
    </row>
    <row r="688" spans="1:13" ht="12">
      <c r="A688" s="30">
        <v>22</v>
      </c>
      <c r="C688" s="31"/>
      <c r="E688" s="30">
        <v>22</v>
      </c>
      <c r="F688" s="32"/>
      <c r="G688" s="322"/>
      <c r="H688" s="323"/>
      <c r="I688" s="125"/>
      <c r="J688" s="1"/>
      <c r="K688" s="131"/>
      <c r="L688" s="125"/>
      <c r="M688" s="1"/>
    </row>
    <row r="689" spans="1:13" ht="12">
      <c r="A689" s="30">
        <v>23</v>
      </c>
      <c r="C689" s="31"/>
      <c r="E689" s="30">
        <v>23</v>
      </c>
      <c r="F689" s="32"/>
      <c r="G689" s="322"/>
      <c r="H689" s="323"/>
      <c r="I689" s="125"/>
      <c r="J689" s="1"/>
      <c r="K689" s="131"/>
      <c r="L689" s="125"/>
      <c r="M689" s="1"/>
    </row>
    <row r="690" spans="1:13" ht="12">
      <c r="A690" s="30">
        <v>24</v>
      </c>
      <c r="C690" s="31"/>
      <c r="E690" s="30">
        <v>24</v>
      </c>
      <c r="F690" s="32"/>
      <c r="G690" s="324"/>
      <c r="H690" s="325"/>
      <c r="I690" s="140"/>
      <c r="J690" s="119"/>
      <c r="K690" s="32"/>
      <c r="L690" s="140"/>
      <c r="M690" s="119"/>
    </row>
    <row r="691" spans="5:13" ht="12">
      <c r="E691" s="69"/>
      <c r="F691" s="109" t="s">
        <v>1</v>
      </c>
      <c r="G691" s="109" t="s">
        <v>1</v>
      </c>
      <c r="H691" s="42" t="s">
        <v>1</v>
      </c>
      <c r="I691" s="109" t="s">
        <v>1</v>
      </c>
      <c r="J691" s="42" t="s">
        <v>1</v>
      </c>
      <c r="K691" s="109" t="s">
        <v>1</v>
      </c>
      <c r="L691" s="109" t="s">
        <v>1</v>
      </c>
      <c r="M691" s="42" t="s">
        <v>1</v>
      </c>
    </row>
    <row r="692" spans="1:13" ht="12">
      <c r="A692" s="30">
        <v>25</v>
      </c>
      <c r="C692" s="31" t="s">
        <v>228</v>
      </c>
      <c r="E692" s="30">
        <v>25</v>
      </c>
      <c r="G692" s="326">
        <v>62.53</v>
      </c>
      <c r="H692" s="327">
        <v>9484322</v>
      </c>
      <c r="I692" s="128">
        <f>SUM(I677:I690)</f>
        <v>68.25</v>
      </c>
      <c r="J692" s="121">
        <f>SUM(J677:J690)</f>
        <v>10105773.96</v>
      </c>
      <c r="K692" s="49"/>
      <c r="L692" s="128">
        <f>SUM(L677:L690)</f>
        <v>87.33</v>
      </c>
      <c r="M692" s="121">
        <f>SUM(M677:M690)</f>
        <v>12652987</v>
      </c>
    </row>
    <row r="693" spans="5:13" ht="12">
      <c r="E693" s="69"/>
      <c r="F693" s="109" t="s">
        <v>1</v>
      </c>
      <c r="G693" s="109"/>
      <c r="H693" s="109"/>
      <c r="I693" s="41"/>
      <c r="J693" s="42"/>
      <c r="K693" s="109"/>
      <c r="L693" s="41"/>
      <c r="M693" s="42"/>
    </row>
    <row r="694" ht="12">
      <c r="A694" s="31"/>
    </row>
    <row r="696" spans="1:13" ht="12">
      <c r="A696" s="38" t="str">
        <f>$A$36</f>
        <v>Institution No.:  GFC</v>
      </c>
      <c r="B696" s="65"/>
      <c r="C696" s="65"/>
      <c r="D696" s="65"/>
      <c r="E696" s="70"/>
      <c r="F696" s="65"/>
      <c r="G696" s="65"/>
      <c r="H696" s="65"/>
      <c r="I696" s="71"/>
      <c r="J696" s="72"/>
      <c r="K696" s="65"/>
      <c r="L696" s="71"/>
      <c r="M696" s="37" t="s">
        <v>44</v>
      </c>
    </row>
    <row r="697" spans="1:13" s="65" customFormat="1" ht="12">
      <c r="A697" s="414" t="s">
        <v>153</v>
      </c>
      <c r="B697" s="414"/>
      <c r="C697" s="414"/>
      <c r="D697" s="414"/>
      <c r="E697" s="414"/>
      <c r="F697" s="414"/>
      <c r="G697" s="414"/>
      <c r="H697" s="414"/>
      <c r="I697" s="414"/>
      <c r="J697" s="414"/>
      <c r="K697" s="414"/>
      <c r="L697" s="414"/>
      <c r="M697" s="414"/>
    </row>
    <row r="698" spans="1:13" s="65" customFormat="1" ht="12">
      <c r="A698" s="38" t="s">
        <v>551</v>
      </c>
      <c r="B698" s="26"/>
      <c r="C698" s="26" t="s">
        <v>455</v>
      </c>
      <c r="D698" s="26"/>
      <c r="E698" s="26"/>
      <c r="F698" s="113"/>
      <c r="G698" s="113"/>
      <c r="H698" s="113"/>
      <c r="I698" s="104"/>
      <c r="J698" s="105"/>
      <c r="K698" s="26"/>
      <c r="L698" s="36"/>
      <c r="M698" s="39" t="str">
        <f>$M$3</f>
        <v>Date: 10/1/2009</v>
      </c>
    </row>
    <row r="699" spans="1:13" ht="12">
      <c r="A699" s="40" t="s">
        <v>1</v>
      </c>
      <c r="B699" s="40" t="s">
        <v>1</v>
      </c>
      <c r="C699" s="40" t="s">
        <v>1</v>
      </c>
      <c r="D699" s="40" t="s">
        <v>1</v>
      </c>
      <c r="E699" s="40" t="s">
        <v>1</v>
      </c>
      <c r="F699" s="40" t="s">
        <v>1</v>
      </c>
      <c r="G699" s="40"/>
      <c r="H699" s="40"/>
      <c r="I699" s="41" t="s">
        <v>1</v>
      </c>
      <c r="J699" s="42" t="s">
        <v>1</v>
      </c>
      <c r="K699" s="40" t="s">
        <v>1</v>
      </c>
      <c r="L699" s="41" t="s">
        <v>1</v>
      </c>
      <c r="M699" s="42" t="s">
        <v>1</v>
      </c>
    </row>
    <row r="700" spans="1:13" ht="12">
      <c r="A700" s="43" t="s">
        <v>2</v>
      </c>
      <c r="E700" s="43" t="s">
        <v>2</v>
      </c>
      <c r="F700" s="44"/>
      <c r="G700" s="45"/>
      <c r="H700" s="44" t="s">
        <v>240</v>
      </c>
      <c r="I700" s="45"/>
      <c r="J700" s="46" t="s">
        <v>247</v>
      </c>
      <c r="K700" s="44"/>
      <c r="L700" s="45"/>
      <c r="M700" s="46" t="s">
        <v>576</v>
      </c>
    </row>
    <row r="701" spans="1:13" ht="12">
      <c r="A701" s="43" t="s">
        <v>4</v>
      </c>
      <c r="C701" s="47" t="s">
        <v>20</v>
      </c>
      <c r="E701" s="43" t="s">
        <v>4</v>
      </c>
      <c r="F701" s="44"/>
      <c r="G701" s="45" t="s">
        <v>6</v>
      </c>
      <c r="H701" s="46" t="s">
        <v>7</v>
      </c>
      <c r="I701" s="45" t="s">
        <v>6</v>
      </c>
      <c r="J701" s="46" t="s">
        <v>7</v>
      </c>
      <c r="K701" s="44"/>
      <c r="L701" s="45" t="s">
        <v>6</v>
      </c>
      <c r="M701" s="46" t="s">
        <v>8</v>
      </c>
    </row>
    <row r="702" spans="1:13" ht="12">
      <c r="A702" s="40" t="s">
        <v>1</v>
      </c>
      <c r="B702" s="40" t="s">
        <v>1</v>
      </c>
      <c r="C702" s="40" t="s">
        <v>1</v>
      </c>
      <c r="D702" s="40" t="s">
        <v>1</v>
      </c>
      <c r="E702" s="40" t="s">
        <v>1</v>
      </c>
      <c r="F702" s="40" t="s">
        <v>1</v>
      </c>
      <c r="G702" s="40"/>
      <c r="H702" s="40"/>
      <c r="I702" s="41"/>
      <c r="J702" s="42"/>
      <c r="K702" s="40"/>
      <c r="L702" s="41"/>
      <c r="M702" s="42"/>
    </row>
    <row r="703" spans="1:13" ht="12">
      <c r="A703" s="30">
        <v>1</v>
      </c>
      <c r="C703" s="31" t="s">
        <v>36</v>
      </c>
      <c r="E703" s="30">
        <v>1</v>
      </c>
      <c r="F703" s="32"/>
      <c r="G703" s="316">
        <v>7.27</v>
      </c>
      <c r="H703" s="317">
        <v>417721</v>
      </c>
      <c r="I703" s="125">
        <f>3.27+3</f>
        <v>6.27</v>
      </c>
      <c r="J703" s="1">
        <f>477879+5347</f>
        <v>483226</v>
      </c>
      <c r="K703" s="131"/>
      <c r="L703" s="141">
        <f>6.27+1</f>
        <v>7.27</v>
      </c>
      <c r="M703" s="1">
        <v>507396</v>
      </c>
    </row>
    <row r="704" spans="1:13" ht="12">
      <c r="A704" s="30">
        <v>2</v>
      </c>
      <c r="C704" s="31" t="s">
        <v>37</v>
      </c>
      <c r="E704" s="30">
        <v>2</v>
      </c>
      <c r="F704" s="32"/>
      <c r="G704" s="316"/>
      <c r="H704" s="317">
        <v>88929</v>
      </c>
      <c r="I704" s="125"/>
      <c r="J704" s="1">
        <v>104238</v>
      </c>
      <c r="K704" s="131"/>
      <c r="L704" s="141"/>
      <c r="M704" s="1">
        <v>92791</v>
      </c>
    </row>
    <row r="705" spans="1:13" ht="12">
      <c r="A705" s="30">
        <v>3</v>
      </c>
      <c r="E705" s="30">
        <v>3</v>
      </c>
      <c r="F705" s="32"/>
      <c r="G705" s="316"/>
      <c r="H705" s="317"/>
      <c r="I705" s="125"/>
      <c r="J705" s="1"/>
      <c r="K705" s="131"/>
      <c r="L705" s="141"/>
      <c r="M705" s="1"/>
    </row>
    <row r="706" spans="1:13" ht="12">
      <c r="A706" s="30">
        <v>4</v>
      </c>
      <c r="C706" s="31" t="s">
        <v>23</v>
      </c>
      <c r="E706" s="30">
        <v>4</v>
      </c>
      <c r="F706" s="32"/>
      <c r="G706" s="316">
        <v>7.27</v>
      </c>
      <c r="H706" s="317">
        <v>506650</v>
      </c>
      <c r="I706" s="125">
        <f>SUM(I703:I705)</f>
        <v>6.27</v>
      </c>
      <c r="J706" s="1">
        <f>SUM(J703:J705)</f>
        <v>587464</v>
      </c>
      <c r="K706" s="49"/>
      <c r="L706" s="141">
        <f>SUM(L703:L705)</f>
        <v>7.27</v>
      </c>
      <c r="M706" s="1">
        <f>SUM(M703:M705)</f>
        <v>600187</v>
      </c>
    </row>
    <row r="707" spans="1:13" ht="12">
      <c r="A707" s="30">
        <v>5</v>
      </c>
      <c r="E707" s="30">
        <v>5</v>
      </c>
      <c r="F707" s="32"/>
      <c r="G707" s="316"/>
      <c r="H707" s="317"/>
      <c r="I707" s="125"/>
      <c r="J707" s="1"/>
      <c r="K707" s="49"/>
      <c r="L707" s="141"/>
      <c r="M707" s="1"/>
    </row>
    <row r="708" spans="1:13" ht="12">
      <c r="A708" s="30">
        <v>6</v>
      </c>
      <c r="E708" s="30">
        <v>6</v>
      </c>
      <c r="F708" s="32"/>
      <c r="G708" s="316"/>
      <c r="H708" s="317"/>
      <c r="I708" s="125"/>
      <c r="J708" s="1"/>
      <c r="K708" s="49"/>
      <c r="L708" s="141"/>
      <c r="M708" s="1"/>
    </row>
    <row r="709" spans="1:13" ht="12">
      <c r="A709" s="30">
        <v>7</v>
      </c>
      <c r="C709" s="31" t="s">
        <v>25</v>
      </c>
      <c r="E709" s="30">
        <v>7</v>
      </c>
      <c r="F709" s="32"/>
      <c r="G709" s="316">
        <v>49.23</v>
      </c>
      <c r="H709" s="317">
        <v>1685968</v>
      </c>
      <c r="I709" s="125">
        <v>58.59</v>
      </c>
      <c r="J709" s="1">
        <v>1873292</v>
      </c>
      <c r="K709" s="131"/>
      <c r="L709" s="141">
        <f>58.19+6</f>
        <v>64.19</v>
      </c>
      <c r="M709" s="1">
        <v>2113881</v>
      </c>
    </row>
    <row r="710" spans="1:13" ht="12">
      <c r="A710" s="30">
        <v>8</v>
      </c>
      <c r="C710" s="31" t="s">
        <v>26</v>
      </c>
      <c r="E710" s="30">
        <v>8</v>
      </c>
      <c r="F710" s="32"/>
      <c r="G710" s="316"/>
      <c r="H710" s="317">
        <v>415474</v>
      </c>
      <c r="I710" s="125"/>
      <c r="J710" s="1">
        <f>533263-883</f>
        <v>532380</v>
      </c>
      <c r="K710" s="131"/>
      <c r="L710" s="141"/>
      <c r="M710" s="1">
        <v>567249</v>
      </c>
    </row>
    <row r="711" spans="1:13" ht="12">
      <c r="A711" s="30">
        <v>9</v>
      </c>
      <c r="C711" s="31" t="s">
        <v>27</v>
      </c>
      <c r="E711" s="30">
        <v>9</v>
      </c>
      <c r="F711" s="32"/>
      <c r="G711" s="316">
        <v>49.23</v>
      </c>
      <c r="H711" s="317">
        <v>2101442</v>
      </c>
      <c r="I711" s="125">
        <f>SUM(I709:I710)</f>
        <v>58.59</v>
      </c>
      <c r="J711" s="1">
        <f>SUM(J709:J710)</f>
        <v>2405672</v>
      </c>
      <c r="K711" s="49"/>
      <c r="L711" s="141">
        <f>SUM(L709:L710)</f>
        <v>64.19</v>
      </c>
      <c r="M711" s="1">
        <f>SUM(M709:M710)</f>
        <v>2681130</v>
      </c>
    </row>
    <row r="712" spans="1:13" ht="12">
      <c r="A712" s="30">
        <v>10</v>
      </c>
      <c r="E712" s="30">
        <v>10</v>
      </c>
      <c r="F712" s="32"/>
      <c r="G712" s="316"/>
      <c r="H712" s="317"/>
      <c r="I712" s="125"/>
      <c r="J712" s="1"/>
      <c r="K712" s="49"/>
      <c r="L712" s="141"/>
      <c r="M712" s="1"/>
    </row>
    <row r="713" spans="1:13" ht="12">
      <c r="A713" s="30">
        <v>11</v>
      </c>
      <c r="C713" s="31" t="s">
        <v>28</v>
      </c>
      <c r="E713" s="30">
        <v>11</v>
      </c>
      <c r="G713" s="318">
        <v>56.5</v>
      </c>
      <c r="H713" s="319">
        <v>2608092</v>
      </c>
      <c r="I713" s="128">
        <f>SUM(I711,I706)</f>
        <v>64.86</v>
      </c>
      <c r="J713" s="121">
        <f>J706+J711</f>
        <v>2993136</v>
      </c>
      <c r="K713" s="49"/>
      <c r="L713" s="142">
        <f>SUM(L711,L706)</f>
        <v>71.46</v>
      </c>
      <c r="M713" s="121">
        <f>SUM(M711,M706)</f>
        <v>3281317</v>
      </c>
    </row>
    <row r="714" spans="1:13" ht="12">
      <c r="A714" s="30">
        <v>12</v>
      </c>
      <c r="E714" s="30">
        <v>12</v>
      </c>
      <c r="G714" s="318"/>
      <c r="H714" s="319"/>
      <c r="I714" s="128"/>
      <c r="J714" s="121"/>
      <c r="K714" s="49"/>
      <c r="L714" s="142"/>
      <c r="M714" s="121"/>
    </row>
    <row r="715" spans="1:13" ht="12">
      <c r="A715" s="30">
        <v>13</v>
      </c>
      <c r="C715" s="31" t="s">
        <v>38</v>
      </c>
      <c r="E715" s="30">
        <v>13</v>
      </c>
      <c r="F715" s="32"/>
      <c r="G715" s="316"/>
      <c r="H715" s="317">
        <v>93880</v>
      </c>
      <c r="I715" s="125"/>
      <c r="J715" s="1">
        <v>166519</v>
      </c>
      <c r="K715" s="131"/>
      <c r="L715" s="141"/>
      <c r="M715" s="1">
        <f>140826+11192</f>
        <v>152018</v>
      </c>
    </row>
    <row r="716" spans="1:13" ht="12">
      <c r="A716" s="30">
        <v>14</v>
      </c>
      <c r="C716" s="31" t="s">
        <v>46</v>
      </c>
      <c r="E716" s="30">
        <v>14</v>
      </c>
      <c r="F716" s="32"/>
      <c r="G716" s="316"/>
      <c r="H716" s="317"/>
      <c r="I716" s="125"/>
      <c r="J716" s="1"/>
      <c r="K716" s="131"/>
      <c r="L716" s="141"/>
      <c r="M716" s="1"/>
    </row>
    <row r="717" spans="1:13" ht="12">
      <c r="A717" s="30">
        <v>15</v>
      </c>
      <c r="C717" s="31" t="s">
        <v>30</v>
      </c>
      <c r="E717" s="30">
        <v>15</v>
      </c>
      <c r="F717" s="32"/>
      <c r="G717" s="316"/>
      <c r="H717" s="317">
        <v>5395</v>
      </c>
      <c r="I717" s="125"/>
      <c r="J717" s="1">
        <v>6645</v>
      </c>
      <c r="K717" s="131"/>
      <c r="L717" s="141"/>
      <c r="M717" s="1">
        <v>5037</v>
      </c>
    </row>
    <row r="718" spans="1:13" ht="12">
      <c r="A718" s="30">
        <v>16</v>
      </c>
      <c r="C718" s="31" t="s">
        <v>45</v>
      </c>
      <c r="E718" s="30">
        <v>16</v>
      </c>
      <c r="F718" s="32"/>
      <c r="G718" s="316"/>
      <c r="H718" s="317">
        <v>1094786</v>
      </c>
      <c r="I718" s="125"/>
      <c r="J718" s="1">
        <v>1308488</v>
      </c>
      <c r="K718" s="131"/>
      <c r="L718" s="141"/>
      <c r="M718" s="1">
        <v>2189394</v>
      </c>
    </row>
    <row r="719" spans="1:13" ht="12">
      <c r="A719" s="30">
        <v>17</v>
      </c>
      <c r="C719" s="31" t="s">
        <v>31</v>
      </c>
      <c r="E719" s="30">
        <v>17</v>
      </c>
      <c r="F719" s="32"/>
      <c r="G719" s="316"/>
      <c r="H719" s="317">
        <v>1449983</v>
      </c>
      <c r="I719" s="125"/>
      <c r="J719" s="1">
        <f>1393729-85090-88229+842</f>
        <v>1221252</v>
      </c>
      <c r="K719" s="131"/>
      <c r="L719" s="141"/>
      <c r="M719" s="1">
        <f>1195770-53530-81551</f>
        <v>1060689</v>
      </c>
    </row>
    <row r="720" spans="1:13" ht="12">
      <c r="A720" s="30">
        <v>18</v>
      </c>
      <c r="C720" s="31" t="s">
        <v>32</v>
      </c>
      <c r="E720" s="30">
        <v>18</v>
      </c>
      <c r="F720" s="32"/>
      <c r="G720" s="316"/>
      <c r="H720" s="317"/>
      <c r="I720" s="125"/>
      <c r="J720" s="1"/>
      <c r="K720" s="131"/>
      <c r="L720" s="141"/>
      <c r="M720" s="1">
        <v>23880</v>
      </c>
    </row>
    <row r="721" spans="1:13" ht="12">
      <c r="A721" s="30">
        <v>19</v>
      </c>
      <c r="C721" s="31" t="s">
        <v>42</v>
      </c>
      <c r="E721" s="30">
        <v>19</v>
      </c>
      <c r="F721" s="32"/>
      <c r="G721" s="316"/>
      <c r="H721" s="317"/>
      <c r="I721" s="125"/>
      <c r="J721" s="1"/>
      <c r="K721" s="131"/>
      <c r="L721" s="141"/>
      <c r="M721" s="1">
        <v>0</v>
      </c>
    </row>
    <row r="722" spans="1:13" ht="12">
      <c r="A722" s="30">
        <v>20</v>
      </c>
      <c r="C722" s="31"/>
      <c r="E722" s="30">
        <v>20</v>
      </c>
      <c r="F722" s="32"/>
      <c r="G722" s="316"/>
      <c r="H722" s="317"/>
      <c r="I722" s="125"/>
      <c r="J722" s="1"/>
      <c r="K722" s="131"/>
      <c r="L722" s="141"/>
      <c r="M722" s="1"/>
    </row>
    <row r="723" spans="1:13" ht="12">
      <c r="A723" s="30">
        <v>21</v>
      </c>
      <c r="C723" s="31"/>
      <c r="E723" s="30">
        <v>21</v>
      </c>
      <c r="F723" s="32"/>
      <c r="G723" s="316"/>
      <c r="H723" s="317"/>
      <c r="I723" s="125"/>
      <c r="J723" s="1"/>
      <c r="K723" s="131"/>
      <c r="L723" s="141"/>
      <c r="M723" s="1"/>
    </row>
    <row r="724" spans="1:13" ht="12">
      <c r="A724" s="30">
        <v>22</v>
      </c>
      <c r="C724" s="31"/>
      <c r="E724" s="30">
        <v>22</v>
      </c>
      <c r="F724" s="32"/>
      <c r="G724" s="316"/>
      <c r="H724" s="317"/>
      <c r="I724" s="125"/>
      <c r="J724" s="1"/>
      <c r="K724" s="131"/>
      <c r="L724" s="141"/>
      <c r="M724" s="1"/>
    </row>
    <row r="725" spans="1:13" ht="12">
      <c r="A725" s="30">
        <v>23</v>
      </c>
      <c r="C725" s="31"/>
      <c r="E725" s="30">
        <v>23</v>
      </c>
      <c r="F725" s="32"/>
      <c r="G725" s="316"/>
      <c r="H725" s="317"/>
      <c r="I725" s="125"/>
      <c r="J725" s="1"/>
      <c r="K725" s="131"/>
      <c r="L725" s="141"/>
      <c r="M725" s="1"/>
    </row>
    <row r="726" spans="1:13" ht="12">
      <c r="A726" s="30">
        <v>24</v>
      </c>
      <c r="C726" s="31"/>
      <c r="E726" s="30">
        <v>24</v>
      </c>
      <c r="F726" s="32"/>
      <c r="G726" s="320"/>
      <c r="H726" s="321"/>
      <c r="I726" s="140"/>
      <c r="J726" s="119"/>
      <c r="K726" s="32"/>
      <c r="L726" s="143"/>
      <c r="M726" s="119"/>
    </row>
    <row r="727" spans="5:13" ht="12">
      <c r="E727" s="69"/>
      <c r="F727" s="109" t="s">
        <v>1</v>
      </c>
      <c r="G727" s="109" t="s">
        <v>1</v>
      </c>
      <c r="H727" s="42" t="s">
        <v>1</v>
      </c>
      <c r="I727" s="109" t="s">
        <v>1</v>
      </c>
      <c r="J727" s="42" t="s">
        <v>1</v>
      </c>
      <c r="K727" s="109" t="s">
        <v>1</v>
      </c>
      <c r="L727" s="144" t="s">
        <v>1</v>
      </c>
      <c r="M727" s="42" t="s">
        <v>1</v>
      </c>
    </row>
    <row r="728" spans="1:13" ht="12">
      <c r="A728" s="30">
        <v>25</v>
      </c>
      <c r="C728" s="145" t="s">
        <v>232</v>
      </c>
      <c r="E728" s="30">
        <v>25</v>
      </c>
      <c r="G728" s="318">
        <v>56.5</v>
      </c>
      <c r="H728" s="319">
        <v>5252136</v>
      </c>
      <c r="I728" s="128">
        <f>SUM(I713:I726)</f>
        <v>64.86</v>
      </c>
      <c r="J728" s="121">
        <f>SUM(J713:J726)</f>
        <v>5696040</v>
      </c>
      <c r="K728" s="44"/>
      <c r="L728" s="142">
        <f>SUM(L713:L726)</f>
        <v>71.46</v>
      </c>
      <c r="M728" s="121">
        <f>SUM(M713:M726)</f>
        <v>6712335</v>
      </c>
    </row>
    <row r="729" spans="4:13" ht="12">
      <c r="D729" s="100"/>
      <c r="F729" s="109" t="s">
        <v>1</v>
      </c>
      <c r="G729" s="109"/>
      <c r="H729" s="109"/>
      <c r="I729" s="41"/>
      <c r="J729" s="42"/>
      <c r="K729" s="109"/>
      <c r="L729" s="144"/>
      <c r="M729" s="42"/>
    </row>
    <row r="730" spans="4:13" ht="12">
      <c r="D730" s="100"/>
      <c r="F730" s="109"/>
      <c r="G730" s="109"/>
      <c r="H730" s="50"/>
      <c r="I730" s="50"/>
      <c r="J730" s="50"/>
      <c r="K730" s="50"/>
      <c r="L730" s="50"/>
      <c r="M730" s="50"/>
    </row>
    <row r="731" spans="1:13" ht="12">
      <c r="A731" s="30">
        <v>26</v>
      </c>
      <c r="C731" s="31" t="s">
        <v>47</v>
      </c>
      <c r="E731" s="30">
        <v>26</v>
      </c>
      <c r="F731" s="32"/>
      <c r="G731" s="32"/>
      <c r="H731" s="1"/>
      <c r="I731" s="50"/>
      <c r="J731" s="131"/>
      <c r="K731" s="49"/>
      <c r="L731" s="50"/>
      <c r="M731" s="131"/>
    </row>
    <row r="732" spans="1:13" ht="12">
      <c r="A732" s="30">
        <v>27</v>
      </c>
      <c r="C732" s="31" t="s">
        <v>48</v>
      </c>
      <c r="E732" s="30">
        <v>27</v>
      </c>
      <c r="F732" s="32"/>
      <c r="G732" s="32"/>
      <c r="H732" s="1">
        <v>811016</v>
      </c>
      <c r="I732" s="2"/>
      <c r="J732" s="2">
        <f>H746</f>
        <v>884400</v>
      </c>
      <c r="K732" s="2"/>
      <c r="L732" s="2"/>
      <c r="M732" s="2">
        <f>J746</f>
        <v>849172</v>
      </c>
    </row>
    <row r="733" spans="1:13" ht="12">
      <c r="A733" s="30">
        <v>28</v>
      </c>
      <c r="C733" s="31" t="s">
        <v>49</v>
      </c>
      <c r="E733" s="30">
        <v>28</v>
      </c>
      <c r="F733" s="32"/>
      <c r="G733" s="32"/>
      <c r="H733" s="2"/>
      <c r="I733" s="2"/>
      <c r="J733" s="2">
        <v>0</v>
      </c>
      <c r="K733" s="2"/>
      <c r="L733" s="2"/>
      <c r="M733" s="2">
        <v>0</v>
      </c>
    </row>
    <row r="734" spans="1:13" ht="12">
      <c r="A734" s="30">
        <v>29</v>
      </c>
      <c r="C734" s="32" t="s">
        <v>468</v>
      </c>
      <c r="E734" s="30">
        <v>29</v>
      </c>
      <c r="F734" s="32"/>
      <c r="G734" s="32"/>
      <c r="H734" s="2">
        <v>64784</v>
      </c>
      <c r="I734" s="2"/>
      <c r="J734" s="2"/>
      <c r="K734" s="2"/>
      <c r="L734" s="2"/>
      <c r="M734" s="2"/>
    </row>
    <row r="735" spans="1:13" ht="12">
      <c r="A735" s="30">
        <v>30</v>
      </c>
      <c r="C735" s="32" t="s">
        <v>464</v>
      </c>
      <c r="E735" s="30">
        <v>30</v>
      </c>
      <c r="F735" s="32"/>
      <c r="G735" s="32"/>
      <c r="H735" s="2">
        <v>6000</v>
      </c>
      <c r="I735" s="2"/>
      <c r="J735" s="2"/>
      <c r="K735" s="2"/>
      <c r="L735" s="2"/>
      <c r="M735" s="2"/>
    </row>
    <row r="736" spans="1:13" ht="12">
      <c r="A736" s="30">
        <v>31</v>
      </c>
      <c r="C736" s="32" t="s">
        <v>465</v>
      </c>
      <c r="E736" s="30">
        <v>31</v>
      </c>
      <c r="F736" s="32"/>
      <c r="G736" s="32"/>
      <c r="H736" s="2">
        <v>2600</v>
      </c>
      <c r="I736" s="2"/>
      <c r="J736" s="2"/>
      <c r="K736" s="2"/>
      <c r="L736" s="2"/>
      <c r="M736" s="2"/>
    </row>
    <row r="737" spans="1:13" ht="12">
      <c r="A737" s="30">
        <v>32</v>
      </c>
      <c r="C737" s="32" t="s">
        <v>605</v>
      </c>
      <c r="E737" s="30">
        <v>32</v>
      </c>
      <c r="H737" s="84"/>
      <c r="I737" s="2"/>
      <c r="J737" s="84">
        <v>4303</v>
      </c>
      <c r="K737" s="2"/>
      <c r="L737" s="2"/>
      <c r="M737" s="84"/>
    </row>
    <row r="738" spans="1:13" ht="12">
      <c r="A738" s="30">
        <v>33</v>
      </c>
      <c r="C738" s="26" t="s">
        <v>606</v>
      </c>
      <c r="E738" s="30">
        <v>33</v>
      </c>
      <c r="F738" s="32"/>
      <c r="G738" s="32"/>
      <c r="H738" s="2"/>
      <c r="I738" s="2"/>
      <c r="J738" s="2">
        <v>8139</v>
      </c>
      <c r="K738" s="2"/>
      <c r="L738" s="2"/>
      <c r="M738" s="2"/>
    </row>
    <row r="739" spans="1:13" ht="12">
      <c r="A739" s="30">
        <v>34</v>
      </c>
      <c r="C739" s="32" t="s">
        <v>607</v>
      </c>
      <c r="E739" s="30">
        <v>34</v>
      </c>
      <c r="F739" s="32"/>
      <c r="G739" s="32"/>
      <c r="H739" s="2"/>
      <c r="I739" s="2"/>
      <c r="J739" s="2">
        <v>442</v>
      </c>
      <c r="K739" s="2"/>
      <c r="L739" s="2"/>
      <c r="M739" s="2"/>
    </row>
    <row r="740" spans="1:13" ht="12">
      <c r="A740" s="30">
        <v>35</v>
      </c>
      <c r="C740" s="32" t="s">
        <v>467</v>
      </c>
      <c r="E740" s="30">
        <v>35</v>
      </c>
      <c r="F740" s="32"/>
      <c r="G740" s="32"/>
      <c r="H740" s="2"/>
      <c r="I740" s="2"/>
      <c r="J740" s="2">
        <v>3993</v>
      </c>
      <c r="K740" s="2"/>
      <c r="L740" s="2"/>
      <c r="M740" s="2"/>
    </row>
    <row r="741" spans="1:13" ht="12">
      <c r="A741" s="30">
        <v>36</v>
      </c>
      <c r="C741" s="32" t="s">
        <v>608</v>
      </c>
      <c r="E741" s="30">
        <v>36</v>
      </c>
      <c r="F741" s="32"/>
      <c r="G741" s="32"/>
      <c r="H741" s="2"/>
      <c r="I741" s="2"/>
      <c r="J741" s="2"/>
      <c r="K741" s="2"/>
      <c r="L741" s="2"/>
      <c r="M741" s="2">
        <v>40608</v>
      </c>
    </row>
    <row r="742" spans="1:13" ht="12">
      <c r="A742" s="30">
        <f>(A741+1)</f>
        <v>37</v>
      </c>
      <c r="C742" s="32" t="s">
        <v>609</v>
      </c>
      <c r="E742" s="30">
        <f>(E741+1)</f>
        <v>37</v>
      </c>
      <c r="F742" s="32"/>
      <c r="G742" s="32"/>
      <c r="H742" s="2"/>
      <c r="I742" s="2"/>
      <c r="J742" s="2"/>
      <c r="K742" s="2"/>
      <c r="L742" s="2"/>
      <c r="M742" s="2">
        <v>158864</v>
      </c>
    </row>
    <row r="743" spans="1:13" ht="12">
      <c r="A743" s="30">
        <f>(A742+1)</f>
        <v>38</v>
      </c>
      <c r="C743" s="32" t="s">
        <v>610</v>
      </c>
      <c r="E743" s="30">
        <f>(E742+1)</f>
        <v>38</v>
      </c>
      <c r="F743" s="32"/>
      <c r="G743" s="32"/>
      <c r="H743" s="2"/>
      <c r="I743" s="2"/>
      <c r="J743" s="2"/>
      <c r="K743" s="2"/>
      <c r="L743" s="2"/>
      <c r="M743" s="2">
        <v>1912</v>
      </c>
    </row>
    <row r="744" spans="1:13" ht="12">
      <c r="A744" s="30">
        <f>(A743+1)</f>
        <v>39</v>
      </c>
      <c r="C744" s="31" t="s">
        <v>50</v>
      </c>
      <c r="E744" s="30">
        <f>(E743+1)</f>
        <v>39</v>
      </c>
      <c r="F744" s="32"/>
      <c r="G744" s="32"/>
      <c r="H744" s="2"/>
      <c r="I744" s="2"/>
      <c r="J744" s="2"/>
      <c r="K744" s="2"/>
      <c r="L744" s="2"/>
      <c r="M744" s="2"/>
    </row>
    <row r="745" spans="1:12" ht="12">
      <c r="A745" s="26">
        <v>40</v>
      </c>
      <c r="C745" s="26" t="s">
        <v>611</v>
      </c>
      <c r="E745" s="26">
        <v>40</v>
      </c>
      <c r="I745" s="81"/>
      <c r="J745" s="28">
        <v>52105</v>
      </c>
      <c r="K745" s="81"/>
      <c r="L745" s="81"/>
    </row>
    <row r="746" spans="1:13" ht="12">
      <c r="A746" s="26">
        <v>41</v>
      </c>
      <c r="C746" s="31" t="s">
        <v>51</v>
      </c>
      <c r="E746" s="26">
        <v>41</v>
      </c>
      <c r="F746" s="32"/>
      <c r="G746" s="32"/>
      <c r="H746" s="84">
        <f>(SUM(H732:H737))-(SUM(H738:H744))</f>
        <v>884400</v>
      </c>
      <c r="I746" s="81"/>
      <c r="J746" s="84">
        <f>J732+J737+J738+J739+J740-J745</f>
        <v>849172</v>
      </c>
      <c r="K746" s="81"/>
      <c r="L746" s="81"/>
      <c r="M746" s="84">
        <f>M732+M741+M742+M743</f>
        <v>1050556</v>
      </c>
    </row>
    <row r="747" spans="1:13" s="65" customFormat="1" ht="12">
      <c r="A747" s="26"/>
      <c r="B747" s="26"/>
      <c r="C747" s="26"/>
      <c r="D747" s="26"/>
      <c r="E747" s="26"/>
      <c r="F747" s="32"/>
      <c r="G747" s="32"/>
      <c r="H747" s="2"/>
      <c r="I747" s="2"/>
      <c r="J747" s="2"/>
      <c r="K747" s="2"/>
      <c r="L747" s="2"/>
      <c r="M747" s="2"/>
    </row>
    <row r="748" spans="1:13" s="65" customFormat="1" ht="12">
      <c r="A748" s="26">
        <v>42</v>
      </c>
      <c r="B748" s="26"/>
      <c r="C748" s="31" t="s">
        <v>52</v>
      </c>
      <c r="D748" s="26"/>
      <c r="E748" s="26">
        <v>42</v>
      </c>
      <c r="F748" s="26"/>
      <c r="G748" s="26"/>
      <c r="H748" s="86">
        <v>94.41</v>
      </c>
      <c r="I748" s="81"/>
      <c r="J748" s="83">
        <f>H748</f>
        <v>94.41</v>
      </c>
      <c r="K748" s="81"/>
      <c r="L748" s="81"/>
      <c r="M748" s="82">
        <f>J748+0.56-1.09</f>
        <v>93.88</v>
      </c>
    </row>
    <row r="749" spans="1:13" s="65" customFormat="1" ht="12">
      <c r="A749" s="38" t="str">
        <f>$A$84</f>
        <v>-</v>
      </c>
      <c r="E749" s="70"/>
      <c r="I749" s="71"/>
      <c r="J749" s="72"/>
      <c r="L749" s="71"/>
      <c r="M749" s="37" t="s">
        <v>53</v>
      </c>
    </row>
    <row r="750" spans="1:13" s="65" customFormat="1" ht="12">
      <c r="A750" s="414" t="s">
        <v>154</v>
      </c>
      <c r="B750" s="414"/>
      <c r="C750" s="414"/>
      <c r="D750" s="414"/>
      <c r="E750" s="414"/>
      <c r="F750" s="414"/>
      <c r="G750" s="414"/>
      <c r="H750" s="414"/>
      <c r="I750" s="414"/>
      <c r="J750" s="414"/>
      <c r="K750" s="414"/>
      <c r="L750" s="414"/>
      <c r="M750" s="414"/>
    </row>
    <row r="751" spans="1:13" ht="12">
      <c r="A751" s="38" t="str">
        <f>$A$42</f>
        <v>-</v>
      </c>
      <c r="F751" s="113"/>
      <c r="G751" s="113"/>
      <c r="H751" s="113"/>
      <c r="I751" s="104"/>
      <c r="J751" s="105"/>
      <c r="L751" s="36"/>
      <c r="M751" s="39" t="str">
        <f>$M$3</f>
        <v>Date: 10/1/2009</v>
      </c>
    </row>
    <row r="752" spans="1:13" ht="12">
      <c r="A752" s="40" t="s">
        <v>1</v>
      </c>
      <c r="B752" s="40" t="s">
        <v>1</v>
      </c>
      <c r="C752" s="40" t="s">
        <v>1</v>
      </c>
      <c r="D752" s="40" t="s">
        <v>1</v>
      </c>
      <c r="E752" s="40" t="s">
        <v>1</v>
      </c>
      <c r="F752" s="40" t="s">
        <v>1</v>
      </c>
      <c r="G752" s="40"/>
      <c r="H752" s="40"/>
      <c r="I752" s="41" t="s">
        <v>1</v>
      </c>
      <c r="J752" s="42" t="s">
        <v>1</v>
      </c>
      <c r="K752" s="40" t="s">
        <v>1</v>
      </c>
      <c r="L752" s="41" t="s">
        <v>1</v>
      </c>
      <c r="M752" s="42" t="s">
        <v>1</v>
      </c>
    </row>
    <row r="753" spans="1:13" ht="12">
      <c r="A753" s="43" t="s">
        <v>2</v>
      </c>
      <c r="E753" s="43" t="s">
        <v>2</v>
      </c>
      <c r="F753" s="44"/>
      <c r="G753" s="45"/>
      <c r="H753" s="44" t="s">
        <v>240</v>
      </c>
      <c r="I753" s="45"/>
      <c r="J753" s="46" t="s">
        <v>247</v>
      </c>
      <c r="K753" s="44"/>
      <c r="L753" s="45"/>
      <c r="M753" s="46" t="s">
        <v>576</v>
      </c>
    </row>
    <row r="754" spans="1:13" ht="12">
      <c r="A754" s="43" t="s">
        <v>4</v>
      </c>
      <c r="C754" s="47" t="s">
        <v>20</v>
      </c>
      <c r="E754" s="43" t="s">
        <v>4</v>
      </c>
      <c r="H754" s="46" t="s">
        <v>7</v>
      </c>
      <c r="I754" s="36"/>
      <c r="J754" s="46" t="s">
        <v>7</v>
      </c>
      <c r="L754" s="36"/>
      <c r="M754" s="46" t="s">
        <v>8</v>
      </c>
    </row>
    <row r="755" spans="1:13" ht="12">
      <c r="A755" s="40" t="s">
        <v>1</v>
      </c>
      <c r="B755" s="40" t="s">
        <v>1</v>
      </c>
      <c r="C755" s="40" t="s">
        <v>1</v>
      </c>
      <c r="D755" s="40" t="s">
        <v>1</v>
      </c>
      <c r="E755" s="40" t="s">
        <v>1</v>
      </c>
      <c r="F755" s="40" t="s">
        <v>1</v>
      </c>
      <c r="G755" s="40"/>
      <c r="H755" s="40"/>
      <c r="I755" s="41" t="s">
        <v>1</v>
      </c>
      <c r="J755" s="42" t="s">
        <v>1</v>
      </c>
      <c r="K755" s="40" t="s">
        <v>1</v>
      </c>
      <c r="L755" s="41" t="s">
        <v>1</v>
      </c>
      <c r="M755" s="42" t="s">
        <v>1</v>
      </c>
    </row>
    <row r="756" spans="1:13" ht="12">
      <c r="A756" s="30">
        <v>1</v>
      </c>
      <c r="C756" s="31" t="s">
        <v>54</v>
      </c>
      <c r="E756" s="30">
        <v>1</v>
      </c>
      <c r="F756" s="32"/>
      <c r="G756" s="32"/>
      <c r="H756" s="1">
        <v>3584483</v>
      </c>
      <c r="I756" s="1"/>
      <c r="J756" s="1">
        <f>11687520+454106-8644957+305969</f>
        <v>3802638</v>
      </c>
      <c r="K756" s="1"/>
      <c r="L756" s="1"/>
      <c r="M756" s="1">
        <v>3597625</v>
      </c>
    </row>
    <row r="757" spans="1:13" ht="12">
      <c r="A757" s="30">
        <f aca="true" t="shared" si="9" ref="A757:A774">(A756+1)</f>
        <v>2</v>
      </c>
      <c r="C757" s="32"/>
      <c r="E757" s="30">
        <f aca="true" t="shared" si="10" ref="E757:E774">(E756+1)</f>
        <v>2</v>
      </c>
      <c r="F757" s="32"/>
      <c r="G757" s="32"/>
      <c r="H757" s="32"/>
      <c r="I757" s="33"/>
      <c r="J757" s="34"/>
      <c r="K757" s="32"/>
      <c r="L757" s="33"/>
      <c r="M757" s="34"/>
    </row>
    <row r="758" spans="1:15" ht="12">
      <c r="A758" s="30">
        <f t="shared" si="9"/>
        <v>3</v>
      </c>
      <c r="C758" s="32"/>
      <c r="E758" s="30">
        <f t="shared" si="10"/>
        <v>3</v>
      </c>
      <c r="F758" s="32"/>
      <c r="G758" s="32"/>
      <c r="H758" s="32"/>
      <c r="I758" s="33"/>
      <c r="J758" s="34"/>
      <c r="K758" s="32"/>
      <c r="L758" s="33"/>
      <c r="M758" s="34"/>
      <c r="N758" s="413"/>
      <c r="O758" s="413"/>
    </row>
    <row r="759" spans="1:15" ht="12">
      <c r="A759" s="30">
        <f t="shared" si="9"/>
        <v>4</v>
      </c>
      <c r="C759" s="32"/>
      <c r="E759" s="30">
        <f t="shared" si="10"/>
        <v>4</v>
      </c>
      <c r="F759" s="32"/>
      <c r="G759" s="32"/>
      <c r="H759" s="32"/>
      <c r="I759" s="33"/>
      <c r="J759" s="34"/>
      <c r="K759" s="32"/>
      <c r="L759" s="33"/>
      <c r="M759" s="34"/>
      <c r="N759" s="413"/>
      <c r="O759" s="413"/>
    </row>
    <row r="760" spans="1:15" ht="12">
      <c r="A760" s="30">
        <f t="shared" si="9"/>
        <v>5</v>
      </c>
      <c r="C760" s="32"/>
      <c r="E760" s="30">
        <f t="shared" si="10"/>
        <v>5</v>
      </c>
      <c r="F760" s="32"/>
      <c r="G760" s="32"/>
      <c r="H760" s="32"/>
      <c r="I760" s="33"/>
      <c r="J760" s="34"/>
      <c r="K760" s="32"/>
      <c r="L760" s="33"/>
      <c r="M760" s="34"/>
      <c r="N760" s="413"/>
      <c r="O760" s="413"/>
    </row>
    <row r="761" spans="1:15" ht="12">
      <c r="A761" s="30">
        <f t="shared" si="9"/>
        <v>6</v>
      </c>
      <c r="C761" s="32"/>
      <c r="E761" s="30">
        <f t="shared" si="10"/>
        <v>6</v>
      </c>
      <c r="F761" s="32"/>
      <c r="G761" s="32"/>
      <c r="H761" s="32"/>
      <c r="I761" s="33"/>
      <c r="J761" s="34"/>
      <c r="K761" s="32"/>
      <c r="L761" s="33"/>
      <c r="M761" s="34"/>
      <c r="N761" s="413"/>
      <c r="O761" s="413"/>
    </row>
    <row r="762" spans="1:13" ht="12">
      <c r="A762" s="30">
        <f t="shared" si="9"/>
        <v>7</v>
      </c>
      <c r="C762" s="32"/>
      <c r="E762" s="30">
        <f t="shared" si="10"/>
        <v>7</v>
      </c>
      <c r="F762" s="32"/>
      <c r="G762" s="32"/>
      <c r="H762" s="32"/>
      <c r="I762" s="33"/>
      <c r="J762" s="34"/>
      <c r="K762" s="32"/>
      <c r="L762" s="33"/>
      <c r="M762" s="34"/>
    </row>
    <row r="763" spans="1:13" ht="12">
      <c r="A763" s="30">
        <f t="shared" si="9"/>
        <v>8</v>
      </c>
      <c r="C763" s="32"/>
      <c r="E763" s="30">
        <f t="shared" si="10"/>
        <v>8</v>
      </c>
      <c r="F763" s="32"/>
      <c r="G763" s="32"/>
      <c r="H763" s="32"/>
      <c r="I763" s="33"/>
      <c r="J763" s="34"/>
      <c r="K763" s="32"/>
      <c r="L763" s="33"/>
      <c r="M763" s="34"/>
    </row>
    <row r="764" spans="1:13" ht="12">
      <c r="A764" s="30">
        <f t="shared" si="9"/>
        <v>9</v>
      </c>
      <c r="C764" s="32"/>
      <c r="E764" s="30">
        <f t="shared" si="10"/>
        <v>9</v>
      </c>
      <c r="F764" s="32"/>
      <c r="G764" s="32"/>
      <c r="H764" s="32"/>
      <c r="I764" s="33"/>
      <c r="J764" s="34"/>
      <c r="K764" s="32"/>
      <c r="L764" s="33"/>
      <c r="M764" s="34"/>
    </row>
    <row r="765" spans="1:13" ht="12">
      <c r="A765" s="30">
        <f t="shared" si="9"/>
        <v>10</v>
      </c>
      <c r="C765" s="32"/>
      <c r="E765" s="30">
        <f t="shared" si="10"/>
        <v>10</v>
      </c>
      <c r="F765" s="32"/>
      <c r="G765" s="32"/>
      <c r="H765" s="32"/>
      <c r="I765" s="33"/>
      <c r="J765" s="34"/>
      <c r="K765" s="32"/>
      <c r="L765" s="33"/>
      <c r="M765" s="34"/>
    </row>
    <row r="766" spans="1:13" ht="12">
      <c r="A766" s="30">
        <f t="shared" si="9"/>
        <v>11</v>
      </c>
      <c r="C766" s="32"/>
      <c r="E766" s="30">
        <f t="shared" si="10"/>
        <v>11</v>
      </c>
      <c r="I766" s="33"/>
      <c r="J766" s="34"/>
      <c r="K766" s="32"/>
      <c r="L766" s="33"/>
      <c r="M766" s="34"/>
    </row>
    <row r="767" spans="1:13" ht="12">
      <c r="A767" s="30">
        <f t="shared" si="9"/>
        <v>12</v>
      </c>
      <c r="C767" s="32"/>
      <c r="E767" s="30">
        <f t="shared" si="10"/>
        <v>12</v>
      </c>
      <c r="I767" s="33"/>
      <c r="J767" s="34"/>
      <c r="K767" s="32"/>
      <c r="L767" s="33"/>
      <c r="M767" s="34"/>
    </row>
    <row r="768" spans="1:13" ht="12">
      <c r="A768" s="30">
        <f t="shared" si="9"/>
        <v>13</v>
      </c>
      <c r="C768" s="32"/>
      <c r="E768" s="30">
        <f t="shared" si="10"/>
        <v>13</v>
      </c>
      <c r="F768" s="32"/>
      <c r="G768" s="32"/>
      <c r="H768" s="32"/>
      <c r="I768" s="33"/>
      <c r="J768" s="34"/>
      <c r="K768" s="32"/>
      <c r="L768" s="33"/>
      <c r="M768" s="34"/>
    </row>
    <row r="769" spans="1:13" ht="12">
      <c r="A769" s="30">
        <f t="shared" si="9"/>
        <v>14</v>
      </c>
      <c r="C769" s="32"/>
      <c r="E769" s="30">
        <f t="shared" si="10"/>
        <v>14</v>
      </c>
      <c r="F769" s="32"/>
      <c r="G769" s="32"/>
      <c r="H769" s="32"/>
      <c r="I769" s="33"/>
      <c r="J769" s="34"/>
      <c r="K769" s="32"/>
      <c r="L769" s="33"/>
      <c r="M769" s="34"/>
    </row>
    <row r="770" spans="1:13" ht="12">
      <c r="A770" s="30">
        <f t="shared" si="9"/>
        <v>15</v>
      </c>
      <c r="C770" s="32"/>
      <c r="E770" s="30">
        <f t="shared" si="10"/>
        <v>15</v>
      </c>
      <c r="F770" s="32"/>
      <c r="G770" s="32"/>
      <c r="H770" s="32"/>
      <c r="I770" s="33"/>
      <c r="J770" s="34"/>
      <c r="K770" s="32"/>
      <c r="L770" s="33"/>
      <c r="M770" s="34"/>
    </row>
    <row r="771" spans="1:13" ht="12">
      <c r="A771" s="30">
        <f t="shared" si="9"/>
        <v>16</v>
      </c>
      <c r="C771" s="32"/>
      <c r="E771" s="30">
        <f t="shared" si="10"/>
        <v>16</v>
      </c>
      <c r="F771" s="32"/>
      <c r="G771" s="32"/>
      <c r="H771" s="32"/>
      <c r="I771" s="33"/>
      <c r="J771" s="34"/>
      <c r="K771" s="32"/>
      <c r="L771" s="33"/>
      <c r="M771" s="34"/>
    </row>
    <row r="772" spans="1:13" ht="12">
      <c r="A772" s="30">
        <f t="shared" si="9"/>
        <v>17</v>
      </c>
      <c r="C772" s="32"/>
      <c r="E772" s="30">
        <f t="shared" si="10"/>
        <v>17</v>
      </c>
      <c r="F772" s="32"/>
      <c r="G772" s="32"/>
      <c r="H772" s="32"/>
      <c r="I772" s="33"/>
      <c r="J772" s="34"/>
      <c r="K772" s="32"/>
      <c r="L772" s="33"/>
      <c r="M772" s="34"/>
    </row>
    <row r="773" spans="1:13" ht="12">
      <c r="A773" s="30">
        <f t="shared" si="9"/>
        <v>18</v>
      </c>
      <c r="C773" s="32"/>
      <c r="E773" s="30">
        <f t="shared" si="10"/>
        <v>18</v>
      </c>
      <c r="F773" s="32"/>
      <c r="G773" s="32"/>
      <c r="H773" s="32"/>
      <c r="I773" s="33"/>
      <c r="J773" s="34"/>
      <c r="K773" s="32"/>
      <c r="L773" s="33"/>
      <c r="M773" s="34"/>
    </row>
    <row r="774" spans="1:13" ht="12">
      <c r="A774" s="30">
        <f t="shared" si="9"/>
        <v>19</v>
      </c>
      <c r="C774" s="32"/>
      <c r="E774" s="30">
        <f t="shared" si="10"/>
        <v>19</v>
      </c>
      <c r="F774" s="32"/>
      <c r="G774" s="32"/>
      <c r="H774" s="32"/>
      <c r="I774" s="33"/>
      <c r="J774" s="34"/>
      <c r="K774" s="32"/>
      <c r="L774" s="33"/>
      <c r="M774" s="34"/>
    </row>
    <row r="775" spans="1:13" ht="12">
      <c r="A775" s="30">
        <v>20</v>
      </c>
      <c r="E775" s="30">
        <v>20</v>
      </c>
      <c r="F775" s="109"/>
      <c r="G775" s="109"/>
      <c r="H775" s="109"/>
      <c r="I775" s="41"/>
      <c r="J775" s="42"/>
      <c r="K775" s="109"/>
      <c r="L775" s="41"/>
      <c r="M775" s="42"/>
    </row>
    <row r="776" spans="1:13" ht="12">
      <c r="A776" s="30">
        <v>21</v>
      </c>
      <c r="E776" s="30">
        <v>21</v>
      </c>
      <c r="F776" s="109"/>
      <c r="G776" s="109"/>
      <c r="H776" s="109"/>
      <c r="I776" s="41"/>
      <c r="J776" s="74"/>
      <c r="K776" s="109"/>
      <c r="L776" s="41"/>
      <c r="M776" s="74"/>
    </row>
    <row r="777" spans="1:13" ht="12">
      <c r="A777" s="30">
        <v>22</v>
      </c>
      <c r="E777" s="30">
        <v>22</v>
      </c>
      <c r="I777" s="36"/>
      <c r="J777" s="74"/>
      <c r="L777" s="36"/>
      <c r="M777" s="74"/>
    </row>
    <row r="778" spans="1:13" ht="12">
      <c r="A778" s="30">
        <v>23</v>
      </c>
      <c r="D778" s="100"/>
      <c r="E778" s="30">
        <v>23</v>
      </c>
      <c r="J778" s="74"/>
      <c r="M778" s="74"/>
    </row>
    <row r="779" spans="1:13" ht="12">
      <c r="A779" s="30">
        <v>24</v>
      </c>
      <c r="D779" s="100"/>
      <c r="E779" s="30">
        <v>24</v>
      </c>
      <c r="J779" s="74"/>
      <c r="M779" s="74"/>
    </row>
    <row r="780" spans="6:13" ht="12">
      <c r="F780" s="109" t="s">
        <v>1</v>
      </c>
      <c r="G780" s="109"/>
      <c r="H780" s="109"/>
      <c r="I780" s="41" t="s">
        <v>1</v>
      </c>
      <c r="J780" s="42"/>
      <c r="K780" s="109"/>
      <c r="L780" s="41"/>
      <c r="M780" s="42"/>
    </row>
    <row r="781" spans="1:13" ht="12">
      <c r="A781" s="30">
        <v>25</v>
      </c>
      <c r="C781" s="31" t="s">
        <v>229</v>
      </c>
      <c r="E781" s="30">
        <v>25</v>
      </c>
      <c r="H781" s="121">
        <f>SUM(H756:H779)</f>
        <v>3584483</v>
      </c>
      <c r="I781" s="122"/>
      <c r="J781" s="121">
        <f>SUM(J756:J779)</f>
        <v>3802638</v>
      </c>
      <c r="K781" s="121"/>
      <c r="L781" s="122"/>
      <c r="M781" s="121">
        <f>SUM(M756:M779)</f>
        <v>3597625</v>
      </c>
    </row>
    <row r="782" spans="4:13" ht="12">
      <c r="D782" s="100"/>
      <c r="F782" s="109" t="s">
        <v>1</v>
      </c>
      <c r="G782" s="109"/>
      <c r="H782" s="109"/>
      <c r="I782" s="41" t="s">
        <v>1</v>
      </c>
      <c r="J782" s="42"/>
      <c r="K782" s="109"/>
      <c r="L782" s="41"/>
      <c r="M782" s="42"/>
    </row>
    <row r="783" spans="6:13" ht="12">
      <c r="F783" s="109"/>
      <c r="G783" s="109"/>
      <c r="H783" s="109"/>
      <c r="I783" s="41"/>
      <c r="J783" s="42"/>
      <c r="K783" s="109"/>
      <c r="L783" s="41"/>
      <c r="M783" s="42"/>
    </row>
    <row r="784" spans="9:13" ht="12">
      <c r="I784" s="36"/>
      <c r="J784" s="74"/>
      <c r="L784" s="36"/>
      <c r="M784" s="74"/>
    </row>
    <row r="785" spans="1:13" ht="12">
      <c r="A785" s="4"/>
      <c r="B785" s="4"/>
      <c r="C785" s="4"/>
      <c r="D785" s="4"/>
      <c r="E785" s="4"/>
      <c r="F785" s="4"/>
      <c r="G785" s="4"/>
      <c r="H785" s="246"/>
      <c r="I785" s="10"/>
      <c r="J785" s="11"/>
      <c r="K785" s="4"/>
      <c r="L785" s="10"/>
      <c r="M785" s="187"/>
    </row>
    <row r="786" spans="1:13" s="4" customFormat="1" ht="12">
      <c r="A786" s="31"/>
      <c r="B786" s="26"/>
      <c r="C786" s="26"/>
      <c r="D786" s="26"/>
      <c r="E786" s="26"/>
      <c r="F786" s="26"/>
      <c r="G786" s="26"/>
      <c r="H786" s="26"/>
      <c r="I786" s="27"/>
      <c r="J786" s="28"/>
      <c r="K786" s="26"/>
      <c r="L786" s="27"/>
      <c r="M786" s="28"/>
    </row>
    <row r="788" spans="1:13" ht="12">
      <c r="A788" s="38" t="str">
        <f>$A$36</f>
        <v>Institution No.:  GFC</v>
      </c>
      <c r="B788" s="65"/>
      <c r="C788" s="65"/>
      <c r="D788" s="65"/>
      <c r="E788" s="70"/>
      <c r="F788" s="65"/>
      <c r="G788" s="65"/>
      <c r="H788" s="65"/>
      <c r="I788" s="71"/>
      <c r="J788" s="72"/>
      <c r="K788" s="65"/>
      <c r="L788" s="71"/>
      <c r="M788" s="37" t="s">
        <v>55</v>
      </c>
    </row>
    <row r="789" spans="1:13" s="65" customFormat="1" ht="12">
      <c r="A789" s="414" t="s">
        <v>155</v>
      </c>
      <c r="B789" s="414"/>
      <c r="C789" s="414"/>
      <c r="D789" s="414"/>
      <c r="E789" s="414"/>
      <c r="F789" s="414"/>
      <c r="G789" s="414"/>
      <c r="H789" s="414"/>
      <c r="I789" s="414"/>
      <c r="J789" s="414"/>
      <c r="K789" s="414"/>
      <c r="L789" s="414"/>
      <c r="M789" s="414"/>
    </row>
    <row r="790" spans="1:13" s="65" customFormat="1" ht="12">
      <c r="A790" s="38" t="s">
        <v>551</v>
      </c>
      <c r="B790" s="26"/>
      <c r="C790" s="26" t="s">
        <v>455</v>
      </c>
      <c r="D790" s="26"/>
      <c r="E790" s="26"/>
      <c r="F790" s="26"/>
      <c r="G790" s="26"/>
      <c r="H790" s="26"/>
      <c r="I790" s="146"/>
      <c r="J790" s="74"/>
      <c r="K790" s="26"/>
      <c r="L790" s="36"/>
      <c r="M790" s="39" t="str">
        <f>$M$3</f>
        <v>Date: 10/1/2009</v>
      </c>
    </row>
    <row r="791" spans="1:13" ht="12">
      <c r="A791" s="40" t="s">
        <v>1</v>
      </c>
      <c r="B791" s="40" t="s">
        <v>1</v>
      </c>
      <c r="C791" s="40" t="s">
        <v>1</v>
      </c>
      <c r="D791" s="40" t="s">
        <v>1</v>
      </c>
      <c r="E791" s="40" t="s">
        <v>1</v>
      </c>
      <c r="F791" s="40" t="s">
        <v>1</v>
      </c>
      <c r="G791" s="40"/>
      <c r="H791" s="40"/>
      <c r="I791" s="41" t="s">
        <v>1</v>
      </c>
      <c r="J791" s="42" t="s">
        <v>1</v>
      </c>
      <c r="K791" s="40" t="s">
        <v>1</v>
      </c>
      <c r="L791" s="41" t="s">
        <v>1</v>
      </c>
      <c r="M791" s="42" t="s">
        <v>1</v>
      </c>
    </row>
    <row r="792" spans="1:13" ht="12">
      <c r="A792" s="43" t="s">
        <v>2</v>
      </c>
      <c r="E792" s="43" t="s">
        <v>2</v>
      </c>
      <c r="F792" s="44"/>
      <c r="G792" s="45"/>
      <c r="H792" s="44" t="s">
        <v>240</v>
      </c>
      <c r="I792" s="45"/>
      <c r="J792" s="46" t="s">
        <v>247</v>
      </c>
      <c r="K792" s="44"/>
      <c r="L792" s="45"/>
      <c r="M792" s="46" t="s">
        <v>576</v>
      </c>
    </row>
    <row r="793" spans="1:13" ht="12">
      <c r="A793" s="43" t="s">
        <v>4</v>
      </c>
      <c r="C793" s="47" t="s">
        <v>20</v>
      </c>
      <c r="E793" s="43" t="s">
        <v>4</v>
      </c>
      <c r="F793" s="44"/>
      <c r="G793" s="45" t="s">
        <v>21</v>
      </c>
      <c r="H793" s="46" t="s">
        <v>7</v>
      </c>
      <c r="I793" s="45" t="s">
        <v>21</v>
      </c>
      <c r="J793" s="46" t="s">
        <v>7</v>
      </c>
      <c r="K793" s="44"/>
      <c r="L793" s="45" t="s">
        <v>21</v>
      </c>
      <c r="M793" s="46" t="s">
        <v>8</v>
      </c>
    </row>
    <row r="794" spans="1:13" ht="12">
      <c r="A794" s="40" t="s">
        <v>1</v>
      </c>
      <c r="B794" s="40" t="s">
        <v>1</v>
      </c>
      <c r="C794" s="40" t="s">
        <v>1</v>
      </c>
      <c r="D794" s="40" t="s">
        <v>1</v>
      </c>
      <c r="E794" s="40" t="s">
        <v>1</v>
      </c>
      <c r="F794" s="40" t="s">
        <v>1</v>
      </c>
      <c r="G794" s="40"/>
      <c r="H794" s="40"/>
      <c r="I794" s="41" t="s">
        <v>1</v>
      </c>
      <c r="J794" s="42" t="s">
        <v>1</v>
      </c>
      <c r="K794" s="40" t="s">
        <v>1</v>
      </c>
      <c r="L794" s="41" t="s">
        <v>1</v>
      </c>
      <c r="M794" s="42" t="s">
        <v>1</v>
      </c>
    </row>
    <row r="795" spans="1:13" ht="12">
      <c r="A795" s="30">
        <v>1</v>
      </c>
      <c r="C795" s="31" t="s">
        <v>36</v>
      </c>
      <c r="E795" s="30">
        <v>1</v>
      </c>
      <c r="F795" s="32"/>
      <c r="G795" s="126">
        <v>0</v>
      </c>
      <c r="H795" s="1">
        <v>0</v>
      </c>
      <c r="I795" s="126">
        <v>0</v>
      </c>
      <c r="J795" s="1">
        <v>0</v>
      </c>
      <c r="K795" s="131"/>
      <c r="L795" s="126">
        <v>0</v>
      </c>
      <c r="M795" s="1">
        <v>0</v>
      </c>
    </row>
    <row r="796" spans="1:13" ht="12">
      <c r="A796" s="30">
        <v>2</v>
      </c>
      <c r="C796" s="31" t="s">
        <v>37</v>
      </c>
      <c r="E796" s="30">
        <v>2</v>
      </c>
      <c r="F796" s="32"/>
      <c r="G796" s="126"/>
      <c r="H796" s="1">
        <v>0</v>
      </c>
      <c r="I796" s="126"/>
      <c r="J796" s="1">
        <v>0</v>
      </c>
      <c r="K796" s="131"/>
      <c r="L796" s="126"/>
      <c r="M796" s="1">
        <v>0</v>
      </c>
    </row>
    <row r="797" spans="1:13" ht="12">
      <c r="A797" s="30">
        <v>3</v>
      </c>
      <c r="E797" s="30">
        <v>3</v>
      </c>
      <c r="F797" s="32"/>
      <c r="G797" s="126"/>
      <c r="H797" s="1"/>
      <c r="I797" s="126"/>
      <c r="J797" s="1"/>
      <c r="K797" s="131"/>
      <c r="L797" s="126"/>
      <c r="M797" s="1"/>
    </row>
    <row r="798" spans="1:13" ht="12">
      <c r="A798" s="30">
        <v>4</v>
      </c>
      <c r="C798" s="31" t="s">
        <v>23</v>
      </c>
      <c r="E798" s="30">
        <v>4</v>
      </c>
      <c r="F798" s="32"/>
      <c r="G798" s="126">
        <v>0</v>
      </c>
      <c r="H798" s="1">
        <f>SUM(H795:H797)</f>
        <v>0</v>
      </c>
      <c r="I798" s="126">
        <v>0</v>
      </c>
      <c r="J798" s="1">
        <f>SUM(J795:J797)</f>
        <v>0</v>
      </c>
      <c r="K798" s="49"/>
      <c r="L798" s="126">
        <v>0</v>
      </c>
      <c r="M798" s="1">
        <f>SUM(M795:M797)</f>
        <v>0</v>
      </c>
    </row>
    <row r="799" spans="1:13" ht="12">
      <c r="A799" s="30">
        <v>5</v>
      </c>
      <c r="E799" s="30">
        <v>5</v>
      </c>
      <c r="F799" s="32"/>
      <c r="G799" s="126"/>
      <c r="H799" s="1"/>
      <c r="I799" s="126"/>
      <c r="J799" s="1"/>
      <c r="K799" s="49"/>
      <c r="L799" s="126"/>
      <c r="M799" s="1"/>
    </row>
    <row r="800" spans="1:13" ht="12">
      <c r="A800" s="30">
        <v>6</v>
      </c>
      <c r="E800" s="30">
        <v>6</v>
      </c>
      <c r="F800" s="32"/>
      <c r="G800" s="126"/>
      <c r="H800" s="1"/>
      <c r="I800" s="126"/>
      <c r="J800" s="1"/>
      <c r="K800" s="49"/>
      <c r="L800" s="126"/>
      <c r="M800" s="1"/>
    </row>
    <row r="801" spans="1:13" ht="12">
      <c r="A801" s="30">
        <v>7</v>
      </c>
      <c r="C801" s="31" t="s">
        <v>25</v>
      </c>
      <c r="E801" s="30">
        <v>7</v>
      </c>
      <c r="F801" s="32"/>
      <c r="G801" s="126">
        <v>0</v>
      </c>
      <c r="H801" s="1">
        <v>0</v>
      </c>
      <c r="I801" s="126">
        <v>0</v>
      </c>
      <c r="J801" s="1">
        <v>0</v>
      </c>
      <c r="K801" s="131"/>
      <c r="L801" s="126">
        <v>0</v>
      </c>
      <c r="M801" s="1">
        <v>0</v>
      </c>
    </row>
    <row r="802" spans="1:13" ht="12">
      <c r="A802" s="30">
        <v>8</v>
      </c>
      <c r="C802" s="31" t="s">
        <v>26</v>
      </c>
      <c r="E802" s="30">
        <v>8</v>
      </c>
      <c r="F802" s="32"/>
      <c r="G802" s="126"/>
      <c r="H802" s="1">
        <v>0</v>
      </c>
      <c r="I802" s="126"/>
      <c r="J802" s="1">
        <v>0</v>
      </c>
      <c r="K802" s="131"/>
      <c r="L802" s="126"/>
      <c r="M802" s="1">
        <v>0</v>
      </c>
    </row>
    <row r="803" spans="1:13" ht="12">
      <c r="A803" s="30">
        <v>9</v>
      </c>
      <c r="C803" s="31" t="s">
        <v>27</v>
      </c>
      <c r="E803" s="30">
        <v>9</v>
      </c>
      <c r="F803" s="32"/>
      <c r="G803" s="126">
        <v>0</v>
      </c>
      <c r="H803" s="1">
        <f>SUM(H801:H802)</f>
        <v>0</v>
      </c>
      <c r="I803" s="126">
        <v>0</v>
      </c>
      <c r="J803" s="1">
        <f>SUM(J801:J802)</f>
        <v>0</v>
      </c>
      <c r="K803" s="49"/>
      <c r="L803" s="126">
        <v>0</v>
      </c>
      <c r="M803" s="1">
        <f>SUM(M801:M802)</f>
        <v>0</v>
      </c>
    </row>
    <row r="804" spans="1:13" ht="12">
      <c r="A804" s="30">
        <v>10</v>
      </c>
      <c r="E804" s="30">
        <v>10</v>
      </c>
      <c r="F804" s="32"/>
      <c r="G804" s="126"/>
      <c r="H804" s="1"/>
      <c r="I804" s="126"/>
      <c r="J804" s="1"/>
      <c r="K804" s="49"/>
      <c r="L804" s="126"/>
      <c r="M804" s="1"/>
    </row>
    <row r="805" spans="1:13" ht="12">
      <c r="A805" s="30">
        <v>11</v>
      </c>
      <c r="C805" s="31" t="s">
        <v>28</v>
      </c>
      <c r="E805" s="30">
        <v>11</v>
      </c>
      <c r="F805" s="32"/>
      <c r="G805" s="126">
        <v>0</v>
      </c>
      <c r="H805" s="1">
        <f>SUM(H803,H798)</f>
        <v>0</v>
      </c>
      <c r="I805" s="126">
        <v>0</v>
      </c>
      <c r="J805" s="1">
        <f>SUM(J803,J798)</f>
        <v>0</v>
      </c>
      <c r="K805" s="49"/>
      <c r="L805" s="126">
        <v>0</v>
      </c>
      <c r="M805" s="1">
        <f>SUM(M803,M798)</f>
        <v>0</v>
      </c>
    </row>
    <row r="806" spans="1:13" ht="12">
      <c r="A806" s="30">
        <v>12</v>
      </c>
      <c r="E806" s="30">
        <v>12</v>
      </c>
      <c r="F806" s="32"/>
      <c r="G806" s="126"/>
      <c r="H806" s="1"/>
      <c r="I806" s="126"/>
      <c r="J806" s="1"/>
      <c r="K806" s="49"/>
      <c r="L806" s="126"/>
      <c r="M806" s="1"/>
    </row>
    <row r="807" spans="1:13" ht="12">
      <c r="A807" s="30">
        <v>13</v>
      </c>
      <c r="C807" s="31" t="s">
        <v>38</v>
      </c>
      <c r="E807" s="30">
        <v>13</v>
      </c>
      <c r="F807" s="32"/>
      <c r="G807" s="126"/>
      <c r="H807" s="1">
        <v>0</v>
      </c>
      <c r="I807" s="126"/>
      <c r="J807" s="1">
        <v>0</v>
      </c>
      <c r="K807" s="131"/>
      <c r="L807" s="126"/>
      <c r="M807" s="1">
        <v>0</v>
      </c>
    </row>
    <row r="808" spans="1:13" ht="12">
      <c r="A808" s="30">
        <v>14</v>
      </c>
      <c r="E808" s="30">
        <v>14</v>
      </c>
      <c r="F808" s="32"/>
      <c r="G808" s="126"/>
      <c r="H808" s="1"/>
      <c r="I808" s="126"/>
      <c r="J808" s="1"/>
      <c r="K808" s="131"/>
      <c r="L808" s="126"/>
      <c r="M808" s="1"/>
    </row>
    <row r="809" spans="1:13" ht="12">
      <c r="A809" s="30">
        <v>15</v>
      </c>
      <c r="C809" s="31" t="s">
        <v>30</v>
      </c>
      <c r="E809" s="30">
        <v>15</v>
      </c>
      <c r="F809" s="32"/>
      <c r="G809" s="126"/>
      <c r="H809" s="1">
        <v>0</v>
      </c>
      <c r="I809" s="126"/>
      <c r="J809" s="1">
        <v>0</v>
      </c>
      <c r="K809" s="131"/>
      <c r="L809" s="126"/>
      <c r="M809" s="1">
        <v>0</v>
      </c>
    </row>
    <row r="810" spans="1:13" ht="12">
      <c r="A810" s="30">
        <v>16</v>
      </c>
      <c r="C810" s="31" t="s">
        <v>31</v>
      </c>
      <c r="E810" s="30">
        <v>16</v>
      </c>
      <c r="F810" s="32"/>
      <c r="G810" s="126"/>
      <c r="H810" s="1">
        <v>0</v>
      </c>
      <c r="I810" s="126"/>
      <c r="J810" s="1">
        <v>17562</v>
      </c>
      <c r="K810" s="131"/>
      <c r="L810" s="126"/>
      <c r="M810" s="1">
        <v>0</v>
      </c>
    </row>
    <row r="811" spans="1:13" ht="12">
      <c r="A811" s="30">
        <v>17</v>
      </c>
      <c r="C811" s="31" t="s">
        <v>32</v>
      </c>
      <c r="E811" s="30">
        <v>17</v>
      </c>
      <c r="F811" s="32"/>
      <c r="G811" s="126"/>
      <c r="H811" s="1">
        <v>0</v>
      </c>
      <c r="I811" s="126"/>
      <c r="J811" s="1">
        <v>0</v>
      </c>
      <c r="K811" s="131"/>
      <c r="L811" s="126"/>
      <c r="M811" s="1">
        <v>0</v>
      </c>
    </row>
    <row r="812" spans="1:13" ht="12">
      <c r="A812" s="30">
        <v>18</v>
      </c>
      <c r="C812" s="31"/>
      <c r="E812" s="30">
        <v>18</v>
      </c>
      <c r="F812" s="32"/>
      <c r="G812" s="126"/>
      <c r="H812" s="1"/>
      <c r="I812" s="126"/>
      <c r="J812" s="1"/>
      <c r="K812" s="131"/>
      <c r="L812" s="126"/>
      <c r="M812" s="1"/>
    </row>
    <row r="813" spans="1:13" ht="12">
      <c r="A813" s="30">
        <v>19</v>
      </c>
      <c r="C813" s="31"/>
      <c r="E813" s="30">
        <v>19</v>
      </c>
      <c r="F813" s="32"/>
      <c r="G813" s="126"/>
      <c r="H813" s="1"/>
      <c r="I813" s="126"/>
      <c r="J813" s="1"/>
      <c r="K813" s="131"/>
      <c r="L813" s="126"/>
      <c r="M813" s="1"/>
    </row>
    <row r="814" spans="1:13" ht="12">
      <c r="A814" s="30">
        <v>20</v>
      </c>
      <c r="C814" s="31"/>
      <c r="E814" s="30">
        <v>20</v>
      </c>
      <c r="F814" s="32"/>
      <c r="G814" s="126"/>
      <c r="H814" s="1"/>
      <c r="I814" s="126"/>
      <c r="J814" s="1"/>
      <c r="K814" s="131"/>
      <c r="L814" s="126"/>
      <c r="M814" s="1"/>
    </row>
    <row r="815" spans="1:13" ht="12">
      <c r="A815" s="30">
        <v>21</v>
      </c>
      <c r="C815" s="31"/>
      <c r="E815" s="30">
        <v>21</v>
      </c>
      <c r="F815" s="32"/>
      <c r="G815" s="126"/>
      <c r="H815" s="1"/>
      <c r="I815" s="126"/>
      <c r="J815" s="1"/>
      <c r="K815" s="131"/>
      <c r="L815" s="126"/>
      <c r="M815" s="1"/>
    </row>
    <row r="816" spans="1:13" ht="12">
      <c r="A816" s="30">
        <v>22</v>
      </c>
      <c r="C816" s="31"/>
      <c r="E816" s="30">
        <v>22</v>
      </c>
      <c r="F816" s="32"/>
      <c r="G816" s="126"/>
      <c r="H816" s="1"/>
      <c r="I816" s="126"/>
      <c r="J816" s="1"/>
      <c r="K816" s="131"/>
      <c r="L816" s="126"/>
      <c r="M816" s="1"/>
    </row>
    <row r="817" spans="1:13" ht="12">
      <c r="A817" s="30">
        <v>23</v>
      </c>
      <c r="C817" s="31"/>
      <c r="E817" s="30">
        <v>23</v>
      </c>
      <c r="F817" s="32"/>
      <c r="G817" s="126"/>
      <c r="H817" s="1"/>
      <c r="I817" s="126"/>
      <c r="J817" s="1"/>
      <c r="K817" s="131"/>
      <c r="L817" s="126"/>
      <c r="M817" s="1"/>
    </row>
    <row r="818" spans="1:13" ht="12">
      <c r="A818" s="30">
        <v>24</v>
      </c>
      <c r="C818" s="31"/>
      <c r="E818" s="30">
        <v>24</v>
      </c>
      <c r="F818" s="32"/>
      <c r="G818" s="90"/>
      <c r="H818" s="119"/>
      <c r="I818" s="90"/>
      <c r="J818" s="119"/>
      <c r="K818" s="32"/>
      <c r="L818" s="90"/>
      <c r="M818" s="119"/>
    </row>
    <row r="819" spans="1:13" ht="12">
      <c r="A819" s="40" t="s">
        <v>1</v>
      </c>
      <c r="B819" s="40" t="s">
        <v>1</v>
      </c>
      <c r="C819" s="40" t="s">
        <v>1</v>
      </c>
      <c r="D819" s="40" t="s">
        <v>1</v>
      </c>
      <c r="E819" s="40" t="s">
        <v>1</v>
      </c>
      <c r="F819" s="40" t="s">
        <v>1</v>
      </c>
      <c r="G819" s="40"/>
      <c r="H819" s="40"/>
      <c r="I819" s="41" t="s">
        <v>1</v>
      </c>
      <c r="J819" s="42" t="s">
        <v>1</v>
      </c>
      <c r="K819" s="40" t="s">
        <v>1</v>
      </c>
      <c r="L819" s="41" t="s">
        <v>1</v>
      </c>
      <c r="M819" s="42" t="s">
        <v>1</v>
      </c>
    </row>
    <row r="820" spans="1:13" ht="12">
      <c r="A820" s="30">
        <v>25</v>
      </c>
      <c r="C820" s="31" t="s">
        <v>230</v>
      </c>
      <c r="E820" s="30">
        <v>25</v>
      </c>
      <c r="G820" s="129">
        <f>SUM(G805:G818)</f>
        <v>0</v>
      </c>
      <c r="H820" s="121">
        <f>SUM(H805:H818)</f>
        <v>0</v>
      </c>
      <c r="I820" s="129">
        <f>SUM(I805:I818)</f>
        <v>0</v>
      </c>
      <c r="J820" s="121">
        <f>SUM(J805:J818)</f>
        <v>17562</v>
      </c>
      <c r="K820" s="44"/>
      <c r="L820" s="129">
        <f>SUM(L805:L818)</f>
        <v>0</v>
      </c>
      <c r="M820" s="121">
        <f>SUM(M805:M818)</f>
        <v>0</v>
      </c>
    </row>
    <row r="821" spans="5:13" ht="12">
      <c r="E821" s="69"/>
      <c r="F821" s="109" t="s">
        <v>1</v>
      </c>
      <c r="G821" s="109"/>
      <c r="H821" s="109"/>
      <c r="I821" s="41"/>
      <c r="J821" s="42"/>
      <c r="K821" s="109"/>
      <c r="L821" s="41"/>
      <c r="M821" s="42"/>
    </row>
    <row r="823" spans="1:13" ht="12">
      <c r="A823" s="31"/>
      <c r="J823" s="74"/>
      <c r="M823" s="74"/>
    </row>
    <row r="824" spans="1:13" ht="12">
      <c r="A824" s="38" t="str">
        <f>$A$36</f>
        <v>Institution No.:  GFC</v>
      </c>
      <c r="B824" s="65"/>
      <c r="C824" s="65"/>
      <c r="D824" s="65"/>
      <c r="E824" s="70"/>
      <c r="F824" s="65"/>
      <c r="G824" s="65"/>
      <c r="H824" s="65"/>
      <c r="I824" s="71"/>
      <c r="J824" s="72"/>
      <c r="K824" s="65"/>
      <c r="L824" s="71"/>
      <c r="M824" s="37" t="s">
        <v>56</v>
      </c>
    </row>
    <row r="825" spans="1:13" s="65" customFormat="1" ht="12">
      <c r="A825" s="416" t="s">
        <v>57</v>
      </c>
      <c r="B825" s="416"/>
      <c r="C825" s="416"/>
      <c r="D825" s="416"/>
      <c r="E825" s="416"/>
      <c r="F825" s="416"/>
      <c r="G825" s="416"/>
      <c r="H825" s="416"/>
      <c r="I825" s="416"/>
      <c r="J825" s="416"/>
      <c r="K825" s="416"/>
      <c r="L825" s="416"/>
      <c r="M825" s="416"/>
    </row>
    <row r="826" spans="1:13" s="65" customFormat="1" ht="12">
      <c r="A826" s="38" t="s">
        <v>551</v>
      </c>
      <c r="B826" s="26"/>
      <c r="C826" s="26" t="s">
        <v>455</v>
      </c>
      <c r="D826" s="26"/>
      <c r="E826" s="26"/>
      <c r="F826" s="26"/>
      <c r="G826" s="26"/>
      <c r="H826" s="26"/>
      <c r="I826" s="27"/>
      <c r="J826" s="148"/>
      <c r="K826" s="26"/>
      <c r="L826" s="36"/>
      <c r="M826" s="39" t="str">
        <f>$M$3</f>
        <v>Date: 10/1/2009</v>
      </c>
    </row>
    <row r="827" spans="1:13" ht="12">
      <c r="A827" s="40" t="s">
        <v>1</v>
      </c>
      <c r="B827" s="40" t="s">
        <v>1</v>
      </c>
      <c r="C827" s="40" t="s">
        <v>1</v>
      </c>
      <c r="D827" s="40" t="s">
        <v>1</v>
      </c>
      <c r="E827" s="40" t="s">
        <v>1</v>
      </c>
      <c r="F827" s="40" t="s">
        <v>1</v>
      </c>
      <c r="G827" s="40"/>
      <c r="H827" s="40"/>
      <c r="I827" s="41" t="s">
        <v>1</v>
      </c>
      <c r="J827" s="42" t="s">
        <v>1</v>
      </c>
      <c r="K827" s="40" t="s">
        <v>1</v>
      </c>
      <c r="L827" s="41" t="s">
        <v>1</v>
      </c>
      <c r="M827" s="42" t="s">
        <v>1</v>
      </c>
    </row>
    <row r="828" spans="1:13" ht="12">
      <c r="A828" s="43" t="s">
        <v>2</v>
      </c>
      <c r="E828" s="43" t="s">
        <v>2</v>
      </c>
      <c r="F828" s="44"/>
      <c r="G828" s="45"/>
      <c r="H828" s="44" t="s">
        <v>240</v>
      </c>
      <c r="I828" s="45"/>
      <c r="J828" s="46" t="s">
        <v>247</v>
      </c>
      <c r="K828" s="44"/>
      <c r="L828" s="45"/>
      <c r="M828" s="46" t="s">
        <v>576</v>
      </c>
    </row>
    <row r="829" spans="1:13" ht="12">
      <c r="A829" s="43" t="s">
        <v>4</v>
      </c>
      <c r="C829" s="47" t="s">
        <v>20</v>
      </c>
      <c r="E829" s="43" t="s">
        <v>4</v>
      </c>
      <c r="F829" s="44"/>
      <c r="G829" s="44"/>
      <c r="H829" s="46" t="s">
        <v>7</v>
      </c>
      <c r="I829" s="45"/>
      <c r="J829" s="46" t="s">
        <v>7</v>
      </c>
      <c r="K829" s="44"/>
      <c r="L829" s="45"/>
      <c r="M829" s="46" t="s">
        <v>8</v>
      </c>
    </row>
    <row r="830" spans="1:13" ht="12">
      <c r="A830" s="40" t="s">
        <v>1</v>
      </c>
      <c r="B830" s="40" t="s">
        <v>1</v>
      </c>
      <c r="C830" s="40" t="s">
        <v>1</v>
      </c>
      <c r="D830" s="40" t="s">
        <v>1</v>
      </c>
      <c r="E830" s="40" t="s">
        <v>1</v>
      </c>
      <c r="F830" s="40" t="s">
        <v>1</v>
      </c>
      <c r="G830" s="40"/>
      <c r="H830" s="40"/>
      <c r="I830" s="41" t="s">
        <v>1</v>
      </c>
      <c r="J830" s="42" t="s">
        <v>1</v>
      </c>
      <c r="K830" s="40" t="s">
        <v>1</v>
      </c>
      <c r="L830" s="41" t="s">
        <v>1</v>
      </c>
      <c r="M830" s="42" t="s">
        <v>1</v>
      </c>
    </row>
    <row r="831" spans="1:13" ht="12">
      <c r="A831" s="114">
        <v>1</v>
      </c>
      <c r="C831" s="26" t="s">
        <v>58</v>
      </c>
      <c r="E831" s="114">
        <v>1</v>
      </c>
      <c r="F831" s="32"/>
      <c r="G831" s="32"/>
      <c r="H831" s="1"/>
      <c r="I831" s="1"/>
      <c r="J831" s="1"/>
      <c r="K831" s="1"/>
      <c r="L831" s="1"/>
      <c r="M831" s="1"/>
    </row>
    <row r="832" spans="1:13" ht="12">
      <c r="A832" s="114">
        <v>2</v>
      </c>
      <c r="C832" s="26" t="s">
        <v>469</v>
      </c>
      <c r="E832" s="114">
        <v>2</v>
      </c>
      <c r="F832" s="32"/>
      <c r="G832" s="32"/>
      <c r="H832" s="314">
        <v>172226</v>
      </c>
      <c r="I832" s="1"/>
      <c r="J832" s="1">
        <v>180299</v>
      </c>
      <c r="K832" s="1"/>
      <c r="L832" s="1"/>
      <c r="M832" s="1">
        <v>192318</v>
      </c>
    </row>
    <row r="833" spans="1:13" ht="12">
      <c r="A833" s="114">
        <v>3</v>
      </c>
      <c r="C833" s="32" t="s">
        <v>470</v>
      </c>
      <c r="E833" s="114">
        <v>3</v>
      </c>
      <c r="F833" s="32"/>
      <c r="G833" s="32"/>
      <c r="H833" s="314">
        <v>406287</v>
      </c>
      <c r="I833" s="1"/>
      <c r="J833" s="1">
        <v>403565</v>
      </c>
      <c r="K833" s="1"/>
      <c r="L833" s="1"/>
      <c r="M833" s="1">
        <v>433407</v>
      </c>
    </row>
    <row r="834" spans="1:13" ht="12">
      <c r="A834" s="114">
        <v>4</v>
      </c>
      <c r="C834" s="32" t="s">
        <v>466</v>
      </c>
      <c r="E834" s="114">
        <v>4</v>
      </c>
      <c r="F834" s="32"/>
      <c r="G834" s="32"/>
      <c r="H834" s="314">
        <v>23796</v>
      </c>
      <c r="I834" s="1"/>
      <c r="J834" s="138"/>
      <c r="K834" s="1"/>
      <c r="L834" s="1"/>
      <c r="M834" s="1">
        <v>0</v>
      </c>
    </row>
    <row r="835" spans="1:13" ht="12">
      <c r="A835" s="114">
        <v>5</v>
      </c>
      <c r="C835" s="31" t="s">
        <v>471</v>
      </c>
      <c r="E835" s="114">
        <v>5</v>
      </c>
      <c r="F835" s="32"/>
      <c r="G835" s="32"/>
      <c r="H835" s="314">
        <v>102521</v>
      </c>
      <c r="I835" s="1"/>
      <c r="J835" s="1">
        <v>105771</v>
      </c>
      <c r="K835" s="1"/>
      <c r="L835" s="1"/>
      <c r="M835" s="1">
        <v>109791</v>
      </c>
    </row>
    <row r="836" spans="1:13" ht="12">
      <c r="A836" s="114">
        <v>6</v>
      </c>
      <c r="C836" s="32" t="s">
        <v>604</v>
      </c>
      <c r="E836" s="114">
        <v>6</v>
      </c>
      <c r="F836" s="32"/>
      <c r="G836" s="32"/>
      <c r="H836" s="1">
        <v>0</v>
      </c>
      <c r="I836" s="1"/>
      <c r="J836" s="1">
        <v>0</v>
      </c>
      <c r="K836" s="1"/>
      <c r="L836" s="1"/>
      <c r="M836" s="1">
        <v>1355000</v>
      </c>
    </row>
    <row r="837" spans="1:13" ht="12">
      <c r="A837" s="114">
        <v>7</v>
      </c>
      <c r="C837" s="32"/>
      <c r="E837" s="114">
        <v>7</v>
      </c>
      <c r="F837" s="32"/>
      <c r="G837" s="32"/>
      <c r="H837" s="1">
        <v>0</v>
      </c>
      <c r="I837" s="1"/>
      <c r="J837" s="1">
        <v>0</v>
      </c>
      <c r="K837" s="1"/>
      <c r="L837" s="1"/>
      <c r="M837" s="1">
        <v>0</v>
      </c>
    </row>
    <row r="838" spans="1:13" ht="12">
      <c r="A838" s="114">
        <v>8</v>
      </c>
      <c r="E838" s="114">
        <v>8</v>
      </c>
      <c r="F838" s="32"/>
      <c r="G838" s="32"/>
      <c r="H838" s="1">
        <v>0</v>
      </c>
      <c r="I838" s="1"/>
      <c r="J838" s="1">
        <v>0</v>
      </c>
      <c r="K838" s="1"/>
      <c r="L838" s="1"/>
      <c r="M838" s="1">
        <v>0</v>
      </c>
    </row>
    <row r="839" spans="1:13" ht="12">
      <c r="A839" s="114">
        <v>9</v>
      </c>
      <c r="E839" s="114">
        <v>9</v>
      </c>
      <c r="F839" s="32"/>
      <c r="G839" s="32"/>
      <c r="H839" s="1">
        <v>0</v>
      </c>
      <c r="I839" s="1"/>
      <c r="J839" s="1">
        <v>0</v>
      </c>
      <c r="K839" s="1"/>
      <c r="L839" s="1"/>
      <c r="M839" s="1">
        <v>0</v>
      </c>
    </row>
    <row r="840" spans="1:13" ht="12">
      <c r="A840" s="117"/>
      <c r="E840" s="117"/>
      <c r="F840" s="109" t="s">
        <v>1</v>
      </c>
      <c r="G840" s="109"/>
      <c r="H840" s="137"/>
      <c r="I840" s="137" t="s">
        <v>1</v>
      </c>
      <c r="J840" s="137"/>
      <c r="K840" s="137"/>
      <c r="L840" s="137"/>
      <c r="M840" s="137"/>
    </row>
    <row r="841" spans="1:13" ht="12">
      <c r="A841" s="114">
        <v>10</v>
      </c>
      <c r="C841" s="26" t="s">
        <v>86</v>
      </c>
      <c r="E841" s="114">
        <v>10</v>
      </c>
      <c r="H841" s="121">
        <f>SUM(H831:H839)</f>
        <v>704830</v>
      </c>
      <c r="I841" s="122"/>
      <c r="J841" s="1">
        <f>SUM(J831:J839)</f>
        <v>689635</v>
      </c>
      <c r="K841" s="121"/>
      <c r="L841" s="122"/>
      <c r="M841" s="1">
        <f>SUM(M831:M839)</f>
        <v>2090516</v>
      </c>
    </row>
    <row r="842" spans="1:13" ht="12">
      <c r="A842" s="114"/>
      <c r="E842" s="114"/>
      <c r="F842" s="109" t="s">
        <v>1</v>
      </c>
      <c r="G842" s="109"/>
      <c r="H842" s="137"/>
      <c r="I842" s="137" t="s">
        <v>1</v>
      </c>
      <c r="J842" s="137"/>
      <c r="K842" s="137"/>
      <c r="L842" s="137"/>
      <c r="M842" s="137"/>
    </row>
    <row r="843" spans="1:13" ht="12">
      <c r="A843" s="114">
        <v>11</v>
      </c>
      <c r="C843" s="32"/>
      <c r="E843" s="114">
        <v>11</v>
      </c>
      <c r="F843" s="32"/>
      <c r="G843" s="32"/>
      <c r="H843" s="1"/>
      <c r="I843" s="1"/>
      <c r="J843" s="1"/>
      <c r="K843" s="1"/>
      <c r="L843" s="1"/>
      <c r="M843" s="1"/>
    </row>
    <row r="844" spans="1:13" ht="12">
      <c r="A844" s="114">
        <v>12</v>
      </c>
      <c r="C844" s="31" t="s">
        <v>157</v>
      </c>
      <c r="E844" s="114">
        <v>12</v>
      </c>
      <c r="F844" s="32"/>
      <c r="G844" s="32"/>
      <c r="H844" s="1"/>
      <c r="I844" s="1"/>
      <c r="J844" s="1"/>
      <c r="K844" s="1"/>
      <c r="L844" s="1"/>
      <c r="M844" s="1">
        <v>0</v>
      </c>
    </row>
    <row r="845" spans="1:13" ht="12">
      <c r="A845" s="114">
        <v>13</v>
      </c>
      <c r="C845" s="32" t="s">
        <v>472</v>
      </c>
      <c r="E845" s="114">
        <v>13</v>
      </c>
      <c r="F845" s="32"/>
      <c r="G845" s="32"/>
      <c r="H845" s="315">
        <v>-2128175</v>
      </c>
      <c r="I845" s="1"/>
      <c r="J845" s="1">
        <f>6825624-64727</f>
        <v>6760897</v>
      </c>
      <c r="K845" s="1"/>
      <c r="L845" s="1"/>
      <c r="M845" s="1">
        <v>-1226180</v>
      </c>
    </row>
    <row r="846" spans="1:13" ht="12">
      <c r="A846" s="114">
        <v>14</v>
      </c>
      <c r="C846" s="26" t="s">
        <v>473</v>
      </c>
      <c r="E846" s="114">
        <v>14</v>
      </c>
      <c r="F846" s="32"/>
      <c r="G846" s="32"/>
      <c r="H846" s="315">
        <v>1623426</v>
      </c>
      <c r="I846" s="1"/>
      <c r="J846" s="1">
        <v>2727719</v>
      </c>
      <c r="K846" s="1"/>
      <c r="L846" s="1"/>
      <c r="M846" s="1">
        <v>1133712</v>
      </c>
    </row>
    <row r="847" spans="1:13" ht="12">
      <c r="A847" s="114">
        <v>15</v>
      </c>
      <c r="C847" s="26" t="s">
        <v>469</v>
      </c>
      <c r="E847" s="114">
        <v>15</v>
      </c>
      <c r="F847" s="32"/>
      <c r="G847" s="32"/>
      <c r="H847" s="315">
        <v>95871</v>
      </c>
      <c r="I847" s="1"/>
      <c r="J847" s="1">
        <v>64727</v>
      </c>
      <c r="K847" s="1"/>
      <c r="L847" s="1"/>
      <c r="M847" s="1">
        <v>0</v>
      </c>
    </row>
    <row r="848" spans="1:13" ht="12">
      <c r="A848" s="114">
        <v>16</v>
      </c>
      <c r="E848" s="114">
        <v>16</v>
      </c>
      <c r="F848" s="32"/>
      <c r="G848" s="32"/>
      <c r="H848" s="1"/>
      <c r="I848" s="1"/>
      <c r="J848" s="1">
        <v>0</v>
      </c>
      <c r="K848" s="1"/>
      <c r="L848" s="1"/>
      <c r="M848" s="1">
        <v>0</v>
      </c>
    </row>
    <row r="849" spans="1:13" ht="12">
      <c r="A849" s="114">
        <v>17</v>
      </c>
      <c r="C849" s="115"/>
      <c r="D849" s="116"/>
      <c r="E849" s="114">
        <v>17</v>
      </c>
      <c r="F849" s="32"/>
      <c r="G849" s="32"/>
      <c r="H849" s="1"/>
      <c r="I849" s="1"/>
      <c r="J849" s="1">
        <v>0</v>
      </c>
      <c r="K849" s="1"/>
      <c r="L849" s="1"/>
      <c r="M849" s="1">
        <v>0</v>
      </c>
    </row>
    <row r="850" spans="1:13" ht="12">
      <c r="A850" s="114">
        <v>18</v>
      </c>
      <c r="C850" s="116"/>
      <c r="D850" s="116"/>
      <c r="E850" s="114">
        <v>18</v>
      </c>
      <c r="F850" s="32"/>
      <c r="G850" s="32"/>
      <c r="H850" s="1">
        <v>0</v>
      </c>
      <c r="I850" s="1"/>
      <c r="J850" s="1">
        <v>0</v>
      </c>
      <c r="K850" s="1"/>
      <c r="L850" s="1"/>
      <c r="M850" s="1">
        <v>0</v>
      </c>
    </row>
    <row r="851" spans="1:13" ht="12">
      <c r="A851" s="114"/>
      <c r="C851" s="149"/>
      <c r="D851" s="116"/>
      <c r="E851" s="114"/>
      <c r="F851" s="109" t="s">
        <v>1</v>
      </c>
      <c r="G851" s="109"/>
      <c r="H851" s="109"/>
      <c r="I851" s="41" t="s">
        <v>1</v>
      </c>
      <c r="J851" s="42"/>
      <c r="K851" s="109"/>
      <c r="L851" s="41"/>
      <c r="M851" s="42"/>
    </row>
    <row r="852" spans="1:13" ht="12">
      <c r="A852" s="114">
        <v>19</v>
      </c>
      <c r="C852" s="26" t="s">
        <v>158</v>
      </c>
      <c r="D852" s="116"/>
      <c r="E852" s="114">
        <v>19</v>
      </c>
      <c r="H852" s="121">
        <f>SUM(H843:H850)</f>
        <v>-408878</v>
      </c>
      <c r="I852" s="121"/>
      <c r="J852" s="121">
        <f>SUM(J843:J850)</f>
        <v>9553343</v>
      </c>
      <c r="K852" s="1"/>
      <c r="L852" s="1"/>
      <c r="M852" s="121">
        <f>SUM(M843:M850)</f>
        <v>-92468</v>
      </c>
    </row>
    <row r="853" spans="1:13" ht="12">
      <c r="A853" s="114"/>
      <c r="C853" s="149"/>
      <c r="D853" s="116"/>
      <c r="E853" s="114"/>
      <c r="F853" s="109" t="s">
        <v>1</v>
      </c>
      <c r="G853" s="109"/>
      <c r="H853" s="109"/>
      <c r="I853" s="41" t="s">
        <v>1</v>
      </c>
      <c r="J853" s="42"/>
      <c r="K853" s="109"/>
      <c r="L853" s="41"/>
      <c r="M853" s="42"/>
    </row>
    <row r="854" spans="1:10" ht="12">
      <c r="A854" s="114"/>
      <c r="C854" s="116"/>
      <c r="D854" s="116"/>
      <c r="E854" s="114"/>
      <c r="J854" s="34"/>
    </row>
    <row r="855" spans="1:13" ht="12">
      <c r="A855" s="114">
        <v>20</v>
      </c>
      <c r="C855" s="31" t="s">
        <v>231</v>
      </c>
      <c r="E855" s="114">
        <v>20</v>
      </c>
      <c r="H855" s="121">
        <f>SUM(H841,H852)</f>
        <v>295952</v>
      </c>
      <c r="I855" s="122"/>
      <c r="J855" s="121">
        <f>SUM(J841,J852)</f>
        <v>10242978</v>
      </c>
      <c r="K855" s="121"/>
      <c r="L855" s="122"/>
      <c r="M855" s="121">
        <f>SUM(M841,M852)</f>
        <v>1998048</v>
      </c>
    </row>
    <row r="856" spans="3:13" ht="12">
      <c r="C856" s="52" t="s">
        <v>87</v>
      </c>
      <c r="E856" s="69"/>
      <c r="F856" s="109" t="s">
        <v>1</v>
      </c>
      <c r="G856" s="109"/>
      <c r="H856" s="109"/>
      <c r="I856" s="41" t="s">
        <v>1</v>
      </c>
      <c r="J856" s="42"/>
      <c r="K856" s="109"/>
      <c r="L856" s="41"/>
      <c r="M856" s="42"/>
    </row>
    <row r="857" ht="12">
      <c r="C857" s="31" t="s">
        <v>0</v>
      </c>
    </row>
    <row r="858" ht="12">
      <c r="D858" s="44"/>
    </row>
    <row r="859" spans="1:13" ht="12">
      <c r="A859" s="38" t="str">
        <f>$A$36</f>
        <v>Institution No.:  GFC</v>
      </c>
      <c r="B859" s="65"/>
      <c r="C859" s="65"/>
      <c r="D859" s="147"/>
      <c r="E859" s="65"/>
      <c r="F859" s="70"/>
      <c r="G859" s="70"/>
      <c r="H859" s="70"/>
      <c r="I859" s="71"/>
      <c r="J859" s="72"/>
      <c r="K859" s="65"/>
      <c r="L859" s="150"/>
      <c r="M859" s="112" t="s">
        <v>98</v>
      </c>
    </row>
    <row r="860" spans="1:13" s="65" customFormat="1" ht="12">
      <c r="A860" s="399" t="s">
        <v>156</v>
      </c>
      <c r="B860" s="399"/>
      <c r="C860" s="399"/>
      <c r="D860" s="399"/>
      <c r="E860" s="399"/>
      <c r="F860" s="399"/>
      <c r="G860" s="399"/>
      <c r="H860" s="399"/>
      <c r="I860" s="399"/>
      <c r="J860" s="399"/>
      <c r="K860" s="399"/>
      <c r="L860" s="399"/>
      <c r="M860" s="399"/>
    </row>
    <row r="861" spans="1:13" s="65" customFormat="1" ht="12.75" customHeight="1">
      <c r="A861" s="38" t="s">
        <v>551</v>
      </c>
      <c r="B861" s="26"/>
      <c r="C861" s="26" t="s">
        <v>455</v>
      </c>
      <c r="D861" s="418"/>
      <c r="E861" s="418"/>
      <c r="F861" s="418"/>
      <c r="G861" s="151"/>
      <c r="H861" s="151"/>
      <c r="I861" s="27"/>
      <c r="J861" s="28"/>
      <c r="K861" s="26"/>
      <c r="L861" s="27"/>
      <c r="M861" s="39" t="str">
        <f>$M$3</f>
        <v>Date: 10/1/2009</v>
      </c>
    </row>
    <row r="862" spans="1:13" ht="12">
      <c r="A862" s="40" t="s">
        <v>1</v>
      </c>
      <c r="B862" s="40" t="s">
        <v>1</v>
      </c>
      <c r="C862" s="40" t="s">
        <v>1</v>
      </c>
      <c r="D862" s="40" t="s">
        <v>1</v>
      </c>
      <c r="E862" s="40" t="s">
        <v>1</v>
      </c>
      <c r="F862" s="40" t="s">
        <v>1</v>
      </c>
      <c r="G862" s="40"/>
      <c r="H862" s="40"/>
      <c r="I862" s="41" t="s">
        <v>1</v>
      </c>
      <c r="J862" s="42" t="s">
        <v>1</v>
      </c>
      <c r="K862" s="40" t="s">
        <v>1</v>
      </c>
      <c r="L862" s="41" t="s">
        <v>1</v>
      </c>
      <c r="M862" s="42" t="s">
        <v>1</v>
      </c>
    </row>
    <row r="863" spans="1:13" ht="12">
      <c r="A863" s="43" t="s">
        <v>2</v>
      </c>
      <c r="D863" s="44"/>
      <c r="E863" s="43" t="s">
        <v>2</v>
      </c>
      <c r="F863" s="44"/>
      <c r="G863" s="405" t="s">
        <v>595</v>
      </c>
      <c r="H863" s="405"/>
      <c r="I863" s="405" t="s">
        <v>596</v>
      </c>
      <c r="J863" s="405"/>
      <c r="K863" s="44"/>
      <c r="L863" s="405" t="s">
        <v>597</v>
      </c>
      <c r="M863" s="405"/>
    </row>
    <row r="864" spans="1:13" ht="12">
      <c r="A864" s="43" t="s">
        <v>4</v>
      </c>
      <c r="C864" s="31" t="s">
        <v>99</v>
      </c>
      <c r="D864" s="44" t="s">
        <v>100</v>
      </c>
      <c r="E864" s="43" t="s">
        <v>4</v>
      </c>
      <c r="F864" s="44"/>
      <c r="G864" s="45" t="s">
        <v>91</v>
      </c>
      <c r="H864" s="46" t="s">
        <v>92</v>
      </c>
      <c r="I864" s="45" t="s">
        <v>91</v>
      </c>
      <c r="J864" s="46" t="s">
        <v>92</v>
      </c>
      <c r="K864" s="44"/>
      <c r="L864" s="45" t="s">
        <v>91</v>
      </c>
      <c r="M864" s="46" t="s">
        <v>92</v>
      </c>
    </row>
    <row r="865" spans="3:13" ht="12">
      <c r="C865" s="26" t="s">
        <v>101</v>
      </c>
      <c r="D865" s="44" t="s">
        <v>102</v>
      </c>
      <c r="E865" s="44"/>
      <c r="F865" s="44"/>
      <c r="G865" s="45" t="s">
        <v>93</v>
      </c>
      <c r="H865" s="46"/>
      <c r="I865" s="45" t="s">
        <v>93</v>
      </c>
      <c r="J865" s="46"/>
      <c r="K865" s="44"/>
      <c r="L865" s="45" t="s">
        <v>93</v>
      </c>
      <c r="M865" s="46"/>
    </row>
    <row r="866" spans="1:13" ht="12">
      <c r="A866" s="40" t="s">
        <v>1</v>
      </c>
      <c r="B866" s="40" t="s">
        <v>1</v>
      </c>
      <c r="C866" s="40" t="s">
        <v>1</v>
      </c>
      <c r="D866" s="40" t="s">
        <v>1</v>
      </c>
      <c r="E866" s="40" t="s">
        <v>1</v>
      </c>
      <c r="F866" s="133" t="s">
        <v>195</v>
      </c>
      <c r="I866" s="41" t="s">
        <v>1</v>
      </c>
      <c r="J866" s="42" t="s">
        <v>1</v>
      </c>
      <c r="K866" s="40" t="s">
        <v>1</v>
      </c>
      <c r="L866" s="41" t="s">
        <v>1</v>
      </c>
      <c r="M866" s="42" t="s">
        <v>1</v>
      </c>
    </row>
    <row r="867" spans="1:13" ht="12">
      <c r="A867" s="40"/>
      <c r="B867" s="40"/>
      <c r="D867" s="47"/>
      <c r="E867" s="40"/>
      <c r="I867" s="41"/>
      <c r="J867" s="42"/>
      <c r="K867" s="109"/>
      <c r="L867" s="41"/>
      <c r="M867" s="42"/>
    </row>
    <row r="868" spans="1:13" ht="12">
      <c r="A868" s="30">
        <v>1</v>
      </c>
      <c r="C868" s="152" t="s">
        <v>95</v>
      </c>
      <c r="D868" s="153"/>
      <c r="E868" s="30">
        <v>1</v>
      </c>
      <c r="F868" s="154"/>
      <c r="G868" s="123"/>
      <c r="H868" s="123"/>
      <c r="I868" s="123"/>
      <c r="J868" s="123"/>
      <c r="K868" s="123"/>
      <c r="L868" s="123"/>
      <c r="M868" s="123"/>
    </row>
    <row r="869" spans="1:13" ht="12">
      <c r="A869" s="30">
        <f aca="true" t="shared" si="11" ref="A869:A891">(A868+1)</f>
        <v>2</v>
      </c>
      <c r="C869" s="26" t="s">
        <v>474</v>
      </c>
      <c r="D869" s="153"/>
      <c r="E869" s="30">
        <f aca="true" t="shared" si="12" ref="E869:E891">(E868+1)</f>
        <v>2</v>
      </c>
      <c r="F869" s="154"/>
      <c r="G869" s="123">
        <v>224222</v>
      </c>
      <c r="H869" s="123">
        <v>224221</v>
      </c>
      <c r="I869" s="123">
        <v>1145</v>
      </c>
      <c r="J869" s="123">
        <v>1145</v>
      </c>
      <c r="K869" s="123"/>
      <c r="L869" s="123"/>
      <c r="M869" s="123">
        <v>0</v>
      </c>
    </row>
    <row r="870" spans="1:13" ht="12">
      <c r="A870" s="30">
        <f t="shared" si="11"/>
        <v>3</v>
      </c>
      <c r="C870" s="26" t="s">
        <v>475</v>
      </c>
      <c r="D870" s="153"/>
      <c r="E870" s="30">
        <f t="shared" si="12"/>
        <v>3</v>
      </c>
      <c r="F870" s="154"/>
      <c r="G870" s="123">
        <v>11000000</v>
      </c>
      <c r="H870" s="123"/>
      <c r="I870" s="123">
        <v>7003881</v>
      </c>
      <c r="J870" s="123"/>
      <c r="K870" s="123"/>
      <c r="L870" s="123"/>
      <c r="M870" s="123"/>
    </row>
    <row r="871" spans="1:13" ht="12">
      <c r="A871" s="30">
        <f t="shared" si="11"/>
        <v>4</v>
      </c>
      <c r="C871" s="26" t="s">
        <v>476</v>
      </c>
      <c r="E871" s="30">
        <f t="shared" si="12"/>
        <v>4</v>
      </c>
      <c r="F871" s="154"/>
      <c r="G871" s="123">
        <v>1766059</v>
      </c>
      <c r="H871" s="123">
        <v>38584940</v>
      </c>
      <c r="I871" s="123">
        <v>1234142</v>
      </c>
      <c r="J871" s="123">
        <v>27075054</v>
      </c>
      <c r="K871" s="123"/>
      <c r="L871" s="123"/>
      <c r="M871" s="123"/>
    </row>
    <row r="872" spans="1:13" ht="12">
      <c r="A872" s="30">
        <f t="shared" si="11"/>
        <v>5</v>
      </c>
      <c r="D872" s="155"/>
      <c r="E872" s="30">
        <f t="shared" si="12"/>
        <v>5</v>
      </c>
      <c r="F872" s="154"/>
      <c r="G872" s="123"/>
      <c r="H872" s="123"/>
      <c r="I872" s="123"/>
      <c r="J872" s="123"/>
      <c r="K872" s="123"/>
      <c r="L872" s="123"/>
      <c r="M872" s="123"/>
    </row>
    <row r="873" spans="1:13" ht="12">
      <c r="A873" s="30">
        <f t="shared" si="11"/>
        <v>6</v>
      </c>
      <c r="D873" s="155"/>
      <c r="E873" s="30">
        <f t="shared" si="12"/>
        <v>6</v>
      </c>
      <c r="F873" s="154"/>
      <c r="G873" s="123"/>
      <c r="H873" s="123"/>
      <c r="I873" s="123"/>
      <c r="J873" s="123"/>
      <c r="K873" s="123"/>
      <c r="L873" s="123"/>
      <c r="M873" s="123"/>
    </row>
    <row r="874" spans="1:13" ht="12">
      <c r="A874" s="30">
        <f t="shared" si="11"/>
        <v>7</v>
      </c>
      <c r="D874" s="153"/>
      <c r="E874" s="30">
        <f t="shared" si="12"/>
        <v>7</v>
      </c>
      <c r="F874" s="154"/>
      <c r="G874" s="123"/>
      <c r="H874" s="123"/>
      <c r="I874" s="123"/>
      <c r="J874" s="123"/>
      <c r="K874" s="123"/>
      <c r="L874" s="123"/>
      <c r="M874" s="123"/>
    </row>
    <row r="875" spans="1:13" ht="12">
      <c r="A875" s="30">
        <f t="shared" si="11"/>
        <v>8</v>
      </c>
      <c r="D875" s="156"/>
      <c r="E875" s="30">
        <f t="shared" si="12"/>
        <v>8</v>
      </c>
      <c r="F875" s="154"/>
      <c r="G875" s="123"/>
      <c r="H875" s="123"/>
      <c r="I875" s="123"/>
      <c r="J875" s="123"/>
      <c r="K875" s="123"/>
      <c r="L875" s="123"/>
      <c r="M875" s="123"/>
    </row>
    <row r="876" spans="1:13" ht="12">
      <c r="A876" s="30">
        <f t="shared" si="11"/>
        <v>9</v>
      </c>
      <c r="D876" s="155"/>
      <c r="E876" s="30">
        <f t="shared" si="12"/>
        <v>9</v>
      </c>
      <c r="F876" s="154"/>
      <c r="G876" s="123"/>
      <c r="H876" s="123"/>
      <c r="I876" s="123"/>
      <c r="J876" s="123"/>
      <c r="K876" s="123"/>
      <c r="L876" s="123"/>
      <c r="M876" s="123"/>
    </row>
    <row r="877" spans="1:13" ht="12">
      <c r="A877" s="30">
        <f t="shared" si="11"/>
        <v>10</v>
      </c>
      <c r="D877" s="155"/>
      <c r="E877" s="30">
        <f t="shared" si="12"/>
        <v>10</v>
      </c>
      <c r="F877" s="154"/>
      <c r="G877" s="123"/>
      <c r="H877" s="123"/>
      <c r="I877" s="123"/>
      <c r="J877" s="123"/>
      <c r="K877" s="123"/>
      <c r="L877" s="123"/>
      <c r="M877" s="123"/>
    </row>
    <row r="878" spans="1:13" ht="12">
      <c r="A878" s="30">
        <f t="shared" si="11"/>
        <v>11</v>
      </c>
      <c r="D878" s="153"/>
      <c r="E878" s="30">
        <f t="shared" si="12"/>
        <v>11</v>
      </c>
      <c r="F878" s="154"/>
      <c r="G878" s="123"/>
      <c r="H878" s="123"/>
      <c r="I878" s="123"/>
      <c r="J878" s="123"/>
      <c r="K878" s="123"/>
      <c r="L878" s="123"/>
      <c r="M878" s="123"/>
    </row>
    <row r="879" spans="1:13" ht="12">
      <c r="A879" s="30">
        <f t="shared" si="11"/>
        <v>12</v>
      </c>
      <c r="C879" s="31"/>
      <c r="D879" s="156"/>
      <c r="E879" s="30">
        <f t="shared" si="12"/>
        <v>12</v>
      </c>
      <c r="F879" s="154"/>
      <c r="G879" s="123"/>
      <c r="H879" s="123"/>
      <c r="I879" s="123"/>
      <c r="J879" s="123"/>
      <c r="K879" s="123"/>
      <c r="L879" s="123"/>
      <c r="M879" s="123"/>
    </row>
    <row r="880" spans="1:13" ht="12">
      <c r="A880" s="30">
        <f t="shared" si="11"/>
        <v>13</v>
      </c>
      <c r="D880" s="156"/>
      <c r="E880" s="30">
        <f t="shared" si="12"/>
        <v>13</v>
      </c>
      <c r="F880" s="154"/>
      <c r="G880" s="123"/>
      <c r="H880" s="123"/>
      <c r="I880" s="123"/>
      <c r="J880" s="123"/>
      <c r="K880" s="123"/>
      <c r="L880" s="123"/>
      <c r="M880" s="123"/>
    </row>
    <row r="881" spans="1:13" ht="12">
      <c r="A881" s="30">
        <f t="shared" si="11"/>
        <v>14</v>
      </c>
      <c r="D881" s="153"/>
      <c r="E881" s="30">
        <f t="shared" si="12"/>
        <v>14</v>
      </c>
      <c r="F881" s="154"/>
      <c r="G881" s="123"/>
      <c r="H881" s="123"/>
      <c r="I881" s="119"/>
      <c r="J881" s="119"/>
      <c r="K881" s="123"/>
      <c r="L881" s="123"/>
      <c r="M881" s="123"/>
    </row>
    <row r="882" spans="1:13" ht="12">
      <c r="A882" s="30">
        <f t="shared" si="11"/>
        <v>15</v>
      </c>
      <c r="D882" s="156"/>
      <c r="E882" s="30">
        <f t="shared" si="12"/>
        <v>15</v>
      </c>
      <c r="F882" s="154"/>
      <c r="G882" s="123"/>
      <c r="H882" s="123"/>
      <c r="I882" s="119"/>
      <c r="J882" s="119"/>
      <c r="K882" s="123"/>
      <c r="L882" s="123"/>
      <c r="M882" s="123"/>
    </row>
    <row r="883" spans="1:13" ht="12">
      <c r="A883" s="30">
        <f t="shared" si="11"/>
        <v>16</v>
      </c>
      <c r="C883" s="32"/>
      <c r="D883" s="155"/>
      <c r="E883" s="30">
        <f t="shared" si="12"/>
        <v>16</v>
      </c>
      <c r="F883" s="154"/>
      <c r="G883" s="123"/>
      <c r="H883" s="123"/>
      <c r="I883" s="119"/>
      <c r="J883" s="119"/>
      <c r="K883" s="119"/>
      <c r="L883" s="119"/>
      <c r="M883" s="119"/>
    </row>
    <row r="884" spans="1:13" ht="12">
      <c r="A884" s="30">
        <f t="shared" si="11"/>
        <v>17</v>
      </c>
      <c r="C884" s="32" t="s">
        <v>96</v>
      </c>
      <c r="D884" s="155"/>
      <c r="E884" s="30">
        <f t="shared" si="12"/>
        <v>17</v>
      </c>
      <c r="F884" s="154"/>
      <c r="G884" s="123"/>
      <c r="H884" s="123"/>
      <c r="I884" s="119"/>
      <c r="J884" s="119"/>
      <c r="K884" s="119"/>
      <c r="L884" s="119"/>
      <c r="M884" s="119"/>
    </row>
    <row r="885" spans="1:13" ht="12">
      <c r="A885" s="30">
        <f t="shared" si="11"/>
        <v>18</v>
      </c>
      <c r="C885" s="26" t="s">
        <v>477</v>
      </c>
      <c r="D885" s="155"/>
      <c r="E885" s="30">
        <f t="shared" si="12"/>
        <v>18</v>
      </c>
      <c r="F885" s="154"/>
      <c r="G885" s="123">
        <v>7735</v>
      </c>
      <c r="H885" s="123"/>
      <c r="I885" s="119"/>
      <c r="J885" s="119"/>
      <c r="K885" s="119"/>
      <c r="L885" s="119"/>
      <c r="M885" s="119"/>
    </row>
    <row r="886" spans="1:13" ht="12">
      <c r="A886" s="30">
        <f t="shared" si="11"/>
        <v>19</v>
      </c>
      <c r="C886" s="26" t="s">
        <v>478</v>
      </c>
      <c r="D886" s="155"/>
      <c r="E886" s="30">
        <f t="shared" si="12"/>
        <v>19</v>
      </c>
      <c r="F886" s="154"/>
      <c r="G886" s="123">
        <v>327336</v>
      </c>
      <c r="H886" s="123"/>
      <c r="I886" s="123">
        <v>304258</v>
      </c>
      <c r="J886" s="123"/>
      <c r="K886" s="123"/>
      <c r="L886" s="123"/>
      <c r="M886" s="123"/>
    </row>
    <row r="887" spans="1:13" ht="12">
      <c r="A887" s="30">
        <f t="shared" si="11"/>
        <v>20</v>
      </c>
      <c r="C887" s="26" t="s">
        <v>479</v>
      </c>
      <c r="D887" s="155"/>
      <c r="E887" s="30">
        <f t="shared" si="12"/>
        <v>20</v>
      </c>
      <c r="F887" s="154"/>
      <c r="G887" s="123">
        <v>270128</v>
      </c>
      <c r="H887" s="123"/>
      <c r="I887" s="119"/>
      <c r="J887" s="119"/>
      <c r="K887" s="119"/>
      <c r="L887" s="123"/>
      <c r="M887" s="123"/>
    </row>
    <row r="888" spans="1:13" ht="12">
      <c r="A888" s="30">
        <f t="shared" si="11"/>
        <v>21</v>
      </c>
      <c r="C888" s="26" t="s">
        <v>480</v>
      </c>
      <c r="D888" s="155"/>
      <c r="E888" s="30">
        <f t="shared" si="12"/>
        <v>21</v>
      </c>
      <c r="G888" s="123">
        <v>273392</v>
      </c>
      <c r="H888" s="123"/>
      <c r="I888" s="123">
        <v>249140</v>
      </c>
      <c r="J888" s="123"/>
      <c r="K888" s="123"/>
      <c r="L888" s="123"/>
      <c r="M888" s="123"/>
    </row>
    <row r="889" spans="1:13" ht="12">
      <c r="A889" s="30">
        <f t="shared" si="11"/>
        <v>22</v>
      </c>
      <c r="C889" s="32" t="s">
        <v>481</v>
      </c>
      <c r="D889" s="155"/>
      <c r="E889" s="30">
        <f t="shared" si="12"/>
        <v>22</v>
      </c>
      <c r="G889" s="123">
        <v>382161</v>
      </c>
      <c r="H889" s="123"/>
      <c r="I889" s="123">
        <v>337275</v>
      </c>
      <c r="J889" s="123"/>
      <c r="K889" s="123"/>
      <c r="L889" s="123"/>
      <c r="M889" s="123"/>
    </row>
    <row r="890" spans="1:13" ht="12">
      <c r="A890" s="30">
        <f t="shared" si="11"/>
        <v>23</v>
      </c>
      <c r="C890" s="26" t="s">
        <v>482</v>
      </c>
      <c r="D890" s="155"/>
      <c r="E890" s="30">
        <f t="shared" si="12"/>
        <v>23</v>
      </c>
      <c r="F890" s="154"/>
      <c r="G890" s="123">
        <v>467995</v>
      </c>
      <c r="H890" s="123"/>
      <c r="I890" s="123">
        <v>458525</v>
      </c>
      <c r="J890" s="123"/>
      <c r="K890" s="123"/>
      <c r="L890" s="123"/>
      <c r="M890" s="123"/>
    </row>
    <row r="891" spans="1:13" ht="12">
      <c r="A891" s="30">
        <f t="shared" si="11"/>
        <v>24</v>
      </c>
      <c r="C891" s="313" t="s">
        <v>603</v>
      </c>
      <c r="D891" s="155"/>
      <c r="E891" s="30">
        <f t="shared" si="12"/>
        <v>24</v>
      </c>
      <c r="F891" s="154"/>
      <c r="G891" s="123"/>
      <c r="H891" s="123"/>
      <c r="I891" s="123">
        <v>50438</v>
      </c>
      <c r="J891" s="123"/>
      <c r="K891" s="119"/>
      <c r="L891" s="119"/>
      <c r="M891" s="123"/>
    </row>
    <row r="892" spans="1:13" ht="12">
      <c r="A892" s="26">
        <v>25</v>
      </c>
      <c r="D892" s="155"/>
      <c r="E892" s="26">
        <v>25</v>
      </c>
      <c r="F892" s="154"/>
      <c r="G892" s="123"/>
      <c r="H892" s="123"/>
      <c r="I892" s="121"/>
      <c r="J892" s="121"/>
      <c r="K892" s="119"/>
      <c r="L892" s="123"/>
      <c r="M892" s="123"/>
    </row>
    <row r="893" spans="3:13" ht="12">
      <c r="C893" s="32"/>
      <c r="D893" s="155"/>
      <c r="I893" s="33"/>
      <c r="J893" s="34"/>
      <c r="K893" s="157"/>
      <c r="L893" s="33"/>
      <c r="M893" s="34"/>
    </row>
    <row r="894" spans="4:13" ht="12">
      <c r="D894" s="156"/>
      <c r="E894" s="158"/>
      <c r="F894" s="40" t="s">
        <v>1</v>
      </c>
      <c r="G894" s="40"/>
      <c r="H894" s="40"/>
      <c r="I894" s="41" t="s">
        <v>1</v>
      </c>
      <c r="J894" s="42" t="s">
        <v>1</v>
      </c>
      <c r="K894" s="159" t="s">
        <v>1</v>
      </c>
      <c r="L894" s="41" t="s">
        <v>1</v>
      </c>
      <c r="M894" s="42" t="s">
        <v>1</v>
      </c>
    </row>
    <row r="895" spans="1:13" ht="12" customHeight="1">
      <c r="A895" s="30">
        <v>26</v>
      </c>
      <c r="C895" s="31" t="s">
        <v>97</v>
      </c>
      <c r="D895" s="153"/>
      <c r="E895" s="30">
        <v>26</v>
      </c>
      <c r="G895" s="121">
        <f>SUM(G867:G893)</f>
        <v>14719028</v>
      </c>
      <c r="H895" s="121">
        <f>SUM(H867:H893)</f>
        <v>38809161</v>
      </c>
      <c r="I895" s="121">
        <f>SUM(I867:I893)</f>
        <v>9638804</v>
      </c>
      <c r="J895" s="121">
        <f>SUM(J867:J893)</f>
        <v>27076199</v>
      </c>
      <c r="K895" s="121"/>
      <c r="L895" s="121">
        <f>SUM(L867:L893)</f>
        <v>0</v>
      </c>
      <c r="M895" s="121">
        <f>SUM(M867:M893)</f>
        <v>0</v>
      </c>
    </row>
    <row r="896" spans="4:13" ht="12" customHeight="1">
      <c r="D896" s="156"/>
      <c r="E896" s="158"/>
      <c r="F896" s="40" t="s">
        <v>1</v>
      </c>
      <c r="G896" s="40"/>
      <c r="H896" s="40"/>
      <c r="I896" s="41" t="s">
        <v>1</v>
      </c>
      <c r="J896" s="42" t="s">
        <v>1</v>
      </c>
      <c r="K896" s="159" t="s">
        <v>1</v>
      </c>
      <c r="L896" s="41" t="s">
        <v>1</v>
      </c>
      <c r="M896" s="42" t="s">
        <v>1</v>
      </c>
    </row>
    <row r="897" spans="4:13" ht="12" customHeight="1">
      <c r="D897" s="156"/>
      <c r="E897" s="109"/>
      <c r="F897" s="69"/>
      <c r="G897" s="69"/>
      <c r="H897" s="69"/>
      <c r="I897" s="41"/>
      <c r="J897" s="42"/>
      <c r="K897" s="159"/>
      <c r="L897" s="41"/>
      <c r="M897" s="42"/>
    </row>
    <row r="898" spans="4:13" ht="12" customHeight="1">
      <c r="D898" s="156"/>
      <c r="E898" s="109"/>
      <c r="F898" s="69"/>
      <c r="G898" s="69"/>
      <c r="H898" s="69"/>
      <c r="I898" s="41"/>
      <c r="J898" s="42"/>
      <c r="K898" s="159"/>
      <c r="L898" s="41"/>
      <c r="M898" s="42"/>
    </row>
    <row r="899" spans="4:13" ht="12" customHeight="1">
      <c r="D899" s="156"/>
      <c r="E899" s="109"/>
      <c r="F899" s="69"/>
      <c r="G899" s="69"/>
      <c r="H899" s="69"/>
      <c r="I899" s="41"/>
      <c r="J899" s="42"/>
      <c r="K899" s="159"/>
      <c r="L899" s="41"/>
      <c r="M899" s="42"/>
    </row>
    <row r="900" spans="4:13" ht="12" customHeight="1">
      <c r="D900" s="156"/>
      <c r="E900" s="109"/>
      <c r="F900" s="69"/>
      <c r="G900" s="69"/>
      <c r="H900" s="69"/>
      <c r="I900" s="41"/>
      <c r="J900" s="42"/>
      <c r="K900" s="159"/>
      <c r="L900" s="41"/>
      <c r="M900" s="42"/>
    </row>
    <row r="901" spans="4:13" ht="12" customHeight="1">
      <c r="D901" s="156"/>
      <c r="E901" s="109"/>
      <c r="F901" s="69"/>
      <c r="G901" s="69"/>
      <c r="H901" s="69"/>
      <c r="I901" s="41"/>
      <c r="J901" s="42"/>
      <c r="K901" s="159"/>
      <c r="L901" s="41"/>
      <c r="M901" s="42"/>
    </row>
    <row r="902" spans="4:13" ht="12" customHeight="1">
      <c r="D902" s="156"/>
      <c r="E902" s="109"/>
      <c r="F902" s="69"/>
      <c r="G902" s="69"/>
      <c r="H902" s="69"/>
      <c r="I902" s="41"/>
      <c r="J902" s="42"/>
      <c r="K902" s="159"/>
      <c r="L902" s="41"/>
      <c r="M902" s="42"/>
    </row>
    <row r="903" spans="4:13" ht="12" customHeight="1">
      <c r="D903" s="156"/>
      <c r="E903" s="109"/>
      <c r="F903" s="69"/>
      <c r="G903" s="69"/>
      <c r="H903" s="69"/>
      <c r="I903" s="41"/>
      <c r="J903" s="42"/>
      <c r="K903" s="159"/>
      <c r="L903" s="41"/>
      <c r="M903" s="42"/>
    </row>
    <row r="904" spans="4:13" ht="12" customHeight="1">
      <c r="D904" s="156"/>
      <c r="E904" s="109"/>
      <c r="F904" s="69"/>
      <c r="G904" s="69"/>
      <c r="H904" s="69"/>
      <c r="I904" s="41"/>
      <c r="J904" s="42"/>
      <c r="K904" s="159"/>
      <c r="L904" s="41"/>
      <c r="M904" s="42"/>
    </row>
    <row r="905" spans="4:13" ht="12" customHeight="1">
      <c r="D905" s="156"/>
      <c r="E905" s="109"/>
      <c r="F905" s="69"/>
      <c r="G905" s="69"/>
      <c r="H905" s="69"/>
      <c r="I905" s="41"/>
      <c r="J905" s="42"/>
      <c r="K905" s="159"/>
      <c r="L905" s="41"/>
      <c r="M905" s="42"/>
    </row>
    <row r="906" spans="4:13" ht="12" customHeight="1">
      <c r="D906" s="156"/>
      <c r="E906" s="109"/>
      <c r="F906" s="69"/>
      <c r="G906" s="69"/>
      <c r="H906" s="69"/>
      <c r="I906" s="41"/>
      <c r="J906" s="42"/>
      <c r="K906" s="159"/>
      <c r="L906" s="41"/>
      <c r="M906" s="42"/>
    </row>
    <row r="907" spans="4:13" ht="12" customHeight="1">
      <c r="D907" s="156"/>
      <c r="E907" s="109"/>
      <c r="F907" s="69"/>
      <c r="G907" s="69"/>
      <c r="H907" s="69"/>
      <c r="I907" s="41"/>
      <c r="J907" s="42"/>
      <c r="K907" s="159"/>
      <c r="L907" s="41"/>
      <c r="M907" s="42"/>
    </row>
    <row r="908" spans="4:13" ht="12" customHeight="1">
      <c r="D908" s="156"/>
      <c r="E908" s="109"/>
      <c r="F908" s="69"/>
      <c r="G908" s="69"/>
      <c r="H908" s="69"/>
      <c r="I908" s="41"/>
      <c r="J908" s="42"/>
      <c r="K908" s="159"/>
      <c r="L908" s="41"/>
      <c r="M908" s="42"/>
    </row>
    <row r="909" spans="4:13" ht="12" customHeight="1">
      <c r="D909" s="156"/>
      <c r="E909" s="109"/>
      <c r="F909" s="69"/>
      <c r="G909" s="69"/>
      <c r="H909" s="69"/>
      <c r="I909" s="41"/>
      <c r="J909" s="42"/>
      <c r="K909" s="159"/>
      <c r="L909" s="41"/>
      <c r="M909" s="42"/>
    </row>
    <row r="910" spans="4:13" ht="12" customHeight="1">
      <c r="D910" s="156"/>
      <c r="E910" s="109"/>
      <c r="F910" s="69"/>
      <c r="G910" s="69"/>
      <c r="H910" s="69"/>
      <c r="I910" s="41"/>
      <c r="J910" s="42"/>
      <c r="K910" s="159"/>
      <c r="L910" s="41"/>
      <c r="M910" s="42"/>
    </row>
    <row r="911" spans="4:13" ht="12" customHeight="1">
      <c r="D911" s="156"/>
      <c r="E911" s="109"/>
      <c r="F911" s="69"/>
      <c r="G911" s="69"/>
      <c r="H911" s="69"/>
      <c r="I911" s="41"/>
      <c r="J911" s="42"/>
      <c r="K911" s="159"/>
      <c r="L911" s="41"/>
      <c r="M911" s="42"/>
    </row>
    <row r="912" spans="4:13" ht="12" customHeight="1">
      <c r="D912" s="156"/>
      <c r="E912" s="109"/>
      <c r="F912" s="69"/>
      <c r="G912" s="69"/>
      <c r="H912" s="69"/>
      <c r="I912" s="41"/>
      <c r="J912" s="42"/>
      <c r="K912" s="159"/>
      <c r="L912" s="41"/>
      <c r="M912" s="42"/>
    </row>
    <row r="913" spans="4:13" ht="12" customHeight="1">
      <c r="D913" s="156"/>
      <c r="E913" s="109"/>
      <c r="F913" s="69"/>
      <c r="G913" s="69"/>
      <c r="H913" s="69"/>
      <c r="I913" s="41"/>
      <c r="J913" s="42"/>
      <c r="K913" s="159"/>
      <c r="L913" s="41"/>
      <c r="M913" s="42"/>
    </row>
    <row r="914" spans="4:13" ht="12" customHeight="1">
      <c r="D914" s="156"/>
      <c r="E914" s="109"/>
      <c r="F914" s="69"/>
      <c r="G914" s="69"/>
      <c r="H914" s="69"/>
      <c r="I914" s="41"/>
      <c r="J914" s="42"/>
      <c r="K914" s="159"/>
      <c r="L914" s="41"/>
      <c r="M914" s="42"/>
    </row>
    <row r="915" spans="4:13" ht="12" customHeight="1">
      <c r="D915" s="156"/>
      <c r="E915" s="109"/>
      <c r="F915" s="69"/>
      <c r="G915" s="69"/>
      <c r="H915" s="69"/>
      <c r="I915" s="41"/>
      <c r="J915" s="42"/>
      <c r="K915" s="159"/>
      <c r="L915" s="41"/>
      <c r="M915" s="42"/>
    </row>
    <row r="916" spans="4:13" ht="12" customHeight="1">
      <c r="D916" s="156"/>
      <c r="E916" s="109"/>
      <c r="F916" s="69"/>
      <c r="G916" s="69"/>
      <c r="H916" s="69"/>
      <c r="I916" s="41"/>
      <c r="J916" s="42"/>
      <c r="K916" s="159"/>
      <c r="L916" s="41"/>
      <c r="M916" s="42"/>
    </row>
    <row r="917" spans="4:13" ht="12" customHeight="1">
      <c r="D917" s="156"/>
      <c r="E917" s="109"/>
      <c r="F917" s="69"/>
      <c r="G917" s="69"/>
      <c r="H917" s="69"/>
      <c r="I917" s="41"/>
      <c r="J917" s="42"/>
      <c r="K917" s="159"/>
      <c r="L917" s="41"/>
      <c r="M917" s="42"/>
    </row>
    <row r="918" spans="4:13" ht="12" customHeight="1">
      <c r="D918" s="156"/>
      <c r="E918" s="109"/>
      <c r="F918" s="69"/>
      <c r="G918" s="69"/>
      <c r="H918" s="69"/>
      <c r="I918" s="41"/>
      <c r="J918" s="42"/>
      <c r="K918" s="159"/>
      <c r="L918" s="41"/>
      <c r="M918" s="42"/>
    </row>
    <row r="919" spans="4:13" ht="12" customHeight="1">
      <c r="D919" s="156"/>
      <c r="E919" s="109"/>
      <c r="F919" s="69"/>
      <c r="G919" s="69"/>
      <c r="H919" s="69"/>
      <c r="I919" s="41"/>
      <c r="J919" s="42"/>
      <c r="K919" s="159"/>
      <c r="L919" s="41"/>
      <c r="M919" s="42"/>
    </row>
    <row r="920" spans="4:13" ht="12" customHeight="1">
      <c r="D920" s="156"/>
      <c r="E920" s="109"/>
      <c r="F920" s="69"/>
      <c r="G920" s="69"/>
      <c r="H920" s="69"/>
      <c r="I920" s="41"/>
      <c r="J920" s="42"/>
      <c r="K920" s="159"/>
      <c r="L920" s="41"/>
      <c r="M920" s="42"/>
    </row>
    <row r="921" spans="4:13" ht="12" customHeight="1">
      <c r="D921" s="156"/>
      <c r="E921" s="109"/>
      <c r="F921" s="69"/>
      <c r="G921" s="69"/>
      <c r="H921" s="69"/>
      <c r="I921" s="41"/>
      <c r="J921" s="42"/>
      <c r="K921" s="159"/>
      <c r="L921" s="41"/>
      <c r="M921" s="42"/>
    </row>
    <row r="922" spans="4:13" ht="12" customHeight="1">
      <c r="D922" s="156"/>
      <c r="E922" s="109"/>
      <c r="F922" s="69"/>
      <c r="G922" s="69"/>
      <c r="H922" s="69"/>
      <c r="I922" s="41"/>
      <c r="J922" s="42"/>
      <c r="K922" s="159"/>
      <c r="L922" s="41"/>
      <c r="M922" s="42"/>
    </row>
    <row r="923" spans="4:13" ht="12" customHeight="1">
      <c r="D923" s="156"/>
      <c r="E923" s="109"/>
      <c r="F923" s="69"/>
      <c r="G923" s="69"/>
      <c r="H923" s="69"/>
      <c r="I923" s="41"/>
      <c r="J923" s="42"/>
      <c r="K923" s="159"/>
      <c r="L923" s="41"/>
      <c r="M923" s="42"/>
    </row>
    <row r="924" spans="4:13" ht="12" customHeight="1">
      <c r="D924" s="156"/>
      <c r="E924" s="109"/>
      <c r="F924" s="69"/>
      <c r="G924" s="69"/>
      <c r="H924" s="69"/>
      <c r="I924" s="41"/>
      <c r="J924" s="42"/>
      <c r="K924" s="159"/>
      <c r="L924" s="41"/>
      <c r="M924" s="42"/>
    </row>
    <row r="925" spans="4:13" ht="12" customHeight="1">
      <c r="D925" s="156"/>
      <c r="E925" s="109"/>
      <c r="F925" s="69"/>
      <c r="G925" s="69"/>
      <c r="H925" s="69"/>
      <c r="I925" s="41"/>
      <c r="J925" s="42"/>
      <c r="K925" s="159"/>
      <c r="L925" s="41"/>
      <c r="M925" s="42"/>
    </row>
    <row r="926" spans="4:13" ht="12" customHeight="1">
      <c r="D926" s="156"/>
      <c r="E926" s="109"/>
      <c r="F926" s="69"/>
      <c r="G926" s="69"/>
      <c r="H926" s="69"/>
      <c r="I926" s="41"/>
      <c r="J926" s="42"/>
      <c r="K926" s="159"/>
      <c r="L926" s="41"/>
      <c r="M926" s="42"/>
    </row>
    <row r="927" spans="4:13" ht="12" customHeight="1">
      <c r="D927" s="156"/>
      <c r="E927" s="109"/>
      <c r="F927" s="69"/>
      <c r="G927" s="69"/>
      <c r="H927" s="69"/>
      <c r="I927" s="41"/>
      <c r="J927" s="42"/>
      <c r="K927" s="159"/>
      <c r="L927" s="41"/>
      <c r="M927" s="42"/>
    </row>
    <row r="928" spans="4:13" ht="12" customHeight="1">
      <c r="D928" s="156"/>
      <c r="E928" s="109"/>
      <c r="F928" s="69"/>
      <c r="G928" s="69"/>
      <c r="H928" s="69"/>
      <c r="I928" s="41"/>
      <c r="J928" s="42"/>
      <c r="K928" s="159"/>
      <c r="L928" s="41"/>
      <c r="M928" s="42"/>
    </row>
    <row r="929" spans="4:13" ht="12" customHeight="1">
      <c r="D929" s="156"/>
      <c r="E929" s="109"/>
      <c r="F929" s="69"/>
      <c r="G929" s="69"/>
      <c r="H929" s="69"/>
      <c r="I929" s="41"/>
      <c r="J929" s="42"/>
      <c r="K929" s="159"/>
      <c r="L929" s="41"/>
      <c r="M929" s="42"/>
    </row>
    <row r="930" spans="4:13" ht="12" customHeight="1">
      <c r="D930" s="156"/>
      <c r="E930" s="109"/>
      <c r="F930" s="69"/>
      <c r="G930" s="69"/>
      <c r="H930" s="69"/>
      <c r="I930" s="41"/>
      <c r="J930" s="42"/>
      <c r="K930" s="159"/>
      <c r="L930" s="41"/>
      <c r="M930" s="42"/>
    </row>
    <row r="931" spans="4:13" ht="12" customHeight="1">
      <c r="D931" s="156"/>
      <c r="E931" s="109"/>
      <c r="F931" s="69"/>
      <c r="G931" s="69"/>
      <c r="H931" s="69"/>
      <c r="I931" s="41"/>
      <c r="J931" s="42"/>
      <c r="K931" s="159"/>
      <c r="L931" s="41"/>
      <c r="M931" s="42"/>
    </row>
    <row r="932" spans="4:13" ht="12" customHeight="1">
      <c r="D932" s="156"/>
      <c r="E932" s="109"/>
      <c r="F932" s="69"/>
      <c r="G932" s="69"/>
      <c r="H932" s="69"/>
      <c r="I932" s="41"/>
      <c r="J932" s="42"/>
      <c r="K932" s="159"/>
      <c r="L932" s="41"/>
      <c r="M932" s="42"/>
    </row>
    <row r="933" spans="4:13" ht="12" customHeight="1">
      <c r="D933" s="156"/>
      <c r="E933" s="109"/>
      <c r="F933" s="69"/>
      <c r="G933" s="69"/>
      <c r="H933" s="69"/>
      <c r="I933" s="41"/>
      <c r="J933" s="42"/>
      <c r="K933" s="159"/>
      <c r="L933" s="41"/>
      <c r="M933" s="42"/>
    </row>
    <row r="934" spans="4:13" ht="12" customHeight="1">
      <c r="D934" s="156"/>
      <c r="E934" s="109"/>
      <c r="F934" s="69"/>
      <c r="G934" s="69"/>
      <c r="H934" s="69"/>
      <c r="I934" s="41"/>
      <c r="J934" s="42"/>
      <c r="K934" s="159"/>
      <c r="L934" s="41"/>
      <c r="M934" s="42"/>
    </row>
    <row r="935" spans="4:13" ht="12" customHeight="1">
      <c r="D935" s="156"/>
      <c r="E935" s="109"/>
      <c r="F935" s="69"/>
      <c r="G935" s="69"/>
      <c r="H935" s="69"/>
      <c r="I935" s="41"/>
      <c r="J935" s="42"/>
      <c r="K935" s="159"/>
      <c r="L935" s="41"/>
      <c r="M935" s="42"/>
    </row>
    <row r="936" spans="4:13" ht="12" customHeight="1">
      <c r="D936" s="156"/>
      <c r="E936" s="109"/>
      <c r="F936" s="69"/>
      <c r="G936" s="69"/>
      <c r="H936" s="69"/>
      <c r="I936" s="41"/>
      <c r="J936" s="42"/>
      <c r="K936" s="159"/>
      <c r="L936" s="41"/>
      <c r="M936" s="42"/>
    </row>
    <row r="937" spans="4:13" ht="12" customHeight="1">
      <c r="D937" s="156"/>
      <c r="E937" s="109"/>
      <c r="F937" s="69"/>
      <c r="G937" s="69"/>
      <c r="H937" s="69"/>
      <c r="I937" s="41"/>
      <c r="J937" s="42"/>
      <c r="K937" s="159"/>
      <c r="L937" s="41"/>
      <c r="M937" s="42"/>
    </row>
    <row r="938" spans="4:13" ht="12" customHeight="1">
      <c r="D938" s="156"/>
      <c r="E938" s="109"/>
      <c r="F938" s="69"/>
      <c r="G938" s="69"/>
      <c r="H938" s="69"/>
      <c r="I938" s="41"/>
      <c r="J938" s="42"/>
      <c r="K938" s="159"/>
      <c r="L938" s="41"/>
      <c r="M938" s="42"/>
    </row>
    <row r="939" spans="4:13" ht="12" customHeight="1">
      <c r="D939" s="156"/>
      <c r="E939" s="109"/>
      <c r="F939" s="69"/>
      <c r="G939" s="69"/>
      <c r="H939" s="69"/>
      <c r="I939" s="41"/>
      <c r="J939" s="42"/>
      <c r="K939" s="159"/>
      <c r="L939" s="41"/>
      <c r="M939" s="42"/>
    </row>
    <row r="940" spans="4:13" ht="12" customHeight="1">
      <c r="D940" s="31"/>
      <c r="I940" s="36"/>
      <c r="J940" s="74"/>
      <c r="K940" s="87"/>
      <c r="L940" s="36"/>
      <c r="M940" s="74"/>
    </row>
    <row r="941" spans="4:13" ht="12">
      <c r="D941" s="31"/>
      <c r="I941" s="36"/>
      <c r="J941" s="74"/>
      <c r="K941" s="87"/>
      <c r="L941" s="36"/>
      <c r="M941" s="74"/>
    </row>
    <row r="942" spans="4:13" ht="12">
      <c r="D942" s="31"/>
      <c r="I942" s="36"/>
      <c r="J942" s="74"/>
      <c r="K942" s="87"/>
      <c r="L942" s="36"/>
      <c r="M942" s="74"/>
    </row>
    <row r="943" spans="4:13" ht="12">
      <c r="D943" s="31"/>
      <c r="I943" s="36"/>
      <c r="J943" s="74"/>
      <c r="K943" s="87"/>
      <c r="L943" s="36"/>
      <c r="M943" s="74"/>
    </row>
    <row r="944" spans="4:13" ht="12">
      <c r="D944" s="31"/>
      <c r="I944" s="36"/>
      <c r="J944" s="74"/>
      <c r="K944" s="87"/>
      <c r="L944" s="36"/>
      <c r="M944" s="74"/>
    </row>
    <row r="945" spans="4:13" ht="12">
      <c r="D945" s="31"/>
      <c r="I945" s="36"/>
      <c r="J945" s="74"/>
      <c r="K945" s="87"/>
      <c r="L945" s="36"/>
      <c r="M945" s="74"/>
    </row>
    <row r="946" spans="4:13" ht="12">
      <c r="D946" s="31"/>
      <c r="I946" s="36"/>
      <c r="J946" s="74"/>
      <c r="K946" s="87"/>
      <c r="L946" s="36"/>
      <c r="M946" s="74"/>
    </row>
    <row r="947" spans="4:13" ht="12">
      <c r="D947" s="31"/>
      <c r="I947" s="36"/>
      <c r="J947" s="74"/>
      <c r="K947" s="87"/>
      <c r="L947" s="36"/>
      <c r="M947" s="74"/>
    </row>
    <row r="948" spans="4:13" ht="12">
      <c r="D948" s="31"/>
      <c r="I948" s="36"/>
      <c r="J948" s="74"/>
      <c r="K948" s="87"/>
      <c r="L948" s="36"/>
      <c r="M948" s="74"/>
    </row>
    <row r="949" spans="4:13" ht="12">
      <c r="D949" s="31"/>
      <c r="I949" s="36"/>
      <c r="J949" s="74"/>
      <c r="K949" s="87"/>
      <c r="L949" s="36"/>
      <c r="M949" s="74"/>
    </row>
    <row r="950" spans="4:13" ht="12">
      <c r="D950" s="31"/>
      <c r="I950" s="36"/>
      <c r="J950" s="74"/>
      <c r="K950" s="87"/>
      <c r="L950" s="36"/>
      <c r="M950" s="74"/>
    </row>
    <row r="951" spans="4:13" ht="12">
      <c r="D951" s="31"/>
      <c r="I951" s="36"/>
      <c r="J951" s="74"/>
      <c r="K951" s="87"/>
      <c r="L951" s="36"/>
      <c r="M951" s="74"/>
    </row>
    <row r="952" spans="4:13" ht="12">
      <c r="D952" s="31"/>
      <c r="I952" s="36"/>
      <c r="J952" s="74"/>
      <c r="K952" s="87"/>
      <c r="L952" s="36"/>
      <c r="M952" s="74"/>
    </row>
    <row r="953" spans="4:13" ht="12">
      <c r="D953" s="31"/>
      <c r="I953" s="36"/>
      <c r="J953" s="74"/>
      <c r="K953" s="87"/>
      <c r="L953" s="36"/>
      <c r="M953" s="74"/>
    </row>
    <row r="954" spans="4:13" ht="12">
      <c r="D954" s="31"/>
      <c r="I954" s="36"/>
      <c r="J954" s="74"/>
      <c r="K954" s="87"/>
      <c r="L954" s="36"/>
      <c r="M954" s="74"/>
    </row>
    <row r="955" spans="4:13" ht="12">
      <c r="D955" s="31"/>
      <c r="I955" s="36"/>
      <c r="J955" s="74"/>
      <c r="K955" s="87"/>
      <c r="L955" s="36"/>
      <c r="M955" s="74"/>
    </row>
    <row r="956" spans="4:13" ht="12">
      <c r="D956" s="31"/>
      <c r="I956" s="36"/>
      <c r="J956" s="74"/>
      <c r="K956" s="87"/>
      <c r="L956" s="36"/>
      <c r="M956" s="74"/>
    </row>
    <row r="957" spans="4:13" ht="12">
      <c r="D957" s="31"/>
      <c r="I957" s="36"/>
      <c r="J957" s="74"/>
      <c r="K957" s="87"/>
      <c r="L957" s="36"/>
      <c r="M957" s="74"/>
    </row>
    <row r="958" spans="4:13" ht="12">
      <c r="D958" s="31"/>
      <c r="I958" s="36"/>
      <c r="J958" s="74"/>
      <c r="K958" s="87"/>
      <c r="L958" s="36"/>
      <c r="M958" s="74"/>
    </row>
    <row r="959" spans="4:13" ht="12">
      <c r="D959" s="31"/>
      <c r="I959" s="36"/>
      <c r="J959" s="74"/>
      <c r="K959" s="87"/>
      <c r="L959" s="36"/>
      <c r="M959" s="74"/>
    </row>
    <row r="960" spans="4:13" ht="12">
      <c r="D960" s="31"/>
      <c r="I960" s="36"/>
      <c r="J960" s="74"/>
      <c r="K960" s="87"/>
      <c r="L960" s="36"/>
      <c r="M960" s="74"/>
    </row>
    <row r="961" spans="4:13" ht="12">
      <c r="D961" s="31"/>
      <c r="I961" s="36"/>
      <c r="J961" s="74"/>
      <c r="K961" s="87"/>
      <c r="L961" s="36"/>
      <c r="M961" s="74"/>
    </row>
    <row r="962" spans="4:13" ht="12">
      <c r="D962" s="31"/>
      <c r="I962" s="36"/>
      <c r="J962" s="74"/>
      <c r="K962" s="87"/>
      <c r="L962" s="36"/>
      <c r="M962" s="74"/>
    </row>
    <row r="963" spans="4:13" ht="12">
      <c r="D963" s="31"/>
      <c r="I963" s="36"/>
      <c r="J963" s="74"/>
      <c r="K963" s="87"/>
      <c r="L963" s="36"/>
      <c r="M963" s="74"/>
    </row>
    <row r="964" spans="4:13" ht="12">
      <c r="D964" s="31"/>
      <c r="I964" s="36"/>
      <c r="J964" s="74"/>
      <c r="K964" s="87"/>
      <c r="L964" s="36"/>
      <c r="M964" s="74"/>
    </row>
    <row r="1003" spans="4:13" ht="12">
      <c r="D1003" s="44"/>
      <c r="F1003" s="69"/>
      <c r="G1003" s="69"/>
      <c r="H1003" s="69"/>
      <c r="I1003" s="36"/>
      <c r="J1003" s="74"/>
      <c r="L1003" s="36"/>
      <c r="M1003" s="74"/>
    </row>
  </sheetData>
  <sheetProtection/>
  <mergeCells count="28">
    <mergeCell ref="D861:F861"/>
    <mergeCell ref="G863:H863"/>
    <mergeCell ref="I863:J863"/>
    <mergeCell ref="A550:M550"/>
    <mergeCell ref="A624:M624"/>
    <mergeCell ref="L863:M863"/>
    <mergeCell ref="A661:M661"/>
    <mergeCell ref="A860:M860"/>
    <mergeCell ref="A697:M697"/>
    <mergeCell ref="A587:M587"/>
    <mergeCell ref="A789:M789"/>
    <mergeCell ref="A825:M825"/>
    <mergeCell ref="A5:M5"/>
    <mergeCell ref="A20:M20"/>
    <mergeCell ref="A33:M33"/>
    <mergeCell ref="C8:L8"/>
    <mergeCell ref="C9:L9"/>
    <mergeCell ref="A750:M750"/>
    <mergeCell ref="N758:O761"/>
    <mergeCell ref="A475:M475"/>
    <mergeCell ref="A79:M79"/>
    <mergeCell ref="A37:M37"/>
    <mergeCell ref="B214:M214"/>
    <mergeCell ref="A118:M118"/>
    <mergeCell ref="A437:M437"/>
    <mergeCell ref="A513:M513"/>
    <mergeCell ref="A167:M167"/>
    <mergeCell ref="A400:M400"/>
  </mergeCells>
  <printOptions/>
  <pageMargins left="0.75" right="0.75" top="1" bottom="1" header="0.5" footer="0.24"/>
  <pageSetup fitToHeight="47" horizontalDpi="600" verticalDpi="600" orientation="landscape" scale="70" r:id="rId1"/>
  <rowBreaks count="23" manualBreakCount="23">
    <brk id="34" max="12" man="1"/>
    <brk id="76" max="12" man="1"/>
    <brk id="115" max="12" man="1"/>
    <brk id="164" max="12" man="1"/>
    <brk id="211" max="255" man="1"/>
    <brk id="260" max="12" man="1"/>
    <brk id="307" max="12" man="1"/>
    <brk id="329" max="12" man="1"/>
    <brk id="365" max="255" man="1"/>
    <brk id="397" max="12" man="1"/>
    <brk id="434" max="255" man="1"/>
    <brk id="472" max="12" man="1"/>
    <brk id="510" max="12" man="1"/>
    <brk id="547" max="255" man="1"/>
    <brk id="584" max="12" man="1"/>
    <brk id="621" max="12" man="1"/>
    <brk id="658" max="12" man="1"/>
    <brk id="694" max="12" man="1"/>
    <brk id="744" max="12" man="1"/>
    <brk id="786" max="12" man="1"/>
    <brk id="822" max="12" man="1"/>
    <brk id="857" max="12" man="1"/>
    <brk id="8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V1017"/>
  <sheetViews>
    <sheetView showGridLines="0" showZeros="0" zoomScale="75" zoomScaleNormal="75" zoomScaleSheetLayoutView="65" workbookViewId="0" topLeftCell="A859">
      <selection activeCell="D814" sqref="D814"/>
    </sheetView>
  </sheetViews>
  <sheetFormatPr defaultColWidth="9.625" defaultRowHeight="12.75"/>
  <cols>
    <col min="1" max="1" width="7.625" style="26" customWidth="1"/>
    <col min="2" max="2" width="1.875" style="26" customWidth="1"/>
    <col min="3" max="3" width="33.00390625" style="26" customWidth="1"/>
    <col min="4" max="4" width="23.00390625" style="26" customWidth="1"/>
    <col min="5" max="6" width="8.125" style="26" customWidth="1"/>
    <col min="7" max="7" width="10.625" style="26" customWidth="1"/>
    <col min="8" max="8" width="13.75390625" style="26" customWidth="1"/>
    <col min="9" max="9" width="10.625" style="27" customWidth="1"/>
    <col min="10" max="10" width="13.75390625" style="28" customWidth="1"/>
    <col min="11" max="11" width="8.75390625" style="26" customWidth="1"/>
    <col min="12" max="12" width="10.00390625" style="27" bestFit="1" customWidth="1"/>
    <col min="13" max="13" width="13.625" style="28" customWidth="1"/>
    <col min="14" max="14" width="10.00390625" style="26" customWidth="1"/>
    <col min="15" max="15" width="9.625" style="26" customWidth="1"/>
    <col min="16" max="16384" width="9.625" style="26" customWidth="1"/>
  </cols>
  <sheetData>
    <row r="2" ht="12">
      <c r="M2" s="29" t="s">
        <v>146</v>
      </c>
    </row>
    <row r="3" ht="12">
      <c r="M3" s="270" t="s">
        <v>623</v>
      </c>
    </row>
    <row r="5" spans="1:13" ht="45">
      <c r="A5" s="401" t="s">
        <v>145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8" spans="1:13" s="64" customFormat="1" ht="33">
      <c r="A8" s="261" t="s">
        <v>245</v>
      </c>
      <c r="B8" s="261"/>
      <c r="C8" s="404" t="s">
        <v>574</v>
      </c>
      <c r="D8" s="404"/>
      <c r="E8" s="404"/>
      <c r="F8" s="404"/>
      <c r="G8" s="404"/>
      <c r="H8" s="404"/>
      <c r="I8" s="404"/>
      <c r="J8" s="404"/>
      <c r="K8" s="404"/>
      <c r="L8" s="404"/>
      <c r="M8" s="261"/>
    </row>
    <row r="9" spans="1:13" s="64" customFormat="1" ht="33">
      <c r="A9" s="261" t="s">
        <v>246</v>
      </c>
      <c r="B9" s="261"/>
      <c r="C9" s="404" t="s">
        <v>575</v>
      </c>
      <c r="D9" s="404"/>
      <c r="E9" s="404"/>
      <c r="F9" s="404"/>
      <c r="G9" s="404"/>
      <c r="H9" s="404"/>
      <c r="I9" s="404"/>
      <c r="J9" s="404"/>
      <c r="K9" s="404"/>
      <c r="L9" s="404"/>
      <c r="M9" s="261"/>
    </row>
    <row r="20" spans="1:13" ht="45">
      <c r="A20" s="402" t="s">
        <v>483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</row>
    <row r="21" spans="1:13" ht="45">
      <c r="A21" s="402"/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</row>
    <row r="33" spans="1:13" ht="12.75">
      <c r="A33" s="417" t="s">
        <v>664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</row>
    <row r="34" spans="1:13" ht="12">
      <c r="A34" s="30"/>
      <c r="C34" s="31"/>
      <c r="E34" s="30"/>
      <c r="F34" s="32"/>
      <c r="G34" s="32"/>
      <c r="H34" s="32"/>
      <c r="I34" s="33"/>
      <c r="J34" s="34"/>
      <c r="K34" s="32"/>
      <c r="L34" s="33"/>
      <c r="M34" s="34"/>
    </row>
    <row r="35" spans="1:13" ht="12">
      <c r="A35" s="269" t="s">
        <v>484</v>
      </c>
      <c r="B35" s="223"/>
      <c r="C35" s="161"/>
      <c r="I35" s="36"/>
      <c r="M35" s="37" t="s">
        <v>18</v>
      </c>
    </row>
    <row r="36" spans="1:13" s="65" customFormat="1" ht="12">
      <c r="A36" s="399" t="s">
        <v>19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</row>
    <row r="37" spans="1:13" ht="12">
      <c r="A37" s="38" t="s">
        <v>551</v>
      </c>
      <c r="C37" s="26" t="s">
        <v>552</v>
      </c>
      <c r="I37" s="36"/>
      <c r="K37" s="24"/>
      <c r="L37" s="36"/>
      <c r="M37" s="39" t="str">
        <f>$M$3</f>
        <v>Date: 10/1/2009</v>
      </c>
    </row>
    <row r="38" spans="1:13" ht="12">
      <c r="A38" s="40" t="s">
        <v>1</v>
      </c>
      <c r="B38" s="40" t="s">
        <v>1</v>
      </c>
      <c r="C38" s="40" t="s">
        <v>1</v>
      </c>
      <c r="D38" s="40" t="s">
        <v>1</v>
      </c>
      <c r="E38" s="40" t="s">
        <v>1</v>
      </c>
      <c r="F38" s="40" t="s">
        <v>1</v>
      </c>
      <c r="G38" s="40"/>
      <c r="H38" s="40"/>
      <c r="I38" s="41" t="s">
        <v>1</v>
      </c>
      <c r="J38" s="42" t="s">
        <v>1</v>
      </c>
      <c r="K38" s="40" t="s">
        <v>1</v>
      </c>
      <c r="L38" s="41" t="s">
        <v>1</v>
      </c>
      <c r="M38" s="42" t="s">
        <v>1</v>
      </c>
    </row>
    <row r="39" spans="1:13" ht="12">
      <c r="A39" s="43" t="s">
        <v>2</v>
      </c>
      <c r="C39" s="31" t="s">
        <v>3</v>
      </c>
      <c r="E39" s="43" t="s">
        <v>2</v>
      </c>
      <c r="F39" s="44"/>
      <c r="G39" s="44"/>
      <c r="H39" s="46" t="s">
        <v>240</v>
      </c>
      <c r="I39" s="45"/>
      <c r="J39" s="46" t="s">
        <v>247</v>
      </c>
      <c r="K39" s="46"/>
      <c r="L39" s="296"/>
      <c r="M39" s="44" t="s">
        <v>576</v>
      </c>
    </row>
    <row r="40" spans="1:13" ht="12">
      <c r="A40" s="43" t="s">
        <v>4</v>
      </c>
      <c r="C40" s="47" t="s">
        <v>5</v>
      </c>
      <c r="E40" s="43" t="s">
        <v>4</v>
      </c>
      <c r="F40" s="44"/>
      <c r="G40" s="44" t="s">
        <v>21</v>
      </c>
      <c r="H40" s="46" t="s">
        <v>7</v>
      </c>
      <c r="I40" s="45"/>
      <c r="J40" s="46" t="s">
        <v>7</v>
      </c>
      <c r="K40" s="46"/>
      <c r="L40" s="296"/>
      <c r="M40" s="44" t="s">
        <v>8</v>
      </c>
    </row>
    <row r="41" spans="1:13" ht="12">
      <c r="A41" s="40" t="s">
        <v>1</v>
      </c>
      <c r="B41" s="40" t="s">
        <v>1</v>
      </c>
      <c r="C41" s="40" t="s">
        <v>1</v>
      </c>
      <c r="D41" s="40" t="s">
        <v>1</v>
      </c>
      <c r="E41" s="40" t="s">
        <v>1</v>
      </c>
      <c r="F41" s="40" t="s">
        <v>1</v>
      </c>
      <c r="G41" s="40"/>
      <c r="H41" s="40"/>
      <c r="I41" s="41" t="s">
        <v>1</v>
      </c>
      <c r="J41" s="41" t="s">
        <v>1</v>
      </c>
      <c r="K41" s="40" t="s">
        <v>1</v>
      </c>
      <c r="L41" s="41" t="s">
        <v>1</v>
      </c>
      <c r="M41" s="42" t="s">
        <v>1</v>
      </c>
    </row>
    <row r="42" spans="1:13" ht="12">
      <c r="A42" s="30">
        <v>1</v>
      </c>
      <c r="C42" s="31" t="s">
        <v>9</v>
      </c>
      <c r="D42" s="48" t="s">
        <v>105</v>
      </c>
      <c r="E42" s="30">
        <v>1</v>
      </c>
      <c r="G42" s="66">
        <v>726.5518403521617</v>
      </c>
      <c r="H42" s="67">
        <v>63041773</v>
      </c>
      <c r="I42" s="66">
        <v>747.9735803618333</v>
      </c>
      <c r="J42" s="67">
        <v>70483754</v>
      </c>
      <c r="K42" s="49"/>
      <c r="L42" s="66">
        <v>789.4399999999999</v>
      </c>
      <c r="M42" s="67">
        <v>73236762</v>
      </c>
    </row>
    <row r="43" spans="1:13" ht="12">
      <c r="A43" s="30">
        <v>2</v>
      </c>
      <c r="C43" s="31" t="s">
        <v>10</v>
      </c>
      <c r="D43" s="48" t="s">
        <v>106</v>
      </c>
      <c r="E43" s="30">
        <v>2</v>
      </c>
      <c r="G43" s="66">
        <v>0.56</v>
      </c>
      <c r="H43" s="67">
        <v>60611</v>
      </c>
      <c r="I43" s="66">
        <v>0</v>
      </c>
      <c r="J43" s="67">
        <v>67321</v>
      </c>
      <c r="K43" s="49"/>
      <c r="L43" s="66">
        <v>0</v>
      </c>
      <c r="M43" s="67">
        <v>46342</v>
      </c>
    </row>
    <row r="44" spans="1:13" ht="12">
      <c r="A44" s="30">
        <v>3</v>
      </c>
      <c r="C44" s="31" t="s">
        <v>11</v>
      </c>
      <c r="D44" s="48" t="s">
        <v>107</v>
      </c>
      <c r="E44" s="30">
        <v>3</v>
      </c>
      <c r="G44" s="66">
        <v>1.674646181940888</v>
      </c>
      <c r="H44" s="67">
        <v>136029</v>
      </c>
      <c r="I44" s="66">
        <v>1.384352008719656</v>
      </c>
      <c r="J44" s="67">
        <v>200101</v>
      </c>
      <c r="K44" s="49"/>
      <c r="L44" s="66">
        <v>1.01</v>
      </c>
      <c r="M44" s="67">
        <v>146212</v>
      </c>
    </row>
    <row r="45" spans="1:13" ht="12">
      <c r="A45" s="30">
        <v>4</v>
      </c>
      <c r="C45" s="31" t="s">
        <v>12</v>
      </c>
      <c r="D45" s="48" t="s">
        <v>108</v>
      </c>
      <c r="E45" s="30">
        <v>4</v>
      </c>
      <c r="G45" s="66">
        <v>186.44564480506523</v>
      </c>
      <c r="H45" s="67">
        <v>15979392</v>
      </c>
      <c r="I45" s="66">
        <v>201.60596440158878</v>
      </c>
      <c r="J45" s="67">
        <v>18797701</v>
      </c>
      <c r="K45" s="49"/>
      <c r="L45" s="66">
        <v>201.49</v>
      </c>
      <c r="M45" s="67">
        <v>18985524</v>
      </c>
    </row>
    <row r="46" spans="1:13" ht="12">
      <c r="A46" s="30">
        <v>5</v>
      </c>
      <c r="C46" s="31" t="s">
        <v>13</v>
      </c>
      <c r="D46" s="48" t="s">
        <v>109</v>
      </c>
      <c r="E46" s="30">
        <v>5</v>
      </c>
      <c r="G46" s="66">
        <v>69.79833747206521</v>
      </c>
      <c r="H46" s="67">
        <v>5659399</v>
      </c>
      <c r="I46" s="66">
        <v>76.01269576867719</v>
      </c>
      <c r="J46" s="67">
        <v>6890748</v>
      </c>
      <c r="K46" s="49"/>
      <c r="L46" s="66">
        <v>67.72</v>
      </c>
      <c r="M46" s="67">
        <v>6577019</v>
      </c>
    </row>
    <row r="47" spans="1:13" ht="12">
      <c r="A47" s="30">
        <v>6</v>
      </c>
      <c r="C47" s="31" t="s">
        <v>14</v>
      </c>
      <c r="D47" s="48" t="s">
        <v>110</v>
      </c>
      <c r="E47" s="30">
        <v>6</v>
      </c>
      <c r="G47" s="66">
        <v>92.49233272802073</v>
      </c>
      <c r="H47" s="67">
        <v>10606133</v>
      </c>
      <c r="I47" s="66">
        <v>106.85682670198344</v>
      </c>
      <c r="J47" s="67">
        <v>13258732</v>
      </c>
      <c r="K47" s="49"/>
      <c r="L47" s="66">
        <v>98.24000000000001</v>
      </c>
      <c r="M47" s="67">
        <v>13141334</v>
      </c>
    </row>
    <row r="48" spans="1:13" ht="12">
      <c r="A48" s="30">
        <v>7</v>
      </c>
      <c r="C48" s="31" t="s">
        <v>59</v>
      </c>
      <c r="D48" s="48" t="s">
        <v>111</v>
      </c>
      <c r="E48" s="30">
        <v>7</v>
      </c>
      <c r="G48" s="66">
        <v>17.429340947240515</v>
      </c>
      <c r="H48" s="67">
        <v>5073453</v>
      </c>
      <c r="I48" s="66">
        <v>21.64840787904994</v>
      </c>
      <c r="J48" s="67">
        <v>6353279</v>
      </c>
      <c r="K48" s="49"/>
      <c r="L48" s="66">
        <v>19.72</v>
      </c>
      <c r="M48" s="67">
        <v>6079948</v>
      </c>
    </row>
    <row r="49" spans="1:13" ht="12">
      <c r="A49" s="30">
        <v>8</v>
      </c>
      <c r="C49" s="31" t="s">
        <v>15</v>
      </c>
      <c r="D49" s="48" t="s">
        <v>112</v>
      </c>
      <c r="E49" s="30">
        <v>8</v>
      </c>
      <c r="G49" s="66">
        <v>0</v>
      </c>
      <c r="H49" s="67">
        <v>5861486</v>
      </c>
      <c r="I49" s="66">
        <v>0</v>
      </c>
      <c r="J49" s="67">
        <v>6298426</v>
      </c>
      <c r="K49" s="49"/>
      <c r="L49" s="66">
        <v>0</v>
      </c>
      <c r="M49" s="67">
        <v>7242316</v>
      </c>
    </row>
    <row r="50" spans="1:13" ht="12">
      <c r="A50" s="30">
        <v>9</v>
      </c>
      <c r="C50" s="31" t="s">
        <v>89</v>
      </c>
      <c r="D50" s="48" t="s">
        <v>113</v>
      </c>
      <c r="E50" s="30">
        <v>9</v>
      </c>
      <c r="G50" s="247">
        <v>0</v>
      </c>
      <c r="H50" s="247">
        <v>0</v>
      </c>
      <c r="I50" s="247">
        <v>0</v>
      </c>
      <c r="J50" s="247">
        <v>0</v>
      </c>
      <c r="K50" s="247"/>
      <c r="L50" s="247">
        <v>0</v>
      </c>
      <c r="M50" s="247">
        <v>0</v>
      </c>
    </row>
    <row r="51" spans="1:13" ht="12">
      <c r="A51" s="30">
        <v>10</v>
      </c>
      <c r="C51" s="31" t="s">
        <v>16</v>
      </c>
      <c r="D51" s="48" t="s">
        <v>88</v>
      </c>
      <c r="E51" s="30">
        <v>10</v>
      </c>
      <c r="G51" s="66">
        <v>0</v>
      </c>
      <c r="H51" s="67">
        <v>17065775</v>
      </c>
      <c r="I51" s="66">
        <v>0</v>
      </c>
      <c r="J51" s="67">
        <v>12009203</v>
      </c>
      <c r="K51" s="49"/>
      <c r="L51" s="66">
        <v>0</v>
      </c>
      <c r="M51" s="67">
        <v>15089617</v>
      </c>
    </row>
    <row r="52" spans="1:13" ht="12">
      <c r="A52" s="30"/>
      <c r="C52" s="31"/>
      <c r="D52" s="48"/>
      <c r="E52" s="30"/>
      <c r="F52" s="40" t="s">
        <v>1</v>
      </c>
      <c r="G52" s="40"/>
      <c r="H52" s="68"/>
      <c r="I52" s="41" t="s">
        <v>1</v>
      </c>
      <c r="J52" s="68"/>
      <c r="K52" s="51"/>
      <c r="L52" s="41"/>
      <c r="M52" s="68"/>
    </row>
    <row r="53" spans="1:13" ht="15.75" customHeight="1">
      <c r="A53" s="26">
        <v>11</v>
      </c>
      <c r="C53" s="31" t="s">
        <v>221</v>
      </c>
      <c r="E53" s="26">
        <v>11</v>
      </c>
      <c r="G53" s="66">
        <f>SUM(G42:G51)</f>
        <v>1094.9521424864943</v>
      </c>
      <c r="H53" s="67">
        <f>SUM(H42:H51)</f>
        <v>123484051</v>
      </c>
      <c r="I53" s="66">
        <f>SUM(I42:I51)</f>
        <v>1155.4818271218526</v>
      </c>
      <c r="J53" s="67">
        <f>SUM(J42:J51)</f>
        <v>134359265</v>
      </c>
      <c r="K53" s="49"/>
      <c r="L53" s="66">
        <f>SUM(L42:L51)</f>
        <v>1177.62</v>
      </c>
      <c r="M53" s="67">
        <f>SUM(M42:M51)</f>
        <v>140545074</v>
      </c>
    </row>
    <row r="54" spans="1:13" ht="12">
      <c r="A54" s="30"/>
      <c r="E54" s="30"/>
      <c r="F54" s="40" t="s">
        <v>1</v>
      </c>
      <c r="G54" s="40"/>
      <c r="H54" s="40"/>
      <c r="I54" s="41" t="s">
        <v>1</v>
      </c>
      <c r="J54" s="42"/>
      <c r="K54" s="51"/>
      <c r="L54" s="41"/>
      <c r="M54" s="42"/>
    </row>
    <row r="55" spans="1:13" ht="12">
      <c r="A55" s="30"/>
      <c r="E55" s="30"/>
      <c r="F55" s="40"/>
      <c r="G55" s="40"/>
      <c r="H55" s="40"/>
      <c r="I55" s="36"/>
      <c r="J55" s="42"/>
      <c r="K55" s="51"/>
      <c r="L55" s="36"/>
      <c r="M55" s="42"/>
    </row>
    <row r="56" spans="1:13" ht="12">
      <c r="A56" s="26">
        <v>12</v>
      </c>
      <c r="C56" s="31" t="s">
        <v>17</v>
      </c>
      <c r="E56" s="26">
        <v>12</v>
      </c>
      <c r="G56" s="49"/>
      <c r="H56" s="49"/>
      <c r="I56" s="50"/>
      <c r="J56" s="50"/>
      <c r="K56" s="49"/>
      <c r="L56" s="66"/>
      <c r="M56" s="50"/>
    </row>
    <row r="57" spans="1:13" ht="12">
      <c r="A57" s="30">
        <v>13</v>
      </c>
      <c r="C57" s="31" t="s">
        <v>196</v>
      </c>
      <c r="D57" s="48" t="s">
        <v>218</v>
      </c>
      <c r="E57" s="30">
        <v>13</v>
      </c>
      <c r="G57" s="66">
        <v>0</v>
      </c>
      <c r="H57" s="67">
        <v>0</v>
      </c>
      <c r="I57" s="66">
        <v>0</v>
      </c>
      <c r="J57" s="67">
        <v>0</v>
      </c>
      <c r="K57" s="49"/>
      <c r="L57" s="66">
        <v>0</v>
      </c>
      <c r="M57" s="391">
        <v>0</v>
      </c>
    </row>
    <row r="58" spans="1:14" ht="12">
      <c r="A58" s="30">
        <v>14</v>
      </c>
      <c r="C58" s="31" t="s">
        <v>197</v>
      </c>
      <c r="D58" s="48" t="s">
        <v>219</v>
      </c>
      <c r="E58" s="30">
        <v>14</v>
      </c>
      <c r="G58" s="66">
        <v>0</v>
      </c>
      <c r="H58" s="67">
        <f aca="true" t="shared" si="0" ref="H58:M58">H458</f>
        <v>14341658</v>
      </c>
      <c r="I58" s="67">
        <f t="shared" si="0"/>
        <v>0</v>
      </c>
      <c r="J58" s="67">
        <f t="shared" si="0"/>
        <v>11954377.66</v>
      </c>
      <c r="K58" s="67">
        <f t="shared" si="0"/>
        <v>0</v>
      </c>
      <c r="L58" s="67">
        <f t="shared" si="0"/>
        <v>0</v>
      </c>
      <c r="M58" s="392">
        <f t="shared" si="0"/>
        <v>6031356</v>
      </c>
      <c r="N58" s="248"/>
    </row>
    <row r="59" spans="1:15" ht="12">
      <c r="A59" s="30">
        <v>15</v>
      </c>
      <c r="C59" s="31" t="s">
        <v>215</v>
      </c>
      <c r="D59" s="48"/>
      <c r="E59" s="30">
        <v>15</v>
      </c>
      <c r="G59" s="66">
        <v>0</v>
      </c>
      <c r="H59" s="67">
        <v>16942522</v>
      </c>
      <c r="I59" s="66"/>
      <c r="J59" s="67">
        <f>13360157</f>
        <v>13360157</v>
      </c>
      <c r="K59" s="67"/>
      <c r="L59" s="296"/>
      <c r="M59" s="289">
        <v>12858069</v>
      </c>
      <c r="O59" s="28"/>
    </row>
    <row r="60" spans="1:15" ht="12">
      <c r="A60" s="30">
        <v>16</v>
      </c>
      <c r="C60" s="31" t="s">
        <v>214</v>
      </c>
      <c r="D60" s="48"/>
      <c r="E60" s="30">
        <v>16</v>
      </c>
      <c r="G60" s="66">
        <v>6361.299999999999</v>
      </c>
      <c r="H60" s="67">
        <f>+H305-H59</f>
        <v>38367981</v>
      </c>
      <c r="I60" s="66">
        <v>6634.42</v>
      </c>
      <c r="J60" s="67">
        <f>+J305-J59</f>
        <v>42479690</v>
      </c>
      <c r="K60" s="49"/>
      <c r="L60" s="66">
        <v>6951</v>
      </c>
      <c r="M60" s="393">
        <f>+M305-M59</f>
        <v>44661705</v>
      </c>
      <c r="N60" s="248"/>
      <c r="O60" s="248"/>
    </row>
    <row r="61" spans="1:256" ht="12">
      <c r="A61" s="48">
        <v>17</v>
      </c>
      <c r="B61" s="48"/>
      <c r="C61" s="52" t="s">
        <v>216</v>
      </c>
      <c r="D61" s="48" t="s">
        <v>235</v>
      </c>
      <c r="E61" s="48">
        <v>17</v>
      </c>
      <c r="F61" s="48"/>
      <c r="G61" s="66">
        <v>6361.299999999999</v>
      </c>
      <c r="H61" s="67">
        <f>SUM(H59:H60)</f>
        <v>55310503</v>
      </c>
      <c r="I61" s="66">
        <v>6634.42</v>
      </c>
      <c r="J61" s="67">
        <f>SUM(J59:J60)</f>
        <v>55839847</v>
      </c>
      <c r="K61" s="52"/>
      <c r="L61" s="66">
        <v>6951</v>
      </c>
      <c r="M61" s="392">
        <f>SUM(M59:M60)</f>
        <v>57519774</v>
      </c>
      <c r="N61" s="48"/>
      <c r="O61" s="52"/>
      <c r="P61" s="48"/>
      <c r="Q61" s="52"/>
      <c r="R61" s="48"/>
      <c r="S61" s="52"/>
      <c r="T61" s="48"/>
      <c r="U61" s="52"/>
      <c r="V61" s="48"/>
      <c r="W61" s="52"/>
      <c r="X61" s="48"/>
      <c r="Y61" s="52"/>
      <c r="Z61" s="48"/>
      <c r="AA61" s="52"/>
      <c r="AB61" s="48"/>
      <c r="AC61" s="52"/>
      <c r="AD61" s="48"/>
      <c r="AE61" s="52"/>
      <c r="AF61" s="48"/>
      <c r="AG61" s="52"/>
      <c r="AH61" s="48"/>
      <c r="AI61" s="52"/>
      <c r="AJ61" s="48"/>
      <c r="AK61" s="52"/>
      <c r="AL61" s="48"/>
      <c r="AM61" s="52"/>
      <c r="AN61" s="48"/>
      <c r="AO61" s="52"/>
      <c r="AP61" s="48"/>
      <c r="AQ61" s="52"/>
      <c r="AR61" s="48"/>
      <c r="AS61" s="52"/>
      <c r="AT61" s="48"/>
      <c r="AU61" s="52"/>
      <c r="AV61" s="48"/>
      <c r="AW61" s="52"/>
      <c r="AX61" s="48"/>
      <c r="AY61" s="52"/>
      <c r="AZ61" s="48"/>
      <c r="BA61" s="52"/>
      <c r="BB61" s="48"/>
      <c r="BC61" s="52"/>
      <c r="BD61" s="48"/>
      <c r="BE61" s="52"/>
      <c r="BF61" s="48"/>
      <c r="BG61" s="52"/>
      <c r="BH61" s="48"/>
      <c r="BI61" s="52"/>
      <c r="BJ61" s="48"/>
      <c r="BK61" s="52"/>
      <c r="BL61" s="48"/>
      <c r="BM61" s="52"/>
      <c r="BN61" s="48"/>
      <c r="BO61" s="52"/>
      <c r="BP61" s="48"/>
      <c r="BQ61" s="52"/>
      <c r="BR61" s="48"/>
      <c r="BS61" s="52"/>
      <c r="BT61" s="48"/>
      <c r="BU61" s="52"/>
      <c r="BV61" s="48"/>
      <c r="BW61" s="52"/>
      <c r="BX61" s="48"/>
      <c r="BY61" s="52"/>
      <c r="BZ61" s="48"/>
      <c r="CA61" s="52"/>
      <c r="CB61" s="48"/>
      <c r="CC61" s="52"/>
      <c r="CD61" s="48"/>
      <c r="CE61" s="52"/>
      <c r="CF61" s="48"/>
      <c r="CG61" s="52"/>
      <c r="CH61" s="48"/>
      <c r="CI61" s="52"/>
      <c r="CJ61" s="48"/>
      <c r="CK61" s="52"/>
      <c r="CL61" s="48"/>
      <c r="CM61" s="52"/>
      <c r="CN61" s="48"/>
      <c r="CO61" s="52"/>
      <c r="CP61" s="48"/>
      <c r="CQ61" s="52"/>
      <c r="CR61" s="48"/>
      <c r="CS61" s="52"/>
      <c r="CT61" s="48"/>
      <c r="CU61" s="52"/>
      <c r="CV61" s="48"/>
      <c r="CW61" s="52"/>
      <c r="CX61" s="48"/>
      <c r="CY61" s="52"/>
      <c r="CZ61" s="48"/>
      <c r="DA61" s="52"/>
      <c r="DB61" s="48"/>
      <c r="DC61" s="52"/>
      <c r="DD61" s="48"/>
      <c r="DE61" s="52"/>
      <c r="DF61" s="48"/>
      <c r="DG61" s="52"/>
      <c r="DH61" s="48"/>
      <c r="DI61" s="52"/>
      <c r="DJ61" s="48"/>
      <c r="DK61" s="52"/>
      <c r="DL61" s="48"/>
      <c r="DM61" s="52"/>
      <c r="DN61" s="48"/>
      <c r="DO61" s="52"/>
      <c r="DP61" s="48"/>
      <c r="DQ61" s="52"/>
      <c r="DR61" s="48"/>
      <c r="DS61" s="52"/>
      <c r="DT61" s="48"/>
      <c r="DU61" s="52"/>
      <c r="DV61" s="48"/>
      <c r="DW61" s="52"/>
      <c r="DX61" s="48"/>
      <c r="DY61" s="52"/>
      <c r="DZ61" s="48"/>
      <c r="EA61" s="52"/>
      <c r="EB61" s="48"/>
      <c r="EC61" s="52"/>
      <c r="ED61" s="48"/>
      <c r="EE61" s="52"/>
      <c r="EF61" s="48"/>
      <c r="EG61" s="52"/>
      <c r="EH61" s="48"/>
      <c r="EI61" s="52"/>
      <c r="EJ61" s="48"/>
      <c r="EK61" s="52"/>
      <c r="EL61" s="48"/>
      <c r="EM61" s="52"/>
      <c r="EN61" s="48"/>
      <c r="EO61" s="52"/>
      <c r="EP61" s="48"/>
      <c r="EQ61" s="52"/>
      <c r="ER61" s="48"/>
      <c r="ES61" s="52"/>
      <c r="ET61" s="48"/>
      <c r="EU61" s="52"/>
      <c r="EV61" s="48"/>
      <c r="EW61" s="52"/>
      <c r="EX61" s="48"/>
      <c r="EY61" s="52"/>
      <c r="EZ61" s="48"/>
      <c r="FA61" s="52"/>
      <c r="FB61" s="48"/>
      <c r="FC61" s="52"/>
      <c r="FD61" s="48"/>
      <c r="FE61" s="52"/>
      <c r="FF61" s="48"/>
      <c r="FG61" s="52"/>
      <c r="FH61" s="48"/>
      <c r="FI61" s="52"/>
      <c r="FJ61" s="48"/>
      <c r="FK61" s="52"/>
      <c r="FL61" s="48"/>
      <c r="FM61" s="52"/>
      <c r="FN61" s="48"/>
      <c r="FO61" s="52"/>
      <c r="FP61" s="48"/>
      <c r="FQ61" s="52"/>
      <c r="FR61" s="48"/>
      <c r="FS61" s="52"/>
      <c r="FT61" s="48"/>
      <c r="FU61" s="52"/>
      <c r="FV61" s="48"/>
      <c r="FW61" s="52"/>
      <c r="FX61" s="48"/>
      <c r="FY61" s="52"/>
      <c r="FZ61" s="48"/>
      <c r="GA61" s="52"/>
      <c r="GB61" s="48"/>
      <c r="GC61" s="52"/>
      <c r="GD61" s="48"/>
      <c r="GE61" s="52"/>
      <c r="GF61" s="48"/>
      <c r="GG61" s="52"/>
      <c r="GH61" s="48"/>
      <c r="GI61" s="52"/>
      <c r="GJ61" s="48"/>
      <c r="GK61" s="52"/>
      <c r="GL61" s="48"/>
      <c r="GM61" s="52"/>
      <c r="GN61" s="48"/>
      <c r="GO61" s="52"/>
      <c r="GP61" s="48"/>
      <c r="GQ61" s="52"/>
      <c r="GR61" s="48"/>
      <c r="GS61" s="52"/>
      <c r="GT61" s="48"/>
      <c r="GU61" s="52"/>
      <c r="GV61" s="48"/>
      <c r="GW61" s="52"/>
      <c r="GX61" s="48"/>
      <c r="GY61" s="52"/>
      <c r="GZ61" s="48"/>
      <c r="HA61" s="52"/>
      <c r="HB61" s="48"/>
      <c r="HC61" s="52"/>
      <c r="HD61" s="48"/>
      <c r="HE61" s="52"/>
      <c r="HF61" s="48"/>
      <c r="HG61" s="52"/>
      <c r="HH61" s="48"/>
      <c r="HI61" s="52"/>
      <c r="HJ61" s="48"/>
      <c r="HK61" s="52"/>
      <c r="HL61" s="48"/>
      <c r="HM61" s="52"/>
      <c r="HN61" s="48"/>
      <c r="HO61" s="52"/>
      <c r="HP61" s="48"/>
      <c r="HQ61" s="52"/>
      <c r="HR61" s="48"/>
      <c r="HS61" s="52"/>
      <c r="HT61" s="48"/>
      <c r="HU61" s="52"/>
      <c r="HV61" s="48"/>
      <c r="HW61" s="52"/>
      <c r="HX61" s="48"/>
      <c r="HY61" s="52"/>
      <c r="HZ61" s="48"/>
      <c r="IA61" s="52"/>
      <c r="IB61" s="48"/>
      <c r="IC61" s="52"/>
      <c r="ID61" s="48"/>
      <c r="IE61" s="52"/>
      <c r="IF61" s="48"/>
      <c r="IG61" s="52"/>
      <c r="IH61" s="48"/>
      <c r="II61" s="52"/>
      <c r="IJ61" s="48"/>
      <c r="IK61" s="52"/>
      <c r="IL61" s="48"/>
      <c r="IM61" s="52"/>
      <c r="IN61" s="48"/>
      <c r="IO61" s="52"/>
      <c r="IP61" s="48"/>
      <c r="IQ61" s="52"/>
      <c r="IR61" s="48"/>
      <c r="IS61" s="52"/>
      <c r="IT61" s="48"/>
      <c r="IU61" s="52"/>
      <c r="IV61" s="48"/>
    </row>
    <row r="62" spans="1:13" ht="12">
      <c r="A62" s="30">
        <v>18</v>
      </c>
      <c r="C62" s="31" t="s">
        <v>217</v>
      </c>
      <c r="D62" s="48" t="s">
        <v>235</v>
      </c>
      <c r="E62" s="30">
        <v>18</v>
      </c>
      <c r="G62" s="66">
        <v>2123.1</v>
      </c>
      <c r="H62" s="67">
        <f>+H304</f>
        <v>23021137</v>
      </c>
      <c r="I62" s="66">
        <v>2099.8</v>
      </c>
      <c r="J62" s="67">
        <f>+J304</f>
        <v>23066914</v>
      </c>
      <c r="K62" s="49"/>
      <c r="L62" s="66">
        <v>2037</v>
      </c>
      <c r="M62" s="392">
        <f>+M304</f>
        <v>23947269</v>
      </c>
    </row>
    <row r="63" spans="1:13" ht="12">
      <c r="A63" s="30">
        <v>19</v>
      </c>
      <c r="C63" s="31" t="s">
        <v>182</v>
      </c>
      <c r="D63" s="48" t="s">
        <v>235</v>
      </c>
      <c r="E63" s="30">
        <v>19</v>
      </c>
      <c r="G63" s="66">
        <v>788.4</v>
      </c>
      <c r="H63" s="67">
        <f>+H310</f>
        <v>17148236</v>
      </c>
      <c r="I63" s="66">
        <v>955.0500000000001</v>
      </c>
      <c r="J63" s="67">
        <f>+J310</f>
        <v>21157331</v>
      </c>
      <c r="K63" s="49"/>
      <c r="L63" s="66">
        <v>987</v>
      </c>
      <c r="M63" s="392">
        <f>+M310</f>
        <v>22866725</v>
      </c>
    </row>
    <row r="64" spans="1:15" ht="12">
      <c r="A64" s="30">
        <v>20</v>
      </c>
      <c r="C64" s="31" t="s">
        <v>159</v>
      </c>
      <c r="D64" s="48" t="s">
        <v>235</v>
      </c>
      <c r="E64" s="30">
        <v>20</v>
      </c>
      <c r="G64" s="66">
        <v>9272.8</v>
      </c>
      <c r="H64" s="67">
        <f>H61+H62+H63</f>
        <v>95479876</v>
      </c>
      <c r="I64" s="66">
        <v>9689.27</v>
      </c>
      <c r="J64" s="67">
        <f>J61+J62+J63</f>
        <v>100064092</v>
      </c>
      <c r="K64" s="49"/>
      <c r="L64" s="66">
        <v>9975</v>
      </c>
      <c r="M64" s="392">
        <f>M61+M62+M63</f>
        <v>104333768</v>
      </c>
      <c r="N64" s="248"/>
      <c r="O64" s="248"/>
    </row>
    <row r="65" spans="1:15" ht="12">
      <c r="A65" s="30">
        <v>21</v>
      </c>
      <c r="C65" s="31" t="s">
        <v>210</v>
      </c>
      <c r="D65" s="48" t="s">
        <v>234</v>
      </c>
      <c r="E65" s="30">
        <v>21</v>
      </c>
      <c r="G65" s="66">
        <v>0</v>
      </c>
      <c r="H65" s="67">
        <f aca="true" t="shared" si="1" ref="H65:M65">H337</f>
        <v>4510380</v>
      </c>
      <c r="I65" s="67">
        <f t="shared" si="1"/>
        <v>0</v>
      </c>
      <c r="J65" s="67">
        <f t="shared" si="1"/>
        <v>5716579</v>
      </c>
      <c r="K65" s="67">
        <f t="shared" si="1"/>
        <v>0</v>
      </c>
      <c r="L65" s="67">
        <f t="shared" si="1"/>
        <v>0</v>
      </c>
      <c r="M65" s="392">
        <f t="shared" si="1"/>
        <v>7553351</v>
      </c>
      <c r="O65" s="248"/>
    </row>
    <row r="66" spans="1:15" ht="12">
      <c r="A66" s="48" t="s">
        <v>579</v>
      </c>
      <c r="C66" s="31" t="s">
        <v>580</v>
      </c>
      <c r="D66" s="48"/>
      <c r="E66" s="30"/>
      <c r="G66" s="66"/>
      <c r="H66" s="67">
        <f>H377</f>
        <v>0</v>
      </c>
      <c r="I66" s="66"/>
      <c r="J66" s="67">
        <f>J327</f>
        <v>7770460</v>
      </c>
      <c r="K66" s="67">
        <f>K327</f>
        <v>0</v>
      </c>
      <c r="L66" s="67">
        <f>L327</f>
        <v>0</v>
      </c>
      <c r="M66" s="392">
        <f>M327</f>
        <v>14142015</v>
      </c>
      <c r="O66" s="248"/>
    </row>
    <row r="67" spans="1:13" ht="12">
      <c r="A67" s="30">
        <v>22</v>
      </c>
      <c r="C67" s="53"/>
      <c r="E67" s="30">
        <v>22</v>
      </c>
      <c r="F67" s="40" t="s">
        <v>1</v>
      </c>
      <c r="G67" s="40"/>
      <c r="H67" s="40"/>
      <c r="I67" s="41"/>
      <c r="J67" s="42"/>
      <c r="K67" s="51"/>
      <c r="L67" s="41"/>
      <c r="M67" s="42"/>
    </row>
    <row r="68" spans="1:13" ht="12">
      <c r="A68" s="30">
        <v>23</v>
      </c>
      <c r="C68" s="26" t="s">
        <v>186</v>
      </c>
      <c r="D68" s="54"/>
      <c r="E68" s="30">
        <v>23</v>
      </c>
      <c r="F68" s="55"/>
      <c r="G68" s="66"/>
      <c r="H68" s="67">
        <f>H58+H64+H65</f>
        <v>114331914</v>
      </c>
      <c r="I68" s="67"/>
      <c r="J68" s="67">
        <f>J58+J64+J65+J66</f>
        <v>125505508.66</v>
      </c>
      <c r="K68" s="67"/>
      <c r="L68" s="67"/>
      <c r="M68" s="67">
        <f>M58+M64+M65+M66</f>
        <v>132060490</v>
      </c>
    </row>
    <row r="69" spans="1:8" ht="12">
      <c r="A69" s="30">
        <v>24</v>
      </c>
      <c r="C69" s="53"/>
      <c r="D69" s="31"/>
      <c r="E69" s="30">
        <v>24</v>
      </c>
      <c r="H69" s="67"/>
    </row>
    <row r="70" spans="1:13" ht="12">
      <c r="A70" s="30">
        <v>25</v>
      </c>
      <c r="C70" s="31" t="s">
        <v>190</v>
      </c>
      <c r="D70" s="48" t="s">
        <v>236</v>
      </c>
      <c r="E70" s="30">
        <v>25</v>
      </c>
      <c r="G70" s="66"/>
      <c r="H70" s="67">
        <f aca="true" t="shared" si="2" ref="H70:M70">H375</f>
        <v>9152137</v>
      </c>
      <c r="I70" s="67">
        <f t="shared" si="2"/>
        <v>0</v>
      </c>
      <c r="J70" s="67">
        <f t="shared" si="2"/>
        <v>8853756.379999999</v>
      </c>
      <c r="K70" s="67">
        <f t="shared" si="2"/>
        <v>0</v>
      </c>
      <c r="L70" s="67">
        <f t="shared" si="2"/>
        <v>0</v>
      </c>
      <c r="M70" s="67">
        <f t="shared" si="2"/>
        <v>8484584</v>
      </c>
    </row>
    <row r="71" spans="1:13" ht="12">
      <c r="A71" s="26">
        <v>26</v>
      </c>
      <c r="E71" s="26">
        <v>26</v>
      </c>
      <c r="F71" s="40" t="s">
        <v>1</v>
      </c>
      <c r="G71" s="40"/>
      <c r="H71" s="40"/>
      <c r="I71" s="41"/>
      <c r="J71" s="42"/>
      <c r="K71" s="51"/>
      <c r="L71" s="41"/>
      <c r="M71" s="42"/>
    </row>
    <row r="72" spans="1:13" ht="15.75" customHeight="1">
      <c r="A72" s="30">
        <v>27</v>
      </c>
      <c r="C72" s="31" t="s">
        <v>222</v>
      </c>
      <c r="E72" s="30">
        <v>27</v>
      </c>
      <c r="F72" s="24"/>
      <c r="G72" s="66"/>
      <c r="H72" s="67">
        <f>SUM(H68,H70)</f>
        <v>123484051</v>
      </c>
      <c r="I72" s="66"/>
      <c r="J72" s="67">
        <f>SUM(J68,J70)</f>
        <v>134359265.04</v>
      </c>
      <c r="K72" s="50"/>
      <c r="L72" s="66"/>
      <c r="M72" s="67">
        <f>SUM(M68,M70)</f>
        <v>140545074</v>
      </c>
    </row>
    <row r="73" spans="1:13" ht="12">
      <c r="A73" s="30"/>
      <c r="C73" s="31"/>
      <c r="E73" s="30"/>
      <c r="F73" s="24"/>
      <c r="G73" s="50"/>
      <c r="H73" s="247">
        <f>H72-H53</f>
        <v>0</v>
      </c>
      <c r="I73" s="50"/>
      <c r="J73" s="247"/>
      <c r="K73" s="50"/>
      <c r="L73" s="50"/>
      <c r="M73" s="247">
        <f>M72-M53</f>
        <v>0</v>
      </c>
    </row>
    <row r="74" spans="3:13" ht="12">
      <c r="C74" s="57" t="s">
        <v>90</v>
      </c>
      <c r="D74" s="58"/>
      <c r="E74" s="57"/>
      <c r="F74" s="59"/>
      <c r="G74" s="59"/>
      <c r="H74" s="234">
        <v>15150522</v>
      </c>
      <c r="I74" s="60"/>
      <c r="J74" s="61">
        <v>17330877</v>
      </c>
      <c r="K74" s="62"/>
      <c r="L74" s="60"/>
      <c r="M74" s="245">
        <v>17245544</v>
      </c>
    </row>
    <row r="75" spans="4:13" ht="12">
      <c r="D75" s="48"/>
      <c r="F75" s="40"/>
      <c r="G75" s="40"/>
      <c r="H75" s="40"/>
      <c r="I75" s="41"/>
      <c r="K75" s="51"/>
      <c r="L75" s="41"/>
      <c r="M75" s="42"/>
    </row>
    <row r="76" ht="12">
      <c r="E76" s="69"/>
    </row>
    <row r="77" spans="1:15" ht="12">
      <c r="A77" s="38" t="str">
        <f>$A$35</f>
        <v>Institution No.:  GFD</v>
      </c>
      <c r="E77" s="69"/>
      <c r="I77" s="36"/>
      <c r="J77" s="74"/>
      <c r="L77" s="36"/>
      <c r="M77" s="37" t="s">
        <v>116</v>
      </c>
      <c r="N77" s="24"/>
      <c r="O77" s="78"/>
    </row>
    <row r="78" spans="1:15" s="65" customFormat="1" ht="12">
      <c r="A78" s="400" t="s">
        <v>117</v>
      </c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79"/>
      <c r="O78" s="80"/>
    </row>
    <row r="79" spans="1:15" ht="12">
      <c r="A79" s="38" t="s">
        <v>551</v>
      </c>
      <c r="C79" s="26" t="s">
        <v>552</v>
      </c>
      <c r="J79" s="74"/>
      <c r="L79" s="36"/>
      <c r="M79" s="39" t="str">
        <f>$M$3</f>
        <v>Date: 10/1/2009</v>
      </c>
      <c r="N79" s="24"/>
      <c r="O79" s="78"/>
    </row>
    <row r="80" spans="1:13" ht="12">
      <c r="A80" s="40" t="s">
        <v>1</v>
      </c>
      <c r="B80" s="40" t="s">
        <v>1</v>
      </c>
      <c r="C80" s="40" t="s">
        <v>1</v>
      </c>
      <c r="D80" s="40" t="s">
        <v>1</v>
      </c>
      <c r="E80" s="40" t="s">
        <v>1</v>
      </c>
      <c r="F80" s="40" t="s">
        <v>1</v>
      </c>
      <c r="G80" s="40"/>
      <c r="H80" s="40"/>
      <c r="I80" s="41" t="s">
        <v>1</v>
      </c>
      <c r="J80" s="42" t="s">
        <v>1</v>
      </c>
      <c r="K80" s="40" t="s">
        <v>1</v>
      </c>
      <c r="L80" s="41" t="s">
        <v>1</v>
      </c>
      <c r="M80" s="42" t="s">
        <v>1</v>
      </c>
    </row>
    <row r="81" spans="1:13" ht="12">
      <c r="A81" s="43" t="s">
        <v>2</v>
      </c>
      <c r="E81" s="43" t="s">
        <v>2</v>
      </c>
      <c r="G81" s="45"/>
      <c r="H81" s="46" t="s">
        <v>240</v>
      </c>
      <c r="I81" s="45"/>
      <c r="J81" s="46" t="s">
        <v>247</v>
      </c>
      <c r="K81" s="46"/>
      <c r="L81" s="296"/>
      <c r="M81" s="44" t="s">
        <v>576</v>
      </c>
    </row>
    <row r="82" spans="1:13" ht="12">
      <c r="A82" s="43" t="s">
        <v>4</v>
      </c>
      <c r="E82" s="43" t="s">
        <v>4</v>
      </c>
      <c r="G82" s="45"/>
      <c r="H82" s="46" t="s">
        <v>7</v>
      </c>
      <c r="I82" s="45"/>
      <c r="J82" s="46" t="s">
        <v>7</v>
      </c>
      <c r="K82" s="46"/>
      <c r="L82" s="296"/>
      <c r="M82" s="44" t="s">
        <v>8</v>
      </c>
    </row>
    <row r="83" spans="1:13" ht="12">
      <c r="A83" s="40" t="s">
        <v>1</v>
      </c>
      <c r="B83" s="40" t="s">
        <v>1</v>
      </c>
      <c r="C83" s="40" t="s">
        <v>1</v>
      </c>
      <c r="D83" s="40" t="s">
        <v>1</v>
      </c>
      <c r="E83" s="40" t="s">
        <v>1</v>
      </c>
      <c r="F83" s="40" t="s">
        <v>1</v>
      </c>
      <c r="G83" s="41" t="s">
        <v>1</v>
      </c>
      <c r="H83" s="42" t="s">
        <v>1</v>
      </c>
      <c r="I83" s="41" t="s">
        <v>1</v>
      </c>
      <c r="J83" s="42" t="s">
        <v>1</v>
      </c>
      <c r="K83" s="41" t="s">
        <v>1</v>
      </c>
      <c r="L83" s="297" t="s">
        <v>1</v>
      </c>
      <c r="M83" s="42" t="s">
        <v>1</v>
      </c>
    </row>
    <row r="84" spans="1:13" ht="12">
      <c r="A84" s="30">
        <v>1</v>
      </c>
      <c r="C84" s="31" t="s">
        <v>118</v>
      </c>
      <c r="E84" s="30">
        <v>1</v>
      </c>
      <c r="G84" s="36"/>
      <c r="H84" s="49"/>
      <c r="I84" s="36"/>
      <c r="J84" s="49"/>
      <c r="K84" s="49"/>
      <c r="L84" s="296"/>
      <c r="M84" s="26"/>
    </row>
    <row r="85" spans="1:13" ht="12">
      <c r="A85" s="48" t="s">
        <v>198</v>
      </c>
      <c r="C85" s="31" t="s">
        <v>201</v>
      </c>
      <c r="E85" s="48" t="s">
        <v>198</v>
      </c>
      <c r="F85" s="55"/>
      <c r="G85" s="81"/>
      <c r="H85" s="82"/>
      <c r="I85" s="81"/>
      <c r="J85" s="82"/>
      <c r="K85" s="82"/>
      <c r="L85" s="296"/>
      <c r="M85" s="26"/>
    </row>
    <row r="86" spans="1:13" ht="12">
      <c r="A86" s="48" t="s">
        <v>199</v>
      </c>
      <c r="C86" s="31" t="s">
        <v>202</v>
      </c>
      <c r="E86" s="48" t="s">
        <v>199</v>
      </c>
      <c r="F86" s="55"/>
      <c r="G86" s="81"/>
      <c r="H86" s="82"/>
      <c r="I86" s="81"/>
      <c r="J86" s="82">
        <v>0</v>
      </c>
      <c r="K86" s="82"/>
      <c r="L86" s="296"/>
      <c r="M86" s="294"/>
    </row>
    <row r="87" spans="1:13" ht="12">
      <c r="A87" s="48" t="s">
        <v>200</v>
      </c>
      <c r="C87" s="31" t="s">
        <v>203</v>
      </c>
      <c r="E87" s="48" t="s">
        <v>200</v>
      </c>
      <c r="F87" s="55"/>
      <c r="G87" s="81"/>
      <c r="H87" s="82">
        <v>6361.3</v>
      </c>
      <c r="I87" s="81"/>
      <c r="J87" s="82">
        <v>6634.42</v>
      </c>
      <c r="K87" s="82"/>
      <c r="L87" s="296"/>
      <c r="M87" s="294">
        <v>6951</v>
      </c>
    </row>
    <row r="88" spans="1:13" ht="12">
      <c r="A88" s="30">
        <v>3</v>
      </c>
      <c r="C88" s="31" t="s">
        <v>119</v>
      </c>
      <c r="E88" s="30">
        <v>3</v>
      </c>
      <c r="F88" s="55"/>
      <c r="G88" s="81"/>
      <c r="H88" s="82">
        <v>2123.1</v>
      </c>
      <c r="I88" s="81"/>
      <c r="J88" s="82">
        <v>2099.8</v>
      </c>
      <c r="K88" s="82"/>
      <c r="L88" s="296"/>
      <c r="M88" s="294">
        <v>2037</v>
      </c>
    </row>
    <row r="89" spans="1:13" ht="12">
      <c r="A89" s="30">
        <v>4</v>
      </c>
      <c r="C89" s="31" t="s">
        <v>120</v>
      </c>
      <c r="E89" s="30">
        <v>4</v>
      </c>
      <c r="F89" s="55"/>
      <c r="G89" s="81"/>
      <c r="H89" s="82">
        <f>SUM(H87:H88)</f>
        <v>8484.4</v>
      </c>
      <c r="I89" s="81"/>
      <c r="J89" s="82">
        <f>SUM(J87:J88)</f>
        <v>8734.220000000001</v>
      </c>
      <c r="K89" s="82"/>
      <c r="L89" s="296"/>
      <c r="M89" s="312">
        <f>SUM(M87:M88)</f>
        <v>8988</v>
      </c>
    </row>
    <row r="90" spans="1:13" ht="12">
      <c r="A90" s="30">
        <v>5</v>
      </c>
      <c r="E90" s="30">
        <v>5</v>
      </c>
      <c r="F90" s="55"/>
      <c r="G90" s="81"/>
      <c r="H90" s="82"/>
      <c r="I90" s="81"/>
      <c r="J90" s="82"/>
      <c r="K90" s="82"/>
      <c r="L90" s="296"/>
      <c r="M90" s="294"/>
    </row>
    <row r="91" spans="1:13" ht="12">
      <c r="A91" s="30">
        <v>6</v>
      </c>
      <c r="C91" s="31" t="s">
        <v>121</v>
      </c>
      <c r="E91" s="30">
        <v>6</v>
      </c>
      <c r="F91" s="55"/>
      <c r="G91" s="81"/>
      <c r="H91" s="82">
        <v>492.9</v>
      </c>
      <c r="I91" s="81"/>
      <c r="J91" s="82">
        <v>618.58</v>
      </c>
      <c r="K91" s="82"/>
      <c r="L91" s="296"/>
      <c r="M91" s="294">
        <v>654</v>
      </c>
    </row>
    <row r="92" spans="1:13" ht="12">
      <c r="A92" s="30">
        <v>7</v>
      </c>
      <c r="C92" s="31" t="s">
        <v>122</v>
      </c>
      <c r="E92" s="30">
        <v>7</v>
      </c>
      <c r="F92" s="55"/>
      <c r="G92" s="81"/>
      <c r="H92" s="82">
        <v>295.5</v>
      </c>
      <c r="I92" s="81"/>
      <c r="J92" s="82">
        <v>336.47</v>
      </c>
      <c r="K92" s="82"/>
      <c r="L92" s="296"/>
      <c r="M92" s="294">
        <v>333</v>
      </c>
    </row>
    <row r="93" spans="1:13" ht="12">
      <c r="A93" s="30">
        <v>8</v>
      </c>
      <c r="C93" s="31" t="s">
        <v>123</v>
      </c>
      <c r="E93" s="30">
        <v>8</v>
      </c>
      <c r="F93" s="55"/>
      <c r="G93" s="81"/>
      <c r="H93" s="82">
        <f>SUM(H91:H92)</f>
        <v>788.4</v>
      </c>
      <c r="I93" s="81"/>
      <c r="J93" s="82">
        <f>SUM(J91:J92)</f>
        <v>955.0500000000001</v>
      </c>
      <c r="K93" s="82"/>
      <c r="L93" s="296"/>
      <c r="M93" s="312">
        <f>SUM(M91:M92)</f>
        <v>987</v>
      </c>
    </row>
    <row r="94" spans="1:13" ht="12">
      <c r="A94" s="30">
        <v>9</v>
      </c>
      <c r="E94" s="30">
        <v>9</v>
      </c>
      <c r="F94" s="55"/>
      <c r="G94" s="81"/>
      <c r="H94" s="82"/>
      <c r="I94" s="81"/>
      <c r="J94" s="82"/>
      <c r="K94" s="82"/>
      <c r="L94" s="296"/>
      <c r="M94" s="294"/>
    </row>
    <row r="95" spans="1:13" ht="12">
      <c r="A95" s="30">
        <v>10</v>
      </c>
      <c r="C95" s="31" t="s">
        <v>124</v>
      </c>
      <c r="E95" s="30">
        <v>10</v>
      </c>
      <c r="F95" s="55"/>
      <c r="G95" s="81"/>
      <c r="H95" s="82">
        <f>H87+H91</f>
        <v>6854.2</v>
      </c>
      <c r="I95" s="81"/>
      <c r="J95" s="82">
        <f>J87+J91</f>
        <v>7253</v>
      </c>
      <c r="K95" s="82"/>
      <c r="L95" s="296"/>
      <c r="M95" s="312">
        <f>M87+M91</f>
        <v>7605</v>
      </c>
    </row>
    <row r="96" spans="1:13" ht="12">
      <c r="A96" s="30">
        <v>11</v>
      </c>
      <c r="C96" s="31" t="s">
        <v>125</v>
      </c>
      <c r="E96" s="30">
        <v>11</v>
      </c>
      <c r="F96" s="55"/>
      <c r="G96" s="81"/>
      <c r="H96" s="82">
        <f>H88+H92</f>
        <v>2418.6</v>
      </c>
      <c r="I96" s="81"/>
      <c r="J96" s="82">
        <f>J88+J92</f>
        <v>2436.2700000000004</v>
      </c>
      <c r="K96" s="82"/>
      <c r="L96" s="296"/>
      <c r="M96" s="312">
        <f>M88+M92</f>
        <v>2370</v>
      </c>
    </row>
    <row r="97" spans="1:13" ht="12">
      <c r="A97" s="30">
        <v>12</v>
      </c>
      <c r="C97" s="31" t="s">
        <v>126</v>
      </c>
      <c r="E97" s="30">
        <v>12</v>
      </c>
      <c r="F97" s="55"/>
      <c r="G97" s="81"/>
      <c r="H97" s="82">
        <f>H95+H96</f>
        <v>9272.8</v>
      </c>
      <c r="I97" s="81"/>
      <c r="J97" s="82">
        <f>J95+J96</f>
        <v>9689.27</v>
      </c>
      <c r="K97" s="82"/>
      <c r="L97" s="296"/>
      <c r="M97" s="312">
        <f>M95+M96</f>
        <v>9975</v>
      </c>
    </row>
    <row r="98" spans="1:13" ht="12">
      <c r="A98" s="30">
        <v>13</v>
      </c>
      <c r="E98" s="30">
        <v>13</v>
      </c>
      <c r="G98" s="81"/>
      <c r="H98" s="83"/>
      <c r="I98" s="81"/>
      <c r="J98" s="83"/>
      <c r="K98" s="83"/>
      <c r="L98" s="296"/>
      <c r="M98" s="294"/>
    </row>
    <row r="99" spans="1:13" ht="12">
      <c r="A99" s="30">
        <v>15</v>
      </c>
      <c r="C99" s="31" t="s">
        <v>127</v>
      </c>
      <c r="E99" s="30">
        <v>15</v>
      </c>
      <c r="G99" s="81"/>
      <c r="H99" s="85"/>
      <c r="I99" s="81"/>
      <c r="J99" s="85"/>
      <c r="K99" s="85"/>
      <c r="L99" s="296"/>
      <c r="M99" s="294"/>
    </row>
    <row r="100" spans="1:13" ht="12">
      <c r="A100" s="30">
        <v>16</v>
      </c>
      <c r="C100" s="31" t="s">
        <v>187</v>
      </c>
      <c r="E100" s="30">
        <v>16</v>
      </c>
      <c r="G100" s="81"/>
      <c r="H100" s="84">
        <f>(H72-H368)/H97</f>
        <v>12330.347252178415</v>
      </c>
      <c r="I100" s="84"/>
      <c r="J100" s="84">
        <f>(J72-J368)/J97</f>
        <v>13010.046955033764</v>
      </c>
      <c r="K100" s="84"/>
      <c r="L100" s="84"/>
      <c r="M100" s="84">
        <f>(M72-M368)/M97</f>
        <v>13327.72</v>
      </c>
    </row>
    <row r="101" spans="1:13" ht="12">
      <c r="A101" s="30">
        <v>17</v>
      </c>
      <c r="C101" s="31" t="s">
        <v>239</v>
      </c>
      <c r="E101" s="30">
        <v>17</v>
      </c>
      <c r="G101" s="81"/>
      <c r="H101" s="84">
        <v>2670</v>
      </c>
      <c r="I101" s="81"/>
      <c r="J101" s="84">
        <v>2040</v>
      </c>
      <c r="K101" s="84"/>
      <c r="L101" s="26"/>
      <c r="M101" s="243">
        <v>2040</v>
      </c>
    </row>
    <row r="102" spans="1:13" ht="12">
      <c r="A102" s="30">
        <v>18</v>
      </c>
      <c r="E102" s="30">
        <v>18</v>
      </c>
      <c r="G102" s="81"/>
      <c r="H102" s="84"/>
      <c r="I102" s="81"/>
      <c r="J102" s="84"/>
      <c r="K102" s="84"/>
      <c r="L102" s="296"/>
      <c r="M102" s="294"/>
    </row>
    <row r="103" spans="1:13" ht="12">
      <c r="A103" s="26">
        <v>19</v>
      </c>
      <c r="C103" s="31" t="s">
        <v>128</v>
      </c>
      <c r="E103" s="26">
        <v>19</v>
      </c>
      <c r="G103" s="81"/>
      <c r="H103" s="84"/>
      <c r="I103" s="81"/>
      <c r="J103" s="84"/>
      <c r="K103" s="84"/>
      <c r="L103" s="296"/>
      <c r="M103" s="294"/>
    </row>
    <row r="104" spans="1:13" ht="12">
      <c r="A104" s="30">
        <v>20</v>
      </c>
      <c r="C104" s="31" t="s">
        <v>129</v>
      </c>
      <c r="E104" s="30">
        <v>20</v>
      </c>
      <c r="F104" s="32"/>
      <c r="G104" s="2"/>
      <c r="H104" s="86">
        <v>671.2057159545577</v>
      </c>
      <c r="I104" s="2"/>
      <c r="J104" s="86">
        <v>694.7922925623761</v>
      </c>
      <c r="K104" s="86"/>
      <c r="L104" s="296"/>
      <c r="M104" s="239">
        <v>738.8299999999999</v>
      </c>
    </row>
    <row r="105" spans="1:13" ht="12">
      <c r="A105" s="30">
        <v>21</v>
      </c>
      <c r="C105" s="31" t="s">
        <v>130</v>
      </c>
      <c r="E105" s="30">
        <v>21</v>
      </c>
      <c r="F105" s="32"/>
      <c r="G105" s="2"/>
      <c r="H105" s="86">
        <v>514.4645074721111</v>
      </c>
      <c r="I105" s="2"/>
      <c r="J105" s="86">
        <v>548.0451162674151</v>
      </c>
      <c r="K105" s="86"/>
      <c r="L105" s="296"/>
      <c r="M105" s="239">
        <v>569.55</v>
      </c>
    </row>
    <row r="106" spans="1:13" ht="12">
      <c r="A106" s="30">
        <v>22</v>
      </c>
      <c r="C106" s="31" t="s">
        <v>131</v>
      </c>
      <c r="E106" s="30">
        <v>22</v>
      </c>
      <c r="F106" s="32"/>
      <c r="G106" s="2"/>
      <c r="H106" s="86">
        <v>156.74120848244655</v>
      </c>
      <c r="I106" s="2"/>
      <c r="J106" s="86">
        <v>146.74717629496098</v>
      </c>
      <c r="K106" s="86"/>
      <c r="L106" s="296"/>
      <c r="M106" s="239">
        <v>169.28</v>
      </c>
    </row>
    <row r="107" spans="1:13" ht="12">
      <c r="A107" s="30">
        <v>23</v>
      </c>
      <c r="E107" s="30">
        <v>23</v>
      </c>
      <c r="F107" s="32"/>
      <c r="G107" s="2"/>
      <c r="H107" s="86"/>
      <c r="I107" s="2"/>
      <c r="J107" s="2"/>
      <c r="K107" s="2"/>
      <c r="L107" s="296"/>
      <c r="M107" s="239"/>
    </row>
    <row r="108" spans="1:13" ht="12">
      <c r="A108" s="30">
        <v>24</v>
      </c>
      <c r="C108" s="31" t="s">
        <v>132</v>
      </c>
      <c r="E108" s="30">
        <v>24</v>
      </c>
      <c r="F108" s="32"/>
      <c r="G108" s="2"/>
      <c r="H108" s="2"/>
      <c r="I108" s="2"/>
      <c r="J108" s="2"/>
      <c r="K108" s="2"/>
      <c r="L108" s="296"/>
      <c r="M108" s="239"/>
    </row>
    <row r="109" spans="1:13" ht="12">
      <c r="A109" s="30">
        <v>25</v>
      </c>
      <c r="C109" s="31" t="s">
        <v>133</v>
      </c>
      <c r="E109" s="30">
        <v>25</v>
      </c>
      <c r="G109" s="81"/>
      <c r="H109" s="84">
        <v>80141.50762035795</v>
      </c>
      <c r="I109" s="81"/>
      <c r="J109" s="84">
        <v>86351.95819276263</v>
      </c>
      <c r="K109" s="84"/>
      <c r="L109" s="296"/>
      <c r="M109" s="243">
        <v>85578.94644234804</v>
      </c>
    </row>
    <row r="110" spans="1:13" ht="12">
      <c r="A110" s="30">
        <v>26</v>
      </c>
      <c r="C110" s="31" t="s">
        <v>134</v>
      </c>
      <c r="E110" s="30">
        <v>26</v>
      </c>
      <c r="G110" s="81"/>
      <c r="H110" s="84">
        <v>94256.96096757213</v>
      </c>
      <c r="I110" s="81"/>
      <c r="J110" s="84">
        <v>99967.5179538817</v>
      </c>
      <c r="K110" s="84"/>
      <c r="L110" s="296"/>
      <c r="M110" s="243">
        <v>100462.57396189975</v>
      </c>
    </row>
    <row r="111" spans="1:13" ht="12">
      <c r="A111" s="30">
        <v>27</v>
      </c>
      <c r="C111" s="31" t="s">
        <v>135</v>
      </c>
      <c r="E111" s="30">
        <v>27</v>
      </c>
      <c r="G111" s="81"/>
      <c r="H111" s="84">
        <v>33811</v>
      </c>
      <c r="I111" s="81"/>
      <c r="J111" s="84">
        <v>35503</v>
      </c>
      <c r="K111" s="84"/>
      <c r="L111" s="296"/>
      <c r="M111" s="243">
        <v>35502.3275047259</v>
      </c>
    </row>
    <row r="112" spans="1:13" ht="12">
      <c r="A112" s="30">
        <v>28</v>
      </c>
      <c r="E112" s="30">
        <v>28</v>
      </c>
      <c r="G112" s="81"/>
      <c r="H112" s="84"/>
      <c r="I112" s="81"/>
      <c r="J112" s="84"/>
      <c r="K112" s="84"/>
      <c r="L112" s="296"/>
      <c r="M112" s="242"/>
    </row>
    <row r="113" spans="1:13" ht="12">
      <c r="A113" s="30">
        <v>29</v>
      </c>
      <c r="C113" s="31" t="s">
        <v>136</v>
      </c>
      <c r="E113" s="30">
        <v>29</v>
      </c>
      <c r="F113" s="87"/>
      <c r="G113" s="81"/>
      <c r="H113" s="82">
        <v>1094.9521424864943</v>
      </c>
      <c r="I113" s="81"/>
      <c r="J113" s="82">
        <v>1155.4818271218526</v>
      </c>
      <c r="K113" s="82"/>
      <c r="L113" s="296"/>
      <c r="M113" s="312">
        <v>1177.62</v>
      </c>
    </row>
    <row r="114" spans="1:13" ht="12">
      <c r="A114" s="31"/>
      <c r="J114" s="74"/>
      <c r="M114" s="74"/>
    </row>
    <row r="115" spans="1:13" ht="12">
      <c r="A115" s="31"/>
      <c r="J115" s="74"/>
      <c r="M115" s="74"/>
    </row>
    <row r="116" spans="1:13" ht="12">
      <c r="A116" s="31"/>
      <c r="J116" s="74"/>
      <c r="M116" s="74"/>
    </row>
    <row r="117" spans="1:13" ht="12">
      <c r="A117" s="31"/>
      <c r="J117" s="74"/>
      <c r="M117" s="74"/>
    </row>
    <row r="118" spans="1:13" ht="12">
      <c r="A118" s="31"/>
      <c r="J118" s="74"/>
      <c r="M118" s="74"/>
    </row>
    <row r="119" spans="1:13" ht="12">
      <c r="A119" s="31"/>
      <c r="J119" s="74"/>
      <c r="M119" s="74"/>
    </row>
    <row r="120" spans="1:13" ht="12">
      <c r="A120" s="31"/>
      <c r="J120" s="74"/>
      <c r="M120" s="74"/>
    </row>
    <row r="121" spans="1:13" ht="12">
      <c r="A121" s="31"/>
      <c r="J121" s="74"/>
      <c r="M121" s="74"/>
    </row>
    <row r="122" spans="1:13" ht="12">
      <c r="A122" s="31"/>
      <c r="J122" s="74"/>
      <c r="M122" s="74"/>
    </row>
    <row r="123" spans="1:13" ht="12">
      <c r="A123" s="31"/>
      <c r="J123" s="74"/>
      <c r="M123" s="74"/>
    </row>
    <row r="124" spans="1:13" ht="12">
      <c r="A124" s="31"/>
      <c r="J124" s="74"/>
      <c r="M124" s="74"/>
    </row>
    <row r="125" spans="1:13" ht="12">
      <c r="A125" s="31"/>
      <c r="J125" s="74"/>
      <c r="M125" s="74"/>
    </row>
    <row r="126" spans="5:15" ht="12">
      <c r="E126" s="69"/>
      <c r="I126" s="36"/>
      <c r="J126" s="74"/>
      <c r="K126" s="24"/>
      <c r="M126" s="74"/>
      <c r="O126" s="78"/>
    </row>
    <row r="127" spans="1:15" ht="12">
      <c r="A127" s="38" t="str">
        <f>$A$35</f>
        <v>Institution No.:  GFD</v>
      </c>
      <c r="E127" s="69"/>
      <c r="I127" s="36"/>
      <c r="J127" s="74"/>
      <c r="L127" s="36"/>
      <c r="M127" s="37" t="s">
        <v>137</v>
      </c>
      <c r="N127" s="24"/>
      <c r="O127" s="78"/>
    </row>
    <row r="128" spans="1:15" s="65" customFormat="1" ht="12">
      <c r="A128" s="400" t="s">
        <v>160</v>
      </c>
      <c r="B128" s="400"/>
      <c r="C128" s="400"/>
      <c r="D128" s="400"/>
      <c r="E128" s="400"/>
      <c r="F128" s="400"/>
      <c r="G128" s="400"/>
      <c r="H128" s="400"/>
      <c r="I128" s="400"/>
      <c r="J128" s="400"/>
      <c r="K128" s="400"/>
      <c r="L128" s="400"/>
      <c r="M128" s="400"/>
      <c r="N128" s="79"/>
      <c r="O128" s="80"/>
    </row>
    <row r="129" spans="1:15" ht="12">
      <c r="A129" s="38" t="s">
        <v>551</v>
      </c>
      <c r="C129" s="26" t="s">
        <v>552</v>
      </c>
      <c r="J129" s="74"/>
      <c r="L129" s="36"/>
      <c r="M129" s="39" t="str">
        <f>$M$3</f>
        <v>Date: 10/1/2009</v>
      </c>
      <c r="N129" s="24"/>
      <c r="O129" s="78"/>
    </row>
    <row r="130" spans="1:13" ht="12">
      <c r="A130" s="40" t="s">
        <v>1</v>
      </c>
      <c r="B130" s="40" t="s">
        <v>1</v>
      </c>
      <c r="C130" s="40" t="s">
        <v>1</v>
      </c>
      <c r="D130" s="40" t="s">
        <v>1</v>
      </c>
      <c r="E130" s="40" t="s">
        <v>1</v>
      </c>
      <c r="F130" s="40" t="s">
        <v>1</v>
      </c>
      <c r="G130" s="40"/>
      <c r="H130" s="40"/>
      <c r="I130" s="41" t="s">
        <v>1</v>
      </c>
      <c r="J130" s="42" t="s">
        <v>1</v>
      </c>
      <c r="K130" s="40" t="s">
        <v>1</v>
      </c>
      <c r="L130" s="41" t="s">
        <v>1</v>
      </c>
      <c r="M130" s="42" t="s">
        <v>1</v>
      </c>
    </row>
    <row r="131" spans="1:13" ht="12">
      <c r="A131" s="43" t="s">
        <v>2</v>
      </c>
      <c r="E131" s="43" t="s">
        <v>2</v>
      </c>
      <c r="G131" s="45"/>
      <c r="H131" s="46" t="s">
        <v>240</v>
      </c>
      <c r="I131" s="45"/>
      <c r="J131" s="46" t="s">
        <v>247</v>
      </c>
      <c r="K131" s="46"/>
      <c r="L131" s="296"/>
      <c r="M131" s="44" t="s">
        <v>576</v>
      </c>
    </row>
    <row r="132" spans="1:13" ht="12">
      <c r="A132" s="43" t="s">
        <v>4</v>
      </c>
      <c r="C132" s="31" t="s">
        <v>0</v>
      </c>
      <c r="E132" s="43" t="s">
        <v>4</v>
      </c>
      <c r="G132" s="45"/>
      <c r="H132" s="46" t="s">
        <v>7</v>
      </c>
      <c r="I132" s="45"/>
      <c r="J132" s="46" t="s">
        <v>7</v>
      </c>
      <c r="K132" s="46"/>
      <c r="L132" s="296"/>
      <c r="M132" s="44" t="s">
        <v>8</v>
      </c>
    </row>
    <row r="133" spans="1:13" ht="12">
      <c r="A133" s="40" t="s">
        <v>1</v>
      </c>
      <c r="B133" s="40" t="s">
        <v>1</v>
      </c>
      <c r="C133" s="40" t="s">
        <v>1</v>
      </c>
      <c r="D133" s="40" t="s">
        <v>1</v>
      </c>
      <c r="E133" s="40" t="s">
        <v>1</v>
      </c>
      <c r="F133" s="40" t="s">
        <v>1</v>
      </c>
      <c r="G133" s="41" t="s">
        <v>1</v>
      </c>
      <c r="H133" s="42" t="s">
        <v>1</v>
      </c>
      <c r="I133" s="41" t="s">
        <v>1</v>
      </c>
      <c r="J133" s="42" t="s">
        <v>1</v>
      </c>
      <c r="K133" s="41" t="s">
        <v>1</v>
      </c>
      <c r="L133" s="297" t="s">
        <v>1</v>
      </c>
      <c r="M133" s="42" t="s">
        <v>1</v>
      </c>
    </row>
    <row r="134" spans="1:13" ht="12">
      <c r="A134" s="30">
        <v>1</v>
      </c>
      <c r="C134" s="31" t="s">
        <v>138</v>
      </c>
      <c r="E134" s="30">
        <v>1</v>
      </c>
      <c r="G134" s="81"/>
      <c r="H134" s="81"/>
      <c r="I134" s="88"/>
      <c r="J134" s="237"/>
      <c r="K134" s="237"/>
      <c r="L134" s="296"/>
      <c r="M134" s="26"/>
    </row>
    <row r="135" spans="1:13" ht="12">
      <c r="A135" s="30">
        <f aca="true" t="shared" si="3" ref="A135:A161">(A134+1)</f>
        <v>2</v>
      </c>
      <c r="C135" s="31" t="s">
        <v>139</v>
      </c>
      <c r="E135" s="30">
        <f aca="true" t="shared" si="4" ref="E135:E161">(E134+1)</f>
        <v>2</v>
      </c>
      <c r="F135" s="55"/>
      <c r="G135" s="81"/>
      <c r="H135" s="81"/>
      <c r="I135" s="88"/>
      <c r="J135" s="235"/>
      <c r="K135" s="235"/>
      <c r="L135" s="296"/>
      <c r="M135" s="26"/>
    </row>
    <row r="136" spans="1:13" ht="12">
      <c r="A136" s="30">
        <f t="shared" si="3"/>
        <v>3</v>
      </c>
      <c r="C136" s="31" t="s">
        <v>485</v>
      </c>
      <c r="E136" s="30">
        <f t="shared" si="4"/>
        <v>3</v>
      </c>
      <c r="F136" s="55"/>
      <c r="G136" s="81"/>
      <c r="H136" s="81">
        <f>(2527*2)</f>
        <v>5054</v>
      </c>
      <c r="I136" s="88"/>
      <c r="J136" s="235">
        <f>(2742*2)</f>
        <v>5484</v>
      </c>
      <c r="K136" s="235"/>
      <c r="L136" s="296"/>
      <c r="M136" s="123">
        <f>2856*2</f>
        <v>5712</v>
      </c>
    </row>
    <row r="137" spans="1:13" ht="12">
      <c r="A137" s="30">
        <f t="shared" si="3"/>
        <v>4</v>
      </c>
      <c r="C137" s="31"/>
      <c r="E137" s="30">
        <f t="shared" si="4"/>
        <v>4</v>
      </c>
      <c r="F137" s="55"/>
      <c r="G137" s="81"/>
      <c r="H137" s="81"/>
      <c r="I137" s="88"/>
      <c r="J137" s="235"/>
      <c r="K137" s="235"/>
      <c r="L137" s="296"/>
      <c r="M137" s="123"/>
    </row>
    <row r="138" spans="1:13" ht="12">
      <c r="A138" s="30">
        <f t="shared" si="3"/>
        <v>5</v>
      </c>
      <c r="C138" s="26" t="s">
        <v>486</v>
      </c>
      <c r="E138" s="30">
        <f t="shared" si="4"/>
        <v>5</v>
      </c>
      <c r="F138" s="55"/>
      <c r="G138" s="81"/>
      <c r="H138" s="81">
        <f>(2592*2)</f>
        <v>5184</v>
      </c>
      <c r="I138" s="88"/>
      <c r="J138" s="235">
        <f>(2812*2)</f>
        <v>5624</v>
      </c>
      <c r="K138" s="235"/>
      <c r="L138" s="296"/>
      <c r="M138" s="123">
        <f>3065*2</f>
        <v>6130</v>
      </c>
    </row>
    <row r="139" spans="1:13" ht="12">
      <c r="A139" s="30">
        <f t="shared" si="3"/>
        <v>6</v>
      </c>
      <c r="C139" s="31"/>
      <c r="E139" s="30">
        <f t="shared" si="4"/>
        <v>6</v>
      </c>
      <c r="F139" s="55"/>
      <c r="G139" s="81"/>
      <c r="H139" s="81"/>
      <c r="I139" s="88"/>
      <c r="J139" s="235"/>
      <c r="K139" s="235"/>
      <c r="L139" s="296"/>
      <c r="M139" s="123"/>
    </row>
    <row r="140" spans="1:13" ht="12">
      <c r="A140" s="30">
        <f t="shared" si="3"/>
        <v>7</v>
      </c>
      <c r="C140" s="31" t="s">
        <v>0</v>
      </c>
      <c r="E140" s="30">
        <f t="shared" si="4"/>
        <v>7</v>
      </c>
      <c r="F140" s="55"/>
      <c r="G140" s="81"/>
      <c r="H140" s="81"/>
      <c r="I140" s="88"/>
      <c r="J140" s="249" t="s">
        <v>0</v>
      </c>
      <c r="K140" s="249"/>
      <c r="L140" s="296"/>
      <c r="M140" s="123"/>
    </row>
    <row r="141" spans="1:13" ht="12">
      <c r="A141" s="30">
        <f t="shared" si="3"/>
        <v>8</v>
      </c>
      <c r="E141" s="30">
        <f t="shared" si="4"/>
        <v>8</v>
      </c>
      <c r="G141" s="81"/>
      <c r="H141" s="81"/>
      <c r="I141" s="88"/>
      <c r="J141" s="235"/>
      <c r="K141" s="235"/>
      <c r="L141" s="296"/>
      <c r="M141" s="123"/>
    </row>
    <row r="142" spans="1:13" ht="12">
      <c r="A142" s="30">
        <f t="shared" si="3"/>
        <v>9</v>
      </c>
      <c r="C142" s="31" t="s">
        <v>0</v>
      </c>
      <c r="E142" s="30">
        <f t="shared" si="4"/>
        <v>9</v>
      </c>
      <c r="G142" s="81"/>
      <c r="H142" s="81"/>
      <c r="I142" s="88"/>
      <c r="J142" s="235"/>
      <c r="K142" s="235"/>
      <c r="L142" s="296"/>
      <c r="M142" s="123"/>
    </row>
    <row r="143" spans="1:13" ht="12">
      <c r="A143" s="30">
        <f t="shared" si="3"/>
        <v>10</v>
      </c>
      <c r="C143" s="31" t="s">
        <v>0</v>
      </c>
      <c r="E143" s="30">
        <f t="shared" si="4"/>
        <v>10</v>
      </c>
      <c r="G143" s="81"/>
      <c r="H143" s="81"/>
      <c r="I143" s="88"/>
      <c r="J143" s="235"/>
      <c r="K143" s="235"/>
      <c r="L143" s="296"/>
      <c r="M143" s="123"/>
    </row>
    <row r="144" spans="1:13" ht="12">
      <c r="A144" s="30">
        <f t="shared" si="3"/>
        <v>11</v>
      </c>
      <c r="C144" s="31" t="s">
        <v>141</v>
      </c>
      <c r="E144" s="30">
        <f t="shared" si="4"/>
        <v>11</v>
      </c>
      <c r="G144" s="81"/>
      <c r="H144" s="81"/>
      <c r="I144" s="88"/>
      <c r="J144" s="235"/>
      <c r="K144" s="235"/>
      <c r="L144" s="296"/>
      <c r="M144" s="123"/>
    </row>
    <row r="145" spans="1:13" ht="12">
      <c r="A145" s="30">
        <f t="shared" si="3"/>
        <v>12</v>
      </c>
      <c r="C145" s="31" t="s">
        <v>139</v>
      </c>
      <c r="E145" s="30">
        <f t="shared" si="4"/>
        <v>12</v>
      </c>
      <c r="G145" s="81"/>
      <c r="H145" s="81"/>
      <c r="I145" s="88"/>
      <c r="J145" s="235"/>
      <c r="K145" s="235"/>
      <c r="L145" s="296"/>
      <c r="M145" s="123"/>
    </row>
    <row r="146" spans="1:13" ht="12">
      <c r="A146" s="30">
        <f t="shared" si="3"/>
        <v>13</v>
      </c>
      <c r="C146" s="31" t="s">
        <v>487</v>
      </c>
      <c r="E146" s="30">
        <f t="shared" si="4"/>
        <v>13</v>
      </c>
      <c r="G146" s="81"/>
      <c r="H146" s="81">
        <f>3478*2</f>
        <v>6956</v>
      </c>
      <c r="I146" s="88"/>
      <c r="J146" s="235">
        <f>3565*2</f>
        <v>7130</v>
      </c>
      <c r="K146" s="235"/>
      <c r="L146" s="296"/>
      <c r="M146" s="310">
        <f>3565*2</f>
        <v>7130</v>
      </c>
    </row>
    <row r="147" spans="1:13" ht="12">
      <c r="A147" s="30">
        <f t="shared" si="3"/>
        <v>14</v>
      </c>
      <c r="C147" s="31" t="s">
        <v>488</v>
      </c>
      <c r="E147" s="30">
        <f t="shared" si="4"/>
        <v>14</v>
      </c>
      <c r="F147" s="32"/>
      <c r="G147" s="2"/>
      <c r="H147" s="2">
        <f>4193*2</f>
        <v>8386</v>
      </c>
      <c r="I147" s="90"/>
      <c r="J147" s="236">
        <f>4298*2</f>
        <v>8596</v>
      </c>
      <c r="K147" s="236"/>
      <c r="L147" s="296"/>
      <c r="M147" s="119">
        <f>4298*2</f>
        <v>8596</v>
      </c>
    </row>
    <row r="148" spans="1:13" ht="12">
      <c r="A148" s="30">
        <f t="shared" si="3"/>
        <v>15</v>
      </c>
      <c r="C148" s="31" t="s">
        <v>489</v>
      </c>
      <c r="E148" s="30">
        <f t="shared" si="4"/>
        <v>15</v>
      </c>
      <c r="F148" s="32"/>
      <c r="G148" s="2"/>
      <c r="H148" s="2">
        <f>4862*2</f>
        <v>9724</v>
      </c>
      <c r="I148" s="90"/>
      <c r="J148" s="236">
        <f>4984*2</f>
        <v>9968</v>
      </c>
      <c r="K148" s="236"/>
      <c r="L148" s="296"/>
      <c r="M148" s="119">
        <f>4984*2</f>
        <v>9968</v>
      </c>
    </row>
    <row r="149" spans="1:13" ht="12">
      <c r="A149" s="30">
        <f t="shared" si="3"/>
        <v>16</v>
      </c>
      <c r="C149" s="31" t="s">
        <v>490</v>
      </c>
      <c r="E149" s="30">
        <f t="shared" si="4"/>
        <v>16</v>
      </c>
      <c r="F149" s="32"/>
      <c r="G149" s="2"/>
      <c r="H149" s="2">
        <f>3743*2</f>
        <v>7486</v>
      </c>
      <c r="I149" s="90"/>
      <c r="J149" s="236">
        <f>3837*2</f>
        <v>7674</v>
      </c>
      <c r="K149" s="236"/>
      <c r="L149" s="296"/>
      <c r="M149" s="119">
        <f>3837*2</f>
        <v>7674</v>
      </c>
    </row>
    <row r="150" spans="1:13" ht="12">
      <c r="A150" s="30">
        <f t="shared" si="3"/>
        <v>17</v>
      </c>
      <c r="C150" s="31" t="s">
        <v>491</v>
      </c>
      <c r="E150" s="30">
        <f t="shared" si="4"/>
        <v>17</v>
      </c>
      <c r="F150" s="32"/>
      <c r="G150" s="2"/>
      <c r="H150" s="2">
        <f>4862*2</f>
        <v>9724</v>
      </c>
      <c r="I150" s="90"/>
      <c r="J150" s="236">
        <f>4984*2</f>
        <v>9968</v>
      </c>
      <c r="K150" s="236"/>
      <c r="L150" s="296"/>
      <c r="M150" s="119">
        <f>4984*2</f>
        <v>9968</v>
      </c>
    </row>
    <row r="151" spans="1:13" ht="12">
      <c r="A151" s="30">
        <f t="shared" si="3"/>
        <v>18</v>
      </c>
      <c r="C151" s="31" t="s">
        <v>602</v>
      </c>
      <c r="E151" s="30">
        <f t="shared" si="4"/>
        <v>18</v>
      </c>
      <c r="F151" s="32"/>
      <c r="G151" s="2"/>
      <c r="H151" s="2">
        <f>4837*2</f>
        <v>9674</v>
      </c>
      <c r="I151" s="90"/>
      <c r="J151" s="236">
        <f>4958*2</f>
        <v>9916</v>
      </c>
      <c r="K151" s="236"/>
      <c r="L151" s="296"/>
      <c r="M151" s="119">
        <f>4958*2</f>
        <v>9916</v>
      </c>
    </row>
    <row r="152" spans="1:13" ht="12">
      <c r="A152" s="30">
        <f t="shared" si="3"/>
        <v>19</v>
      </c>
      <c r="C152" s="26" t="s">
        <v>492</v>
      </c>
      <c r="E152" s="30">
        <f t="shared" si="4"/>
        <v>19</v>
      </c>
      <c r="G152" s="81"/>
      <c r="H152" s="81">
        <f>4233*2</f>
        <v>8466</v>
      </c>
      <c r="I152" s="88"/>
      <c r="J152" s="235">
        <f>4339*2</f>
        <v>8678</v>
      </c>
      <c r="K152" s="235"/>
      <c r="L152" s="296"/>
      <c r="M152" s="310">
        <f>4339*2</f>
        <v>8678</v>
      </c>
    </row>
    <row r="153" spans="1:13" ht="12">
      <c r="A153" s="30">
        <f t="shared" si="3"/>
        <v>20</v>
      </c>
      <c r="C153" s="26" t="s">
        <v>493</v>
      </c>
      <c r="E153" s="30">
        <f t="shared" si="4"/>
        <v>20</v>
      </c>
      <c r="G153" s="81"/>
      <c r="H153" s="81">
        <f>4233*2</f>
        <v>8466</v>
      </c>
      <c r="I153" s="88"/>
      <c r="J153" s="235">
        <f>4339*2</f>
        <v>8678</v>
      </c>
      <c r="K153" s="235"/>
      <c r="L153" s="296"/>
      <c r="M153" s="310">
        <f>4339*2</f>
        <v>8678</v>
      </c>
    </row>
    <row r="154" spans="1:13" ht="12">
      <c r="A154" s="30">
        <f t="shared" si="3"/>
        <v>21</v>
      </c>
      <c r="E154" s="30">
        <f t="shared" si="4"/>
        <v>21</v>
      </c>
      <c r="G154" s="81"/>
      <c r="H154" s="81"/>
      <c r="I154" s="88"/>
      <c r="J154" s="235"/>
      <c r="K154" s="235"/>
      <c r="L154" s="296"/>
      <c r="M154" s="26"/>
    </row>
    <row r="155" spans="1:13" ht="12">
      <c r="A155" s="30">
        <f t="shared" si="3"/>
        <v>22</v>
      </c>
      <c r="E155" s="30">
        <f t="shared" si="4"/>
        <v>22</v>
      </c>
      <c r="G155" s="81"/>
      <c r="H155" s="81"/>
      <c r="I155" s="88"/>
      <c r="J155" s="235"/>
      <c r="K155" s="235"/>
      <c r="L155" s="296"/>
      <c r="M155" s="26"/>
    </row>
    <row r="156" spans="1:13" ht="12">
      <c r="A156" s="30">
        <f t="shared" si="3"/>
        <v>23</v>
      </c>
      <c r="C156" s="31" t="s">
        <v>142</v>
      </c>
      <c r="E156" s="30">
        <f t="shared" si="4"/>
        <v>23</v>
      </c>
      <c r="G156" s="81"/>
      <c r="H156" s="81"/>
      <c r="I156" s="88"/>
      <c r="J156" s="237"/>
      <c r="K156" s="237"/>
      <c r="L156" s="296"/>
      <c r="M156" s="26"/>
    </row>
    <row r="157" spans="1:13" ht="12">
      <c r="A157" s="30">
        <f t="shared" si="3"/>
        <v>24</v>
      </c>
      <c r="C157" s="31" t="s">
        <v>139</v>
      </c>
      <c r="E157" s="30">
        <f t="shared" si="4"/>
        <v>24</v>
      </c>
      <c r="G157" s="81"/>
      <c r="H157" s="81"/>
      <c r="I157" s="88"/>
      <c r="J157" s="237"/>
      <c r="K157" s="237"/>
      <c r="L157" s="296"/>
      <c r="M157" s="26"/>
    </row>
    <row r="158" spans="1:13" ht="12">
      <c r="A158" s="30">
        <f t="shared" si="3"/>
        <v>25</v>
      </c>
      <c r="C158" s="31" t="s">
        <v>140</v>
      </c>
      <c r="E158" s="30">
        <f t="shared" si="4"/>
        <v>25</v>
      </c>
      <c r="G158" s="84"/>
      <c r="H158" s="84"/>
      <c r="I158" s="91"/>
      <c r="J158" s="238"/>
      <c r="K158" s="238"/>
      <c r="L158" s="296"/>
      <c r="M158" s="26"/>
    </row>
    <row r="159" spans="1:13" ht="12">
      <c r="A159" s="30">
        <f t="shared" si="3"/>
        <v>26</v>
      </c>
      <c r="C159" s="31" t="s">
        <v>0</v>
      </c>
      <c r="E159" s="30">
        <f t="shared" si="4"/>
        <v>26</v>
      </c>
      <c r="G159" s="81"/>
      <c r="H159" s="81"/>
      <c r="I159" s="88"/>
      <c r="J159" s="237"/>
      <c r="K159" s="237"/>
      <c r="L159" s="296"/>
      <c r="M159" s="26"/>
    </row>
    <row r="160" spans="1:13" ht="12">
      <c r="A160" s="30">
        <f t="shared" si="3"/>
        <v>27</v>
      </c>
      <c r="C160" s="31" t="s">
        <v>0</v>
      </c>
      <c r="E160" s="30">
        <f t="shared" si="4"/>
        <v>27</v>
      </c>
      <c r="G160" s="81"/>
      <c r="H160" s="81"/>
      <c r="I160" s="88"/>
      <c r="J160" s="237"/>
      <c r="K160" s="237"/>
      <c r="L160" s="296"/>
      <c r="M160" s="26"/>
    </row>
    <row r="161" spans="1:13" ht="12">
      <c r="A161" s="30">
        <f t="shared" si="3"/>
        <v>28</v>
      </c>
      <c r="C161" s="31" t="s">
        <v>0</v>
      </c>
      <c r="E161" s="30">
        <f t="shared" si="4"/>
        <v>28</v>
      </c>
      <c r="G161" s="81"/>
      <c r="H161" s="81"/>
      <c r="I161" s="88"/>
      <c r="J161" s="237"/>
      <c r="K161" s="237"/>
      <c r="L161" s="296"/>
      <c r="M161" s="26"/>
    </row>
    <row r="162" spans="1:13" ht="12">
      <c r="A162" s="30"/>
      <c r="C162" s="31" t="s">
        <v>0</v>
      </c>
      <c r="E162" s="69"/>
      <c r="F162" s="78"/>
      <c r="G162" s="36"/>
      <c r="H162" s="74"/>
      <c r="I162" s="36"/>
      <c r="J162" s="74"/>
      <c r="K162" s="74"/>
      <c r="L162" s="296"/>
      <c r="M162" s="26"/>
    </row>
    <row r="163" spans="1:13" ht="12">
      <c r="A163" s="30"/>
      <c r="E163" s="69"/>
      <c r="G163" s="27"/>
      <c r="H163" s="28"/>
      <c r="K163" s="28"/>
      <c r="L163" s="296"/>
      <c r="M163" s="26"/>
    </row>
    <row r="164" spans="1:12" s="92" customFormat="1" ht="9">
      <c r="A164" s="92" t="s">
        <v>249</v>
      </c>
      <c r="G164" s="93"/>
      <c r="H164" s="94"/>
      <c r="I164" s="93"/>
      <c r="J164" s="94"/>
      <c r="K164" s="94"/>
      <c r="L164" s="311"/>
    </row>
    <row r="165" spans="1:12" s="92" customFormat="1" ht="9">
      <c r="A165" s="95" t="s">
        <v>161</v>
      </c>
      <c r="G165" s="93"/>
      <c r="H165" s="94"/>
      <c r="I165" s="93"/>
      <c r="J165" s="94"/>
      <c r="K165" s="94"/>
      <c r="L165" s="311"/>
    </row>
    <row r="166" spans="1:13" ht="12">
      <c r="A166" s="31"/>
      <c r="J166" s="74"/>
      <c r="M166" s="74"/>
    </row>
    <row r="167" spans="1:13" ht="12">
      <c r="A167" s="31"/>
      <c r="J167" s="74"/>
      <c r="M167" s="74"/>
    </row>
    <row r="168" spans="1:13" ht="12">
      <c r="A168" s="31"/>
      <c r="J168" s="74"/>
      <c r="M168" s="74"/>
    </row>
    <row r="169" spans="1:13" ht="12">
      <c r="A169" s="31"/>
      <c r="J169" s="74"/>
      <c r="M169" s="74"/>
    </row>
    <row r="170" spans="1:13" ht="12">
      <c r="A170" s="31"/>
      <c r="J170" s="74"/>
      <c r="M170" s="74"/>
    </row>
    <row r="171" spans="1:13" ht="12">
      <c r="A171" s="31"/>
      <c r="J171" s="74"/>
      <c r="M171" s="74"/>
    </row>
    <row r="172" spans="1:13" ht="12">
      <c r="A172" s="31"/>
      <c r="J172" s="74"/>
      <c r="M172" s="74"/>
    </row>
    <row r="173" spans="1:13" ht="12">
      <c r="A173" s="31"/>
      <c r="J173" s="74"/>
      <c r="M173" s="74"/>
    </row>
    <row r="174" spans="1:13" ht="12">
      <c r="A174" s="31"/>
      <c r="J174" s="74"/>
      <c r="M174" s="74"/>
    </row>
    <row r="175" spans="5:15" ht="12">
      <c r="E175" s="69"/>
      <c r="I175" s="36"/>
      <c r="J175" s="74"/>
      <c r="K175" s="24"/>
      <c r="M175" s="74"/>
      <c r="O175" s="78"/>
    </row>
    <row r="176" spans="1:15" ht="12">
      <c r="A176" s="38" t="str">
        <f>$A$35</f>
        <v>Institution No.:  GFD</v>
      </c>
      <c r="E176" s="69"/>
      <c r="I176" s="36"/>
      <c r="J176" s="74"/>
      <c r="L176" s="36"/>
      <c r="M176" s="37" t="s">
        <v>143</v>
      </c>
      <c r="N176" s="24"/>
      <c r="O176" s="78"/>
    </row>
    <row r="177" spans="1:15" ht="12.75" customHeight="1">
      <c r="A177" s="400" t="s">
        <v>144</v>
      </c>
      <c r="B177" s="400"/>
      <c r="C177" s="400"/>
      <c r="D177" s="400"/>
      <c r="E177" s="400"/>
      <c r="F177" s="400"/>
      <c r="G177" s="400"/>
      <c r="H177" s="400"/>
      <c r="I177" s="400"/>
      <c r="J177" s="400"/>
      <c r="K177" s="400"/>
      <c r="L177" s="400"/>
      <c r="M177" s="400"/>
      <c r="N177" s="24"/>
      <c r="O177" s="78"/>
    </row>
    <row r="178" spans="1:15" ht="12">
      <c r="A178" s="38" t="s">
        <v>551</v>
      </c>
      <c r="C178" s="26" t="s">
        <v>552</v>
      </c>
      <c r="J178" s="74"/>
      <c r="L178" s="36"/>
      <c r="M178" s="39" t="str">
        <f>$M$3</f>
        <v>Date: 10/1/2009</v>
      </c>
      <c r="N178" s="24"/>
      <c r="O178" s="78"/>
    </row>
    <row r="179" spans="1:13" ht="12">
      <c r="A179" s="40" t="s">
        <v>1</v>
      </c>
      <c r="B179" s="40" t="s">
        <v>1</v>
      </c>
      <c r="C179" s="40" t="s">
        <v>1</v>
      </c>
      <c r="D179" s="40" t="s">
        <v>1</v>
      </c>
      <c r="E179" s="40" t="s">
        <v>1</v>
      </c>
      <c r="F179" s="40" t="s">
        <v>1</v>
      </c>
      <c r="G179" s="40"/>
      <c r="H179" s="40"/>
      <c r="I179" s="41" t="s">
        <v>1</v>
      </c>
      <c r="J179" s="42" t="s">
        <v>1</v>
      </c>
      <c r="K179" s="40" t="s">
        <v>1</v>
      </c>
      <c r="L179" s="41" t="s">
        <v>1</v>
      </c>
      <c r="M179" s="42" t="s">
        <v>1</v>
      </c>
    </row>
    <row r="180" spans="1:13" ht="12">
      <c r="A180" s="43" t="s">
        <v>2</v>
      </c>
      <c r="E180" s="43" t="s">
        <v>2</v>
      </c>
      <c r="G180" s="45"/>
      <c r="H180" s="46" t="s">
        <v>240</v>
      </c>
      <c r="I180" s="45"/>
      <c r="J180" s="46" t="s">
        <v>247</v>
      </c>
      <c r="K180" s="46"/>
      <c r="L180" s="296"/>
      <c r="M180" s="44" t="s">
        <v>576</v>
      </c>
    </row>
    <row r="181" spans="1:13" ht="12">
      <c r="A181" s="43" t="s">
        <v>4</v>
      </c>
      <c r="C181" s="31" t="s">
        <v>0</v>
      </c>
      <c r="E181" s="43" t="s">
        <v>4</v>
      </c>
      <c r="G181" s="45"/>
      <c r="H181" s="46" t="s">
        <v>7</v>
      </c>
      <c r="I181" s="45"/>
      <c r="J181" s="46" t="s">
        <v>7</v>
      </c>
      <c r="K181" s="46"/>
      <c r="L181" s="296"/>
      <c r="M181" s="44" t="s">
        <v>8</v>
      </c>
    </row>
    <row r="182" spans="1:13" ht="12">
      <c r="A182" s="40" t="s">
        <v>1</v>
      </c>
      <c r="B182" s="40" t="s">
        <v>1</v>
      </c>
      <c r="C182" s="40" t="s">
        <v>1</v>
      </c>
      <c r="D182" s="40" t="s">
        <v>1</v>
      </c>
      <c r="E182" s="40" t="s">
        <v>1</v>
      </c>
      <c r="F182" s="40" t="s">
        <v>1</v>
      </c>
      <c r="G182" s="41" t="s">
        <v>1</v>
      </c>
      <c r="H182" s="42" t="s">
        <v>1</v>
      </c>
      <c r="I182" s="41" t="s">
        <v>1</v>
      </c>
      <c r="J182" s="42" t="s">
        <v>1</v>
      </c>
      <c r="K182" s="41" t="s">
        <v>1</v>
      </c>
      <c r="L182" s="297" t="s">
        <v>1</v>
      </c>
      <c r="M182" s="42" t="s">
        <v>1</v>
      </c>
    </row>
    <row r="183" spans="1:13" ht="12">
      <c r="A183" s="30">
        <v>1</v>
      </c>
      <c r="C183" s="31" t="s">
        <v>138</v>
      </c>
      <c r="E183" s="30">
        <v>1</v>
      </c>
      <c r="G183" s="81"/>
      <c r="H183" s="81"/>
      <c r="I183" s="36"/>
      <c r="J183" s="74"/>
      <c r="K183" s="74"/>
      <c r="L183" s="296"/>
      <c r="M183" s="26"/>
    </row>
    <row r="184" spans="1:13" ht="12">
      <c r="A184" s="30">
        <f aca="true" t="shared" si="5" ref="A184:A212">(A183+1)</f>
        <v>2</v>
      </c>
      <c r="C184" s="31" t="s">
        <v>139</v>
      </c>
      <c r="E184" s="30">
        <f aca="true" t="shared" si="6" ref="E184:E212">(E183+1)</f>
        <v>2</v>
      </c>
      <c r="F184" s="55"/>
      <c r="G184" s="81"/>
      <c r="H184" s="81"/>
      <c r="I184" s="36"/>
      <c r="J184" s="235"/>
      <c r="K184" s="235"/>
      <c r="L184" s="296"/>
      <c r="M184" s="26"/>
    </row>
    <row r="185" spans="1:13" ht="12">
      <c r="A185" s="30">
        <f t="shared" si="5"/>
        <v>3</v>
      </c>
      <c r="C185" s="31" t="s">
        <v>494</v>
      </c>
      <c r="E185" s="30">
        <f t="shared" si="6"/>
        <v>3</v>
      </c>
      <c r="F185" s="55"/>
      <c r="G185" s="81"/>
      <c r="H185" s="81">
        <f>8505*2</f>
        <v>17010</v>
      </c>
      <c r="I185" s="36"/>
      <c r="J185" s="235">
        <f>9228*2</f>
        <v>18456</v>
      </c>
      <c r="K185" s="235"/>
      <c r="L185" s="296"/>
      <c r="M185" s="123">
        <f>9372*2</f>
        <v>18744</v>
      </c>
    </row>
    <row r="186" spans="1:13" ht="12">
      <c r="A186" s="30">
        <f t="shared" si="5"/>
        <v>4</v>
      </c>
      <c r="C186" s="31" t="s">
        <v>495</v>
      </c>
      <c r="E186" s="30">
        <f t="shared" si="6"/>
        <v>4</v>
      </c>
      <c r="F186" s="55"/>
      <c r="G186" s="81"/>
      <c r="H186" s="81">
        <f>8505*2</f>
        <v>17010</v>
      </c>
      <c r="I186" s="36"/>
      <c r="J186" s="235">
        <f>9228*2</f>
        <v>18456</v>
      </c>
      <c r="K186" s="235"/>
      <c r="L186" s="296"/>
      <c r="M186" s="123">
        <f>9372*2</f>
        <v>18744</v>
      </c>
    </row>
    <row r="187" spans="1:13" ht="12">
      <c r="A187" s="30">
        <f t="shared" si="5"/>
        <v>5</v>
      </c>
      <c r="E187" s="30">
        <f t="shared" si="6"/>
        <v>5</v>
      </c>
      <c r="F187" s="55"/>
      <c r="G187" s="81"/>
      <c r="H187" s="81"/>
      <c r="I187" s="36"/>
      <c r="J187" s="235"/>
      <c r="K187" s="235"/>
      <c r="L187" s="296"/>
      <c r="M187" s="123"/>
    </row>
    <row r="188" spans="1:13" ht="12">
      <c r="A188" s="30">
        <f t="shared" si="5"/>
        <v>6</v>
      </c>
      <c r="C188" s="31" t="s">
        <v>0</v>
      </c>
      <c r="E188" s="30">
        <f t="shared" si="6"/>
        <v>6</v>
      </c>
      <c r="F188" s="55"/>
      <c r="G188" s="81"/>
      <c r="H188" s="81"/>
      <c r="I188" s="36"/>
      <c r="J188" s="235"/>
      <c r="K188" s="235"/>
      <c r="L188" s="296"/>
      <c r="M188" s="123"/>
    </row>
    <row r="189" spans="1:13" ht="12">
      <c r="A189" s="30">
        <f t="shared" si="5"/>
        <v>7</v>
      </c>
      <c r="C189" s="31" t="s">
        <v>0</v>
      </c>
      <c r="E189" s="30">
        <f t="shared" si="6"/>
        <v>7</v>
      </c>
      <c r="F189" s="55"/>
      <c r="G189" s="81"/>
      <c r="H189" s="81"/>
      <c r="I189" s="36"/>
      <c r="J189" s="235"/>
      <c r="K189" s="235"/>
      <c r="L189" s="296"/>
      <c r="M189" s="123"/>
    </row>
    <row r="190" spans="1:13" ht="12">
      <c r="A190" s="30">
        <f t="shared" si="5"/>
        <v>8</v>
      </c>
      <c r="E190" s="30">
        <f t="shared" si="6"/>
        <v>8</v>
      </c>
      <c r="G190" s="81"/>
      <c r="H190" s="81"/>
      <c r="I190" s="36"/>
      <c r="J190" s="235"/>
      <c r="K190" s="235"/>
      <c r="L190" s="296"/>
      <c r="M190" s="123"/>
    </row>
    <row r="191" spans="1:13" ht="12">
      <c r="A191" s="30">
        <f t="shared" si="5"/>
        <v>9</v>
      </c>
      <c r="C191" s="31" t="s">
        <v>0</v>
      </c>
      <c r="E191" s="30">
        <f t="shared" si="6"/>
        <v>9</v>
      </c>
      <c r="G191" s="81"/>
      <c r="H191" s="81"/>
      <c r="I191" s="36"/>
      <c r="J191" s="235"/>
      <c r="K191" s="235"/>
      <c r="L191" s="296"/>
      <c r="M191" s="123"/>
    </row>
    <row r="192" spans="1:13" ht="12">
      <c r="A192" s="30">
        <f t="shared" si="5"/>
        <v>10</v>
      </c>
      <c r="C192" s="31" t="s">
        <v>0</v>
      </c>
      <c r="E192" s="30">
        <f t="shared" si="6"/>
        <v>10</v>
      </c>
      <c r="G192" s="81"/>
      <c r="H192" s="81"/>
      <c r="I192" s="36"/>
      <c r="J192" s="235"/>
      <c r="K192" s="235"/>
      <c r="L192" s="296"/>
      <c r="M192" s="123"/>
    </row>
    <row r="193" spans="1:13" ht="12">
      <c r="A193" s="30">
        <f t="shared" si="5"/>
        <v>11</v>
      </c>
      <c r="C193" s="31" t="s">
        <v>141</v>
      </c>
      <c r="E193" s="30">
        <f t="shared" si="6"/>
        <v>11</v>
      </c>
      <c r="G193" s="81"/>
      <c r="H193" s="81"/>
      <c r="I193" s="36"/>
      <c r="J193" s="235"/>
      <c r="K193" s="235"/>
      <c r="L193" s="296"/>
      <c r="M193" s="123"/>
    </row>
    <row r="194" spans="1:13" ht="12">
      <c r="A194" s="30">
        <f t="shared" si="5"/>
        <v>12</v>
      </c>
      <c r="C194" s="31" t="s">
        <v>139</v>
      </c>
      <c r="E194" s="30">
        <f t="shared" si="6"/>
        <v>12</v>
      </c>
      <c r="G194" s="81"/>
      <c r="H194" s="81"/>
      <c r="I194" s="36"/>
      <c r="J194" s="235"/>
      <c r="K194" s="235"/>
      <c r="L194" s="296"/>
      <c r="M194" s="123"/>
    </row>
    <row r="195" spans="1:13" ht="12">
      <c r="A195" s="30">
        <f t="shared" si="5"/>
        <v>13</v>
      </c>
      <c r="C195" s="31" t="s">
        <v>487</v>
      </c>
      <c r="E195" s="30">
        <f t="shared" si="6"/>
        <v>13</v>
      </c>
      <c r="G195" s="81"/>
      <c r="H195" s="81">
        <f>8594*2</f>
        <v>17188</v>
      </c>
      <c r="I195" s="36"/>
      <c r="J195" s="235">
        <f>8809*2</f>
        <v>17618</v>
      </c>
      <c r="K195" s="235"/>
      <c r="L195" s="296"/>
      <c r="M195" s="123">
        <f>9495*2</f>
        <v>18990</v>
      </c>
    </row>
    <row r="196" spans="1:13" ht="12">
      <c r="A196" s="30">
        <f t="shared" si="5"/>
        <v>14</v>
      </c>
      <c r="C196" s="31" t="s">
        <v>488</v>
      </c>
      <c r="E196" s="30">
        <f t="shared" si="6"/>
        <v>14</v>
      </c>
      <c r="F196" s="32"/>
      <c r="G196" s="2"/>
      <c r="H196" s="2">
        <f>9146*2</f>
        <v>18292</v>
      </c>
      <c r="I196" s="33"/>
      <c r="J196" s="236">
        <f>9375*2</f>
        <v>18750</v>
      </c>
      <c r="K196" s="236"/>
      <c r="L196" s="296"/>
      <c r="M196" s="123">
        <f>10134*2</f>
        <v>20268</v>
      </c>
    </row>
    <row r="197" spans="1:13" ht="12">
      <c r="A197" s="30">
        <f t="shared" si="5"/>
        <v>15</v>
      </c>
      <c r="C197" s="31" t="s">
        <v>489</v>
      </c>
      <c r="E197" s="30">
        <f t="shared" si="6"/>
        <v>15</v>
      </c>
      <c r="F197" s="32"/>
      <c r="G197" s="2"/>
      <c r="H197" s="2">
        <f>9319*2</f>
        <v>18638</v>
      </c>
      <c r="I197" s="33"/>
      <c r="J197" s="236">
        <f>9552*2</f>
        <v>19104</v>
      </c>
      <c r="K197" s="236"/>
      <c r="L197" s="296"/>
      <c r="M197" s="123">
        <f>10314*2</f>
        <v>20628</v>
      </c>
    </row>
    <row r="198" spans="1:13" ht="12">
      <c r="A198" s="30">
        <f t="shared" si="5"/>
        <v>16</v>
      </c>
      <c r="C198" s="31" t="s">
        <v>490</v>
      </c>
      <c r="E198" s="30">
        <f t="shared" si="6"/>
        <v>16</v>
      </c>
      <c r="F198" s="32"/>
      <c r="G198" s="2"/>
      <c r="H198" s="2">
        <f>9146*2</f>
        <v>18292</v>
      </c>
      <c r="I198" s="33"/>
      <c r="J198" s="236">
        <f>9375*2</f>
        <v>18750</v>
      </c>
      <c r="K198" s="236"/>
      <c r="L198" s="296"/>
      <c r="M198" s="123">
        <f>10134*2</f>
        <v>20268</v>
      </c>
    </row>
    <row r="199" spans="1:13" ht="12">
      <c r="A199" s="30">
        <f t="shared" si="5"/>
        <v>17</v>
      </c>
      <c r="C199" s="31" t="s">
        <v>491</v>
      </c>
      <c r="E199" s="30">
        <f t="shared" si="6"/>
        <v>17</v>
      </c>
      <c r="F199" s="32"/>
      <c r="G199" s="2"/>
      <c r="H199" s="2">
        <f>9319*2</f>
        <v>18638</v>
      </c>
      <c r="I199" s="33"/>
      <c r="J199" s="236">
        <f>9552*2</f>
        <v>19104</v>
      </c>
      <c r="K199" s="236"/>
      <c r="L199" s="296"/>
      <c r="M199" s="123">
        <f>10314*2</f>
        <v>20628</v>
      </c>
    </row>
    <row r="200" spans="1:13" ht="12">
      <c r="A200" s="30">
        <f t="shared" si="5"/>
        <v>18</v>
      </c>
      <c r="C200" s="31" t="s">
        <v>602</v>
      </c>
      <c r="E200" s="30">
        <f t="shared" si="6"/>
        <v>18</v>
      </c>
      <c r="F200" s="32"/>
      <c r="G200" s="2"/>
      <c r="H200" s="2">
        <f>9146*2</f>
        <v>18292</v>
      </c>
      <c r="I200" s="33"/>
      <c r="J200" s="236">
        <f>9375*2</f>
        <v>18750</v>
      </c>
      <c r="K200" s="236"/>
      <c r="L200" s="296"/>
      <c r="M200" s="123">
        <f>10134*2</f>
        <v>20268</v>
      </c>
    </row>
    <row r="201" spans="1:13" ht="12">
      <c r="A201" s="30">
        <f t="shared" si="5"/>
        <v>19</v>
      </c>
      <c r="C201" s="26" t="s">
        <v>492</v>
      </c>
      <c r="E201" s="30">
        <f t="shared" si="6"/>
        <v>19</v>
      </c>
      <c r="G201" s="81"/>
      <c r="H201" s="2">
        <f>9146*2</f>
        <v>18292</v>
      </c>
      <c r="I201" s="36"/>
      <c r="J201" s="236">
        <f>9375*2</f>
        <v>18750</v>
      </c>
      <c r="K201" s="236"/>
      <c r="L201" s="296"/>
      <c r="M201" s="123">
        <f>10134*2</f>
        <v>20268</v>
      </c>
    </row>
    <row r="202" spans="1:13" ht="12">
      <c r="A202" s="30">
        <f t="shared" si="5"/>
        <v>20</v>
      </c>
      <c r="C202" s="26" t="s">
        <v>493</v>
      </c>
      <c r="E202" s="30">
        <f t="shared" si="6"/>
        <v>20</v>
      </c>
      <c r="G202" s="81"/>
      <c r="H202" s="2">
        <f>9146*2</f>
        <v>18292</v>
      </c>
      <c r="I202" s="36"/>
      <c r="J202" s="236">
        <f>9375*2</f>
        <v>18750</v>
      </c>
      <c r="K202" s="236"/>
      <c r="L202" s="296"/>
      <c r="M202" s="123">
        <f>10134*2</f>
        <v>20268</v>
      </c>
    </row>
    <row r="203" spans="1:13" ht="12">
      <c r="A203" s="30">
        <f t="shared" si="5"/>
        <v>21</v>
      </c>
      <c r="E203" s="30">
        <f t="shared" si="6"/>
        <v>21</v>
      </c>
      <c r="G203" s="81"/>
      <c r="H203" s="81"/>
      <c r="I203" s="36"/>
      <c r="J203" s="235"/>
      <c r="K203" s="235"/>
      <c r="L203" s="296"/>
      <c r="M203" s="26"/>
    </row>
    <row r="204" spans="1:13" ht="12">
      <c r="A204" s="30">
        <f t="shared" si="5"/>
        <v>22</v>
      </c>
      <c r="E204" s="30">
        <f t="shared" si="6"/>
        <v>22</v>
      </c>
      <c r="G204" s="81"/>
      <c r="H204" s="81"/>
      <c r="I204" s="36"/>
      <c r="J204" s="235"/>
      <c r="K204" s="235"/>
      <c r="L204" s="296"/>
      <c r="M204" s="26"/>
    </row>
    <row r="205" spans="1:13" ht="12">
      <c r="A205" s="30">
        <f t="shared" si="5"/>
        <v>23</v>
      </c>
      <c r="E205" s="30">
        <f t="shared" si="6"/>
        <v>23</v>
      </c>
      <c r="G205" s="81"/>
      <c r="H205" s="81"/>
      <c r="I205" s="36"/>
      <c r="J205" s="235"/>
      <c r="K205" s="235"/>
      <c r="L205" s="296"/>
      <c r="M205" s="26"/>
    </row>
    <row r="206" spans="1:13" ht="12">
      <c r="A206" s="30">
        <f t="shared" si="5"/>
        <v>24</v>
      </c>
      <c r="C206" s="31" t="s">
        <v>142</v>
      </c>
      <c r="E206" s="30">
        <f t="shared" si="6"/>
        <v>24</v>
      </c>
      <c r="G206" s="81"/>
      <c r="H206" s="81"/>
      <c r="I206" s="36"/>
      <c r="J206" s="74"/>
      <c r="K206" s="74"/>
      <c r="L206" s="296"/>
      <c r="M206" s="26"/>
    </row>
    <row r="207" spans="1:13" ht="12">
      <c r="A207" s="30">
        <f t="shared" si="5"/>
        <v>25</v>
      </c>
      <c r="C207" s="31" t="s">
        <v>139</v>
      </c>
      <c r="E207" s="30">
        <f t="shared" si="6"/>
        <v>25</v>
      </c>
      <c r="G207" s="84"/>
      <c r="H207" s="84"/>
      <c r="K207" s="28"/>
      <c r="L207" s="296"/>
      <c r="M207" s="26"/>
    </row>
    <row r="208" spans="1:13" ht="12">
      <c r="A208" s="30">
        <f t="shared" si="5"/>
        <v>26</v>
      </c>
      <c r="E208" s="30">
        <f t="shared" si="6"/>
        <v>26</v>
      </c>
      <c r="G208" s="81"/>
      <c r="H208" s="81"/>
      <c r="I208" s="36"/>
      <c r="J208" s="74"/>
      <c r="K208" s="74"/>
      <c r="L208" s="296"/>
      <c r="M208" s="26"/>
    </row>
    <row r="209" spans="1:13" ht="12">
      <c r="A209" s="30">
        <f t="shared" si="5"/>
        <v>27</v>
      </c>
      <c r="E209" s="30">
        <f t="shared" si="6"/>
        <v>27</v>
      </c>
      <c r="G209" s="81"/>
      <c r="H209" s="81"/>
      <c r="I209" s="36"/>
      <c r="J209" s="74"/>
      <c r="K209" s="74"/>
      <c r="L209" s="296"/>
      <c r="M209" s="26"/>
    </row>
    <row r="210" spans="1:13" ht="12">
      <c r="A210" s="30">
        <f t="shared" si="5"/>
        <v>28</v>
      </c>
      <c r="E210" s="30">
        <f t="shared" si="6"/>
        <v>28</v>
      </c>
      <c r="G210" s="81"/>
      <c r="H210" s="81"/>
      <c r="I210" s="36"/>
      <c r="J210" s="74"/>
      <c r="K210" s="74"/>
      <c r="L210" s="296"/>
      <c r="M210" s="26"/>
    </row>
    <row r="211" spans="1:13" ht="12">
      <c r="A211" s="30">
        <f t="shared" si="5"/>
        <v>29</v>
      </c>
      <c r="E211" s="30">
        <f t="shared" si="6"/>
        <v>29</v>
      </c>
      <c r="F211" s="78"/>
      <c r="G211" s="81"/>
      <c r="H211" s="81"/>
      <c r="I211" s="36"/>
      <c r="J211" s="74"/>
      <c r="K211" s="74"/>
      <c r="L211" s="296"/>
      <c r="M211" s="26"/>
    </row>
    <row r="212" spans="1:13" ht="12">
      <c r="A212" s="30">
        <f t="shared" si="5"/>
        <v>30</v>
      </c>
      <c r="E212" s="30">
        <f t="shared" si="6"/>
        <v>30</v>
      </c>
      <c r="G212" s="84"/>
      <c r="H212" s="84"/>
      <c r="K212" s="28"/>
      <c r="L212" s="296"/>
      <c r="M212" s="26"/>
    </row>
    <row r="214" ht="12">
      <c r="A214" s="31"/>
    </row>
    <row r="215" spans="1:13" ht="12">
      <c r="A215" s="31"/>
      <c r="J215" s="74"/>
      <c r="M215" s="74"/>
    </row>
    <row r="216" spans="1:13" ht="12">
      <c r="A216" s="31"/>
      <c r="J216" s="74"/>
      <c r="M216" s="74"/>
    </row>
    <row r="217" spans="1:13" ht="12">
      <c r="A217" s="31"/>
      <c r="J217" s="74"/>
      <c r="M217" s="74"/>
    </row>
    <row r="218" spans="1:13" ht="12">
      <c r="A218" s="31"/>
      <c r="J218" s="74"/>
      <c r="M218" s="74"/>
    </row>
    <row r="219" spans="1:13" ht="12">
      <c r="A219" s="31"/>
      <c r="J219" s="74"/>
      <c r="M219" s="74"/>
    </row>
    <row r="220" spans="1:13" ht="12">
      <c r="A220" s="31"/>
      <c r="J220" s="74"/>
      <c r="M220" s="74"/>
    </row>
    <row r="221" spans="1:13" ht="12">
      <c r="A221" s="31"/>
      <c r="J221" s="74"/>
      <c r="M221" s="74"/>
    </row>
    <row r="222" spans="1:13" ht="12">
      <c r="A222" s="31"/>
      <c r="J222" s="74"/>
      <c r="M222" s="74"/>
    </row>
    <row r="223" spans="1:13" ht="12">
      <c r="A223" s="38" t="str">
        <f>$A$35</f>
        <v>Institution No.:  GFD</v>
      </c>
      <c r="C223" s="96"/>
      <c r="I223" s="26"/>
      <c r="J223" s="26"/>
      <c r="K223" s="52" t="s">
        <v>162</v>
      </c>
      <c r="L223" s="26"/>
      <c r="M223" s="26"/>
    </row>
    <row r="224" spans="1:13" ht="12">
      <c r="A224" s="73"/>
      <c r="B224" s="415" t="s">
        <v>163</v>
      </c>
      <c r="C224" s="415"/>
      <c r="D224" s="415"/>
      <c r="E224" s="415"/>
      <c r="F224" s="415"/>
      <c r="G224" s="415"/>
      <c r="H224" s="415"/>
      <c r="I224" s="415"/>
      <c r="J224" s="415"/>
      <c r="K224" s="415"/>
      <c r="L224" s="415"/>
      <c r="M224" s="415"/>
    </row>
    <row r="225" spans="1:13" ht="12">
      <c r="A225" s="38" t="s">
        <v>551</v>
      </c>
      <c r="C225" s="26" t="s">
        <v>552</v>
      </c>
      <c r="I225" s="26"/>
      <c r="J225" s="26"/>
      <c r="K225" s="97" t="s">
        <v>496</v>
      </c>
      <c r="L225" s="26"/>
      <c r="M225" s="26"/>
    </row>
    <row r="226" spans="1:13" ht="12">
      <c r="A226" s="40"/>
      <c r="C226" s="40" t="s">
        <v>1</v>
      </c>
      <c r="D226" s="40" t="s">
        <v>1</v>
      </c>
      <c r="E226" s="40" t="s">
        <v>1</v>
      </c>
      <c r="F226" s="40" t="s">
        <v>1</v>
      </c>
      <c r="G226" s="40"/>
      <c r="H226" s="40"/>
      <c r="I226" s="40" t="s">
        <v>1</v>
      </c>
      <c r="J226" s="40" t="s">
        <v>1</v>
      </c>
      <c r="K226" s="40" t="s">
        <v>1</v>
      </c>
      <c r="L226" s="40" t="s">
        <v>1</v>
      </c>
      <c r="M226" s="26"/>
    </row>
    <row r="227" spans="1:13" ht="12">
      <c r="A227" s="43"/>
      <c r="D227" s="47" t="s">
        <v>240</v>
      </c>
      <c r="G227" s="47"/>
      <c r="I227" s="47" t="s">
        <v>247</v>
      </c>
      <c r="J227" s="26"/>
      <c r="L227" s="26"/>
      <c r="M227" s="26"/>
    </row>
    <row r="228" spans="1:13" ht="12">
      <c r="A228" s="43"/>
      <c r="D228" s="47" t="s">
        <v>164</v>
      </c>
      <c r="G228" s="47"/>
      <c r="I228" s="47" t="s">
        <v>164</v>
      </c>
      <c r="J228" s="26"/>
      <c r="L228" s="26"/>
      <c r="M228" s="26"/>
    </row>
    <row r="229" spans="1:13" ht="12">
      <c r="A229" s="40"/>
      <c r="D229" s="47" t="s">
        <v>21</v>
      </c>
      <c r="E229" s="47" t="s">
        <v>21</v>
      </c>
      <c r="F229" s="47" t="s">
        <v>165</v>
      </c>
      <c r="G229" s="47"/>
      <c r="H229" s="47"/>
      <c r="I229" s="47" t="s">
        <v>21</v>
      </c>
      <c r="J229" s="47" t="s">
        <v>21</v>
      </c>
      <c r="K229" s="47" t="s">
        <v>165</v>
      </c>
      <c r="L229" s="47"/>
      <c r="M229" s="26"/>
    </row>
    <row r="230" spans="1:13" ht="12">
      <c r="A230" s="31"/>
      <c r="C230" s="47" t="s">
        <v>166</v>
      </c>
      <c r="D230" s="47" t="s">
        <v>167</v>
      </c>
      <c r="E230" s="47" t="s">
        <v>168</v>
      </c>
      <c r="F230" s="47" t="s">
        <v>169</v>
      </c>
      <c r="G230" s="47"/>
      <c r="H230" s="47"/>
      <c r="I230" s="47" t="s">
        <v>167</v>
      </c>
      <c r="J230" s="47" t="s">
        <v>168</v>
      </c>
      <c r="K230" s="47" t="s">
        <v>169</v>
      </c>
      <c r="L230" s="47"/>
      <c r="M230" s="26"/>
    </row>
    <row r="231" spans="1:13" ht="12">
      <c r="A231" s="31"/>
      <c r="C231" s="40" t="s">
        <v>1</v>
      </c>
      <c r="D231" s="40" t="s">
        <v>1</v>
      </c>
      <c r="E231" s="40" t="s">
        <v>1</v>
      </c>
      <c r="F231" s="40" t="s">
        <v>1</v>
      </c>
      <c r="G231" s="40"/>
      <c r="H231" s="40"/>
      <c r="I231" s="40" t="s">
        <v>1</v>
      </c>
      <c r="J231" s="40" t="s">
        <v>1</v>
      </c>
      <c r="K231" s="40" t="s">
        <v>1</v>
      </c>
      <c r="L231" s="40" t="s">
        <v>1</v>
      </c>
      <c r="M231" s="26"/>
    </row>
    <row r="232" spans="1:13" ht="12">
      <c r="A232" s="31"/>
      <c r="I232" s="26"/>
      <c r="J232" s="26"/>
      <c r="L232" s="26"/>
      <c r="M232" s="26"/>
    </row>
    <row r="233" spans="1:13" ht="12">
      <c r="A233" s="31"/>
      <c r="C233" s="31" t="s">
        <v>170</v>
      </c>
      <c r="D233" s="98"/>
      <c r="E233" s="98"/>
      <c r="F233" s="98"/>
      <c r="G233" s="48"/>
      <c r="H233" s="48"/>
      <c r="I233" s="98"/>
      <c r="J233" s="98"/>
      <c r="K233" s="99"/>
      <c r="L233" s="26"/>
      <c r="M233" s="26"/>
    </row>
    <row r="234" spans="1:13" ht="12">
      <c r="A234" s="31"/>
      <c r="D234" s="98"/>
      <c r="E234" s="98"/>
      <c r="F234" s="98"/>
      <c r="G234" s="100"/>
      <c r="H234" s="100"/>
      <c r="I234" s="98"/>
      <c r="J234" s="98"/>
      <c r="K234" s="98"/>
      <c r="L234" s="26"/>
      <c r="M234" s="26"/>
    </row>
    <row r="235" spans="1:13" ht="12">
      <c r="A235" s="31"/>
      <c r="C235" s="31" t="s">
        <v>171</v>
      </c>
      <c r="D235" s="82">
        <v>3633.1</v>
      </c>
      <c r="E235" s="82">
        <v>168.3</v>
      </c>
      <c r="F235" s="83">
        <v>21.587046939988113</v>
      </c>
      <c r="G235" s="48"/>
      <c r="H235" s="48"/>
      <c r="I235" s="82">
        <v>3787</v>
      </c>
      <c r="J235" s="82">
        <v>174.1</v>
      </c>
      <c r="K235" s="82">
        <v>21.751866743251007</v>
      </c>
      <c r="L235" s="30"/>
      <c r="M235" s="26"/>
    </row>
    <row r="236" spans="1:13" ht="12">
      <c r="A236" s="31"/>
      <c r="D236" s="83"/>
      <c r="E236" s="83"/>
      <c r="F236" s="83"/>
      <c r="G236" s="100"/>
      <c r="H236" s="100"/>
      <c r="I236" s="83"/>
      <c r="J236" s="83"/>
      <c r="K236" s="83"/>
      <c r="L236" s="26"/>
      <c r="M236" s="26"/>
    </row>
    <row r="237" spans="1:13" ht="12">
      <c r="A237" s="31"/>
      <c r="C237" s="31" t="s">
        <v>172</v>
      </c>
      <c r="D237" s="82">
        <v>3298.5</v>
      </c>
      <c r="E237" s="82">
        <v>200.7</v>
      </c>
      <c r="F237" s="83">
        <v>16.434977578475337</v>
      </c>
      <c r="G237" s="48"/>
      <c r="H237" s="48"/>
      <c r="I237" s="82">
        <v>3535</v>
      </c>
      <c r="J237" s="82">
        <v>209.4</v>
      </c>
      <c r="K237" s="82">
        <v>16.881566380133716</v>
      </c>
      <c r="L237" s="30"/>
      <c r="M237" s="26"/>
    </row>
    <row r="238" spans="1:13" ht="12">
      <c r="A238" s="31"/>
      <c r="D238" s="83"/>
      <c r="E238" s="83"/>
      <c r="F238" s="83"/>
      <c r="G238" s="100"/>
      <c r="H238" s="100"/>
      <c r="I238" s="83"/>
      <c r="J238" s="83"/>
      <c r="K238" s="83"/>
      <c r="L238" s="26"/>
      <c r="M238" s="26"/>
    </row>
    <row r="239" spans="1:13" ht="12">
      <c r="A239" s="31"/>
      <c r="C239" s="31" t="s">
        <v>173</v>
      </c>
      <c r="D239" s="82">
        <v>6931.6</v>
      </c>
      <c r="E239" s="82">
        <v>369</v>
      </c>
      <c r="F239" s="83">
        <v>18.784823848238485</v>
      </c>
      <c r="G239" s="101"/>
      <c r="H239" s="101"/>
      <c r="I239" s="82">
        <v>7322</v>
      </c>
      <c r="J239" s="82">
        <v>383.5</v>
      </c>
      <c r="K239" s="82">
        <v>19.092568448500653</v>
      </c>
      <c r="L239" s="50"/>
      <c r="M239" s="102"/>
    </row>
    <row r="240" spans="1:13" ht="12">
      <c r="A240" s="31"/>
      <c r="D240" s="100"/>
      <c r="E240" s="100"/>
      <c r="F240" s="103"/>
      <c r="G240" s="100"/>
      <c r="H240" s="100"/>
      <c r="I240" s="103"/>
      <c r="J240" s="103"/>
      <c r="K240" s="103"/>
      <c r="L240" s="26"/>
      <c r="M240" s="26"/>
    </row>
    <row r="241" spans="1:13" ht="12">
      <c r="A241" s="31"/>
      <c r="D241" s="100"/>
      <c r="E241" s="100"/>
      <c r="F241" s="103"/>
      <c r="G241" s="100"/>
      <c r="H241" s="100"/>
      <c r="I241" s="103"/>
      <c r="J241" s="103"/>
      <c r="K241" s="103"/>
      <c r="L241" s="26"/>
      <c r="M241" s="26"/>
    </row>
    <row r="242" spans="1:13" ht="12">
      <c r="A242" s="31"/>
      <c r="C242" s="31" t="s">
        <v>174</v>
      </c>
      <c r="D242" s="83">
        <v>2247.1</v>
      </c>
      <c r="E242" s="83">
        <v>232.1</v>
      </c>
      <c r="F242" s="83">
        <v>9.681602757432142</v>
      </c>
      <c r="G242" s="48"/>
      <c r="H242" s="48"/>
      <c r="I242" s="83">
        <v>2275</v>
      </c>
      <c r="J242" s="83">
        <v>230</v>
      </c>
      <c r="K242" s="82">
        <v>9.891304347826088</v>
      </c>
      <c r="L242" s="30"/>
      <c r="M242" s="26"/>
    </row>
    <row r="243" spans="1:13" ht="12">
      <c r="A243" s="31"/>
      <c r="D243" s="83"/>
      <c r="E243" s="83"/>
      <c r="F243" s="83"/>
      <c r="G243" s="100"/>
      <c r="H243" s="100"/>
      <c r="I243" s="83"/>
      <c r="J243" s="83"/>
      <c r="K243" s="82"/>
      <c r="L243" s="26"/>
      <c r="M243" s="26"/>
    </row>
    <row r="244" spans="1:13" ht="12">
      <c r="A244" s="31"/>
      <c r="B244" s="31" t="s">
        <v>0</v>
      </c>
      <c r="C244" s="31" t="s">
        <v>175</v>
      </c>
      <c r="D244" s="83">
        <v>94.1</v>
      </c>
      <c r="E244" s="83">
        <v>33.7</v>
      </c>
      <c r="F244" s="83">
        <v>2.7922848664688424</v>
      </c>
      <c r="G244" s="48"/>
      <c r="H244" s="48"/>
      <c r="I244" s="83">
        <v>92</v>
      </c>
      <c r="J244" s="83">
        <v>34.1</v>
      </c>
      <c r="K244" s="82">
        <v>2.697947214076246</v>
      </c>
      <c r="L244" s="30"/>
      <c r="M244" s="26"/>
    </row>
    <row r="245" spans="1:13" ht="12">
      <c r="A245" s="31"/>
      <c r="D245" s="83"/>
      <c r="E245" s="83"/>
      <c r="F245" s="83"/>
      <c r="G245" s="100"/>
      <c r="H245" s="100"/>
      <c r="I245" s="83"/>
      <c r="J245" s="83"/>
      <c r="K245" s="82"/>
      <c r="L245" s="26"/>
      <c r="M245" s="26"/>
    </row>
    <row r="246" spans="1:13" ht="12">
      <c r="A246" s="31"/>
      <c r="C246" s="31" t="s">
        <v>176</v>
      </c>
      <c r="D246" s="83">
        <v>2341.2</v>
      </c>
      <c r="E246" s="83">
        <v>265.8</v>
      </c>
      <c r="F246" s="83">
        <v>8.808126410835213</v>
      </c>
      <c r="G246" s="101"/>
      <c r="H246" s="101"/>
      <c r="I246" s="83">
        <v>2367</v>
      </c>
      <c r="J246" s="83">
        <v>264.1</v>
      </c>
      <c r="K246" s="82">
        <v>8.962514199166982</v>
      </c>
      <c r="L246" s="30"/>
      <c r="M246" s="26"/>
    </row>
    <row r="247" spans="1:13" ht="12">
      <c r="A247" s="31"/>
      <c r="D247" s="83"/>
      <c r="E247" s="83"/>
      <c r="F247" s="83"/>
      <c r="G247" s="100"/>
      <c r="H247" s="100"/>
      <c r="I247" s="100"/>
      <c r="J247" s="100"/>
      <c r="K247" s="82"/>
      <c r="L247" s="26"/>
      <c r="M247" s="26"/>
    </row>
    <row r="248" spans="1:13" ht="12">
      <c r="A248" s="31"/>
      <c r="C248" s="31" t="s">
        <v>177</v>
      </c>
      <c r="D248" s="82">
        <v>9272.8</v>
      </c>
      <c r="E248" s="82">
        <v>634.8</v>
      </c>
      <c r="F248" s="83">
        <v>14.60743541272842</v>
      </c>
      <c r="G248" s="101"/>
      <c r="H248" s="101"/>
      <c r="I248" s="250">
        <v>9689</v>
      </c>
      <c r="J248" s="101">
        <v>647.6</v>
      </c>
      <c r="K248" s="82">
        <v>14.961395923409512</v>
      </c>
      <c r="L248" s="30"/>
      <c r="M248" s="26"/>
    </row>
    <row r="249" spans="1:13" ht="12">
      <c r="A249" s="31"/>
      <c r="I249" s="26"/>
      <c r="J249" s="26"/>
      <c r="L249" s="26"/>
      <c r="M249" s="26"/>
    </row>
    <row r="250" spans="1:13" ht="12">
      <c r="A250" s="31"/>
      <c r="I250" s="26"/>
      <c r="J250" s="26"/>
      <c r="L250" s="26"/>
      <c r="M250" s="26"/>
    </row>
    <row r="251" spans="1:13" ht="12">
      <c r="A251" s="31"/>
      <c r="I251" s="26"/>
      <c r="J251" s="26"/>
      <c r="L251" s="26"/>
      <c r="M251" s="26"/>
    </row>
    <row r="252" spans="1:13" ht="12">
      <c r="A252" s="31"/>
      <c r="I252" s="26"/>
      <c r="J252" s="26"/>
      <c r="L252" s="26"/>
      <c r="M252" s="26"/>
    </row>
    <row r="253" spans="1:13" ht="12">
      <c r="A253" s="31"/>
      <c r="C253" s="31" t="s">
        <v>178</v>
      </c>
      <c r="I253" s="26"/>
      <c r="J253" s="26"/>
      <c r="L253" s="26"/>
      <c r="M253" s="26"/>
    </row>
    <row r="254" spans="1:13" ht="12">
      <c r="A254" s="31"/>
      <c r="C254" s="31" t="s">
        <v>179</v>
      </c>
      <c r="I254" s="26"/>
      <c r="J254" s="26"/>
      <c r="L254" s="26"/>
      <c r="M254" s="26"/>
    </row>
    <row r="255" spans="1:13" ht="12">
      <c r="A255" s="31"/>
      <c r="J255" s="74"/>
      <c r="M255" s="74"/>
    </row>
    <row r="256" spans="1:13" ht="12">
      <c r="A256" s="31"/>
      <c r="C256" s="26" t="s">
        <v>497</v>
      </c>
      <c r="J256" s="74"/>
      <c r="M256" s="74"/>
    </row>
    <row r="257" spans="1:13" ht="12">
      <c r="A257" s="31"/>
      <c r="J257" s="74"/>
      <c r="M257" s="74"/>
    </row>
    <row r="258" spans="1:13" ht="12">
      <c r="A258" s="31"/>
      <c r="J258" s="74"/>
      <c r="M258" s="74"/>
    </row>
    <row r="259" spans="1:13" ht="12">
      <c r="A259" s="31"/>
      <c r="J259" s="74"/>
      <c r="M259" s="74"/>
    </row>
    <row r="260" spans="1:13" ht="12">
      <c r="A260" s="31"/>
      <c r="J260" s="74"/>
      <c r="M260" s="74"/>
    </row>
    <row r="261" spans="1:13" ht="12">
      <c r="A261" s="31"/>
      <c r="J261" s="74"/>
      <c r="M261" s="74"/>
    </row>
    <row r="262" spans="1:13" ht="12">
      <c r="A262" s="31"/>
      <c r="J262" s="74"/>
      <c r="M262" s="74"/>
    </row>
    <row r="263" spans="1:13" ht="12">
      <c r="A263" s="31"/>
      <c r="J263" s="74"/>
      <c r="M263" s="74"/>
    </row>
    <row r="264" spans="1:13" ht="12">
      <c r="A264" s="31"/>
      <c r="J264" s="74"/>
      <c r="M264" s="74"/>
    </row>
    <row r="265" spans="1:13" ht="12">
      <c r="A265" s="31"/>
      <c r="J265" s="74"/>
      <c r="M265" s="74"/>
    </row>
    <row r="266" spans="1:13" ht="12">
      <c r="A266" s="31"/>
      <c r="J266" s="74"/>
      <c r="M266" s="74"/>
    </row>
    <row r="267" spans="1:13" ht="12">
      <c r="A267" s="31"/>
      <c r="J267" s="74"/>
      <c r="M267" s="74"/>
    </row>
    <row r="268" spans="1:13" ht="12">
      <c r="A268" s="31"/>
      <c r="J268" s="74"/>
      <c r="M268" s="74"/>
    </row>
    <row r="269" spans="1:13" ht="12">
      <c r="A269" s="31"/>
      <c r="J269" s="74"/>
      <c r="M269" s="74"/>
    </row>
    <row r="270" spans="1:13" ht="12">
      <c r="A270" s="31"/>
      <c r="J270" s="74"/>
      <c r="M270" s="74"/>
    </row>
    <row r="271" spans="1:13" ht="12">
      <c r="A271" s="31"/>
      <c r="J271" s="74"/>
      <c r="M271" s="74"/>
    </row>
    <row r="272" spans="1:13" s="65" customFormat="1" ht="12">
      <c r="A272" s="38" t="str">
        <f>$A$35</f>
        <v>Institution No.:  GFD</v>
      </c>
      <c r="E272" s="70"/>
      <c r="I272" s="71"/>
      <c r="J272" s="72"/>
      <c r="L272" s="71"/>
      <c r="M272" s="37" t="s">
        <v>60</v>
      </c>
    </row>
    <row r="273" spans="5:13" s="65" customFormat="1" ht="12">
      <c r="E273" s="70" t="s">
        <v>204</v>
      </c>
      <c r="I273" s="71"/>
      <c r="J273" s="72"/>
      <c r="L273" s="71"/>
      <c r="M273" s="72"/>
    </row>
    <row r="274" spans="1:13" ht="12">
      <c r="A274" s="38" t="s">
        <v>551</v>
      </c>
      <c r="C274" s="26" t="s">
        <v>552</v>
      </c>
      <c r="F274" s="53"/>
      <c r="G274" s="53"/>
      <c r="H274" s="53"/>
      <c r="I274" s="104"/>
      <c r="J274" s="105"/>
      <c r="L274" s="36"/>
      <c r="M274" s="39" t="str">
        <f>$M$3</f>
        <v>Date: 10/1/2009</v>
      </c>
    </row>
    <row r="275" spans="1:13" ht="12">
      <c r="A275" s="40" t="s">
        <v>1</v>
      </c>
      <c r="B275" s="40" t="s">
        <v>1</v>
      </c>
      <c r="C275" s="40" t="s">
        <v>1</v>
      </c>
      <c r="D275" s="40" t="s">
        <v>1</v>
      </c>
      <c r="E275" s="40" t="s">
        <v>1</v>
      </c>
      <c r="F275" s="40" t="s">
        <v>1</v>
      </c>
      <c r="G275" s="40"/>
      <c r="H275" s="40"/>
      <c r="I275" s="41" t="s">
        <v>1</v>
      </c>
      <c r="J275" s="42" t="s">
        <v>1</v>
      </c>
      <c r="K275" s="40" t="s">
        <v>1</v>
      </c>
      <c r="L275" s="41" t="s">
        <v>1</v>
      </c>
      <c r="M275" s="42" t="s">
        <v>1</v>
      </c>
    </row>
    <row r="276" spans="1:13" ht="12">
      <c r="A276" s="43" t="s">
        <v>2</v>
      </c>
      <c r="E276" s="43" t="s">
        <v>2</v>
      </c>
      <c r="F276" s="44"/>
      <c r="G276" s="45"/>
      <c r="H276" s="46" t="s">
        <v>240</v>
      </c>
      <c r="I276" s="45"/>
      <c r="J276" s="46" t="s">
        <v>247</v>
      </c>
      <c r="K276" s="46"/>
      <c r="L276" s="296"/>
      <c r="M276" s="44" t="s">
        <v>576</v>
      </c>
    </row>
    <row r="277" spans="1:13" ht="12">
      <c r="A277" s="43" t="s">
        <v>4</v>
      </c>
      <c r="C277" s="47" t="s">
        <v>20</v>
      </c>
      <c r="D277" s="106" t="s">
        <v>265</v>
      </c>
      <c r="E277" s="43" t="s">
        <v>4</v>
      </c>
      <c r="F277" s="44"/>
      <c r="G277" s="45" t="s">
        <v>6</v>
      </c>
      <c r="H277" s="46" t="s">
        <v>7</v>
      </c>
      <c r="I277" s="45" t="s">
        <v>6</v>
      </c>
      <c r="J277" s="46" t="s">
        <v>7</v>
      </c>
      <c r="K277" s="46"/>
      <c r="L277" s="296" t="s">
        <v>21</v>
      </c>
      <c r="M277" s="44" t="s">
        <v>8</v>
      </c>
    </row>
    <row r="278" spans="1:13" ht="12">
      <c r="A278" s="40" t="s">
        <v>1</v>
      </c>
      <c r="B278" s="40" t="s">
        <v>1</v>
      </c>
      <c r="C278" s="40" t="s">
        <v>1</v>
      </c>
      <c r="D278" s="40" t="s">
        <v>1</v>
      </c>
      <c r="E278" s="40" t="s">
        <v>1</v>
      </c>
      <c r="F278" s="40" t="s">
        <v>1</v>
      </c>
      <c r="G278" s="41" t="s">
        <v>1</v>
      </c>
      <c r="H278" s="42" t="s">
        <v>1</v>
      </c>
      <c r="I278" s="41" t="s">
        <v>1</v>
      </c>
      <c r="J278" s="42" t="s">
        <v>1</v>
      </c>
      <c r="K278" s="41" t="s">
        <v>1</v>
      </c>
      <c r="L278" s="297" t="s">
        <v>1</v>
      </c>
      <c r="M278" s="42" t="s">
        <v>1</v>
      </c>
    </row>
    <row r="279" spans="1:13" ht="12">
      <c r="A279" s="30">
        <v>1</v>
      </c>
      <c r="C279" s="31" t="s">
        <v>61</v>
      </c>
      <c r="E279" s="30">
        <v>1</v>
      </c>
      <c r="G279" s="36"/>
      <c r="H279" s="74"/>
      <c r="I279" s="36"/>
      <c r="J279" s="74"/>
      <c r="K279" s="74"/>
      <c r="L279" s="296"/>
      <c r="M279" s="26"/>
    </row>
    <row r="280" spans="1:13" ht="12">
      <c r="A280" s="30">
        <v>2</v>
      </c>
      <c r="C280" s="31" t="s">
        <v>62</v>
      </c>
      <c r="D280" s="31" t="s">
        <v>250</v>
      </c>
      <c r="E280" s="30">
        <v>2</v>
      </c>
      <c r="F280" s="32"/>
      <c r="G280" s="86">
        <v>379.1</v>
      </c>
      <c r="H280" s="2">
        <v>4261432</v>
      </c>
      <c r="I280" s="86">
        <v>343.1047941133348</v>
      </c>
      <c r="J280" s="2">
        <v>3769106</v>
      </c>
      <c r="K280" s="2"/>
      <c r="L280" s="241">
        <v>375.74712615455235</v>
      </c>
      <c r="M280" s="28">
        <v>4417338</v>
      </c>
    </row>
    <row r="281" spans="1:13" ht="12">
      <c r="A281" s="30">
        <v>3</v>
      </c>
      <c r="D281" s="31" t="s">
        <v>251</v>
      </c>
      <c r="E281" s="30">
        <v>3</v>
      </c>
      <c r="F281" s="32"/>
      <c r="G281" s="86">
        <v>566.3</v>
      </c>
      <c r="H281" s="2">
        <v>5550211</v>
      </c>
      <c r="I281" s="86">
        <v>583.539946573994</v>
      </c>
      <c r="J281" s="2">
        <v>4911474</v>
      </c>
      <c r="K281" s="2"/>
      <c r="L281" s="241">
        <v>363.88325859903415</v>
      </c>
      <c r="M281" s="28">
        <v>3011147</v>
      </c>
    </row>
    <row r="282" spans="1:13" ht="12">
      <c r="A282" s="30">
        <v>4</v>
      </c>
      <c r="C282" s="31" t="s">
        <v>63</v>
      </c>
      <c r="D282" s="31" t="s">
        <v>252</v>
      </c>
      <c r="E282" s="30">
        <v>4</v>
      </c>
      <c r="F282" s="32"/>
      <c r="G282" s="86">
        <v>22.6</v>
      </c>
      <c r="H282" s="2">
        <v>730407</v>
      </c>
      <c r="I282" s="86">
        <v>27.819358347587343</v>
      </c>
      <c r="J282" s="2">
        <v>737434</v>
      </c>
      <c r="K282" s="2"/>
      <c r="L282" s="241">
        <v>28.182868275432693</v>
      </c>
      <c r="M282" s="28">
        <v>836688</v>
      </c>
    </row>
    <row r="283" spans="1:13" ht="12">
      <c r="A283" s="30">
        <v>5</v>
      </c>
      <c r="D283" s="31" t="s">
        <v>253</v>
      </c>
      <c r="E283" s="30">
        <v>5</v>
      </c>
      <c r="F283" s="32"/>
      <c r="G283" s="86">
        <v>29.7</v>
      </c>
      <c r="H283" s="2">
        <v>841794</v>
      </c>
      <c r="I283" s="86">
        <v>50.21221410365558</v>
      </c>
      <c r="J283" s="2">
        <v>993416</v>
      </c>
      <c r="K283" s="2"/>
      <c r="L283" s="241">
        <v>56.583352798158494</v>
      </c>
      <c r="M283" s="28">
        <v>1123074</v>
      </c>
    </row>
    <row r="284" spans="1:13" ht="12">
      <c r="A284" s="30">
        <v>6</v>
      </c>
      <c r="C284" s="31" t="s">
        <v>64</v>
      </c>
      <c r="E284" s="30">
        <v>6</v>
      </c>
      <c r="G284" s="83">
        <v>997.7</v>
      </c>
      <c r="H284" s="84">
        <v>11383844</v>
      </c>
      <c r="I284" s="83">
        <v>1004.6763131385717</v>
      </c>
      <c r="J284" s="84">
        <v>10411430</v>
      </c>
      <c r="K284" s="84"/>
      <c r="L284" s="244">
        <v>824.3966058271776</v>
      </c>
      <c r="M284" s="243">
        <v>9388247</v>
      </c>
    </row>
    <row r="285" spans="1:12" ht="12">
      <c r="A285" s="30">
        <v>7</v>
      </c>
      <c r="C285" s="31" t="s">
        <v>65</v>
      </c>
      <c r="E285" s="30">
        <v>7</v>
      </c>
      <c r="G285" s="82"/>
      <c r="H285" s="81"/>
      <c r="I285" s="82"/>
      <c r="J285" s="81"/>
      <c r="K285" s="81"/>
      <c r="L285" s="308"/>
    </row>
    <row r="286" spans="1:13" ht="12">
      <c r="A286" s="30">
        <v>8</v>
      </c>
      <c r="C286" s="31" t="s">
        <v>62</v>
      </c>
      <c r="D286" s="31" t="s">
        <v>250</v>
      </c>
      <c r="E286" s="30">
        <v>8</v>
      </c>
      <c r="F286" s="32"/>
      <c r="G286" s="86">
        <v>878.4</v>
      </c>
      <c r="H286" s="2">
        <v>9429087</v>
      </c>
      <c r="I286" s="86">
        <v>874.8409138560971</v>
      </c>
      <c r="J286" s="2">
        <v>9610382</v>
      </c>
      <c r="K286" s="2"/>
      <c r="L286" s="241">
        <v>830.6264794536696</v>
      </c>
      <c r="M286" s="28">
        <v>9764966</v>
      </c>
    </row>
    <row r="287" spans="1:15" ht="12">
      <c r="A287" s="30">
        <v>9</v>
      </c>
      <c r="D287" s="31" t="s">
        <v>251</v>
      </c>
      <c r="E287" s="30">
        <v>9</v>
      </c>
      <c r="F287" s="32"/>
      <c r="G287" s="86">
        <v>2959.1</v>
      </c>
      <c r="H287" s="2">
        <v>25384293</v>
      </c>
      <c r="I287" s="86">
        <v>3324.612614396669</v>
      </c>
      <c r="J287" s="2">
        <v>27982229</v>
      </c>
      <c r="K287" s="2"/>
      <c r="L287" s="241">
        <v>3664.1608147139104</v>
      </c>
      <c r="M287" s="28">
        <v>30321062</v>
      </c>
      <c r="N287" s="28">
        <f>M287+M299</f>
        <v>54508627</v>
      </c>
      <c r="O287" s="26">
        <v>0.5562617088117079</v>
      </c>
    </row>
    <row r="288" spans="1:13" ht="12">
      <c r="A288" s="30">
        <v>10</v>
      </c>
      <c r="C288" s="31" t="s">
        <v>63</v>
      </c>
      <c r="D288" s="31" t="s">
        <v>252</v>
      </c>
      <c r="E288" s="30">
        <v>10</v>
      </c>
      <c r="F288" s="32"/>
      <c r="G288" s="86">
        <v>141.8</v>
      </c>
      <c r="H288" s="2">
        <v>3623972</v>
      </c>
      <c r="I288" s="86">
        <v>159.36663971410658</v>
      </c>
      <c r="J288" s="2">
        <v>4224482</v>
      </c>
      <c r="K288" s="2"/>
      <c r="L288" s="241">
        <v>156.31648126222368</v>
      </c>
      <c r="M288" s="28">
        <v>4640696</v>
      </c>
    </row>
    <row r="289" spans="1:13" ht="12">
      <c r="A289" s="30">
        <v>11</v>
      </c>
      <c r="D289" s="31" t="s">
        <v>253</v>
      </c>
      <c r="E289" s="30">
        <v>11</v>
      </c>
      <c r="F289" s="32"/>
      <c r="G289" s="86">
        <v>231.6</v>
      </c>
      <c r="H289" s="2">
        <v>4306293</v>
      </c>
      <c r="I289" s="86">
        <v>281.20257179914404</v>
      </c>
      <c r="J289" s="2">
        <v>5563410</v>
      </c>
      <c r="K289" s="2"/>
      <c r="L289" s="241">
        <v>298.7083236009208</v>
      </c>
      <c r="M289" s="28">
        <v>5928803</v>
      </c>
    </row>
    <row r="290" spans="1:13" ht="12">
      <c r="A290" s="30">
        <v>12</v>
      </c>
      <c r="C290" s="31" t="s">
        <v>66</v>
      </c>
      <c r="E290" s="30">
        <v>12</v>
      </c>
      <c r="G290" s="83">
        <v>4210.900000000001</v>
      </c>
      <c r="H290" s="84">
        <v>42743645</v>
      </c>
      <c r="I290" s="83">
        <v>4640.0227397660165</v>
      </c>
      <c r="J290" s="84">
        <v>47380503</v>
      </c>
      <c r="K290" s="84"/>
      <c r="L290" s="244">
        <v>4949.812099030724</v>
      </c>
      <c r="M290" s="243">
        <v>50655527</v>
      </c>
    </row>
    <row r="291" spans="1:12" ht="12">
      <c r="A291" s="30">
        <v>13</v>
      </c>
      <c r="C291" s="31" t="s">
        <v>67</v>
      </c>
      <c r="E291" s="30">
        <v>13</v>
      </c>
      <c r="G291" s="82"/>
      <c r="H291" s="81"/>
      <c r="I291" s="82"/>
      <c r="J291" s="81"/>
      <c r="K291" s="81"/>
      <c r="L291" s="308"/>
    </row>
    <row r="292" spans="1:12" ht="12">
      <c r="A292" s="30">
        <v>14</v>
      </c>
      <c r="C292" s="31" t="s">
        <v>62</v>
      </c>
      <c r="D292" s="31" t="s">
        <v>250</v>
      </c>
      <c r="E292" s="30">
        <v>14</v>
      </c>
      <c r="F292" s="32"/>
      <c r="G292" s="86"/>
      <c r="H292" s="2"/>
      <c r="I292" s="86"/>
      <c r="J292" s="2"/>
      <c r="K292" s="2"/>
      <c r="L292" s="241"/>
    </row>
    <row r="293" spans="1:12" ht="12">
      <c r="A293" s="30">
        <v>15</v>
      </c>
      <c r="C293" s="31"/>
      <c r="D293" s="31" t="s">
        <v>251</v>
      </c>
      <c r="E293" s="30">
        <v>15</v>
      </c>
      <c r="F293" s="32"/>
      <c r="G293" s="86"/>
      <c r="H293" s="2"/>
      <c r="I293" s="86"/>
      <c r="J293" s="2"/>
      <c r="K293" s="2"/>
      <c r="L293" s="241"/>
    </row>
    <row r="294" spans="1:12" ht="12">
      <c r="A294" s="30">
        <v>16</v>
      </c>
      <c r="C294" s="31" t="s">
        <v>63</v>
      </c>
      <c r="D294" s="31" t="s">
        <v>252</v>
      </c>
      <c r="E294" s="30">
        <v>16</v>
      </c>
      <c r="F294" s="32"/>
      <c r="G294" s="86"/>
      <c r="H294" s="2"/>
      <c r="I294" s="86"/>
      <c r="J294" s="2"/>
      <c r="K294" s="2"/>
      <c r="L294" s="241"/>
    </row>
    <row r="295" spans="1:12" ht="12">
      <c r="A295" s="30">
        <v>17</v>
      </c>
      <c r="C295" s="31"/>
      <c r="D295" s="31" t="s">
        <v>253</v>
      </c>
      <c r="E295" s="30">
        <v>17</v>
      </c>
      <c r="G295" s="83"/>
      <c r="H295" s="84"/>
      <c r="I295" s="83"/>
      <c r="J295" s="84"/>
      <c r="K295" s="84"/>
      <c r="L295" s="244"/>
    </row>
    <row r="296" spans="1:13" ht="12">
      <c r="A296" s="30">
        <v>18</v>
      </c>
      <c r="C296" s="31" t="s">
        <v>68</v>
      </c>
      <c r="D296" s="31"/>
      <c r="E296" s="30">
        <v>18</v>
      </c>
      <c r="G296" s="83">
        <v>0</v>
      </c>
      <c r="H296" s="84">
        <v>0</v>
      </c>
      <c r="I296" s="83">
        <v>0</v>
      </c>
      <c r="J296" s="84">
        <v>0</v>
      </c>
      <c r="K296" s="84"/>
      <c r="L296" s="244">
        <v>0</v>
      </c>
      <c r="M296" s="243">
        <v>0</v>
      </c>
    </row>
    <row r="297" spans="1:12" ht="12">
      <c r="A297" s="30">
        <v>19</v>
      </c>
      <c r="C297" s="31" t="s">
        <v>69</v>
      </c>
      <c r="D297" s="31"/>
      <c r="E297" s="30">
        <v>19</v>
      </c>
      <c r="G297" s="83"/>
      <c r="H297" s="84"/>
      <c r="I297" s="83"/>
      <c r="J297" s="84"/>
      <c r="K297" s="84"/>
      <c r="L297" s="244"/>
    </row>
    <row r="298" spans="1:15" ht="12">
      <c r="A298" s="30">
        <v>20</v>
      </c>
      <c r="C298" s="31" t="s">
        <v>62</v>
      </c>
      <c r="D298" s="31" t="s">
        <v>250</v>
      </c>
      <c r="E298" s="30">
        <v>20</v>
      </c>
      <c r="F298" s="107"/>
      <c r="G298" s="86">
        <v>865.6</v>
      </c>
      <c r="H298" s="2">
        <v>9330618</v>
      </c>
      <c r="I298" s="86">
        <v>881.8542920305681</v>
      </c>
      <c r="J298" s="2">
        <v>9687426</v>
      </c>
      <c r="K298" s="2"/>
      <c r="L298" s="241">
        <v>830.626394391778</v>
      </c>
      <c r="M298" s="28">
        <v>9764965</v>
      </c>
      <c r="O298" s="26">
        <v>0.4437382911882921</v>
      </c>
    </row>
    <row r="299" spans="1:13" ht="12">
      <c r="A299" s="30">
        <v>21</v>
      </c>
      <c r="C299" s="31"/>
      <c r="D299" s="31" t="s">
        <v>251</v>
      </c>
      <c r="E299" s="30">
        <v>21</v>
      </c>
      <c r="F299" s="107"/>
      <c r="G299" s="86">
        <v>2835.9</v>
      </c>
      <c r="H299" s="2">
        <v>24375999</v>
      </c>
      <c r="I299" s="86">
        <v>2726.267439029337</v>
      </c>
      <c r="J299" s="2">
        <v>22946144</v>
      </c>
      <c r="K299" s="2"/>
      <c r="L299" s="241">
        <v>2922.9559266870556</v>
      </c>
      <c r="M299" s="28">
        <v>24187565</v>
      </c>
    </row>
    <row r="300" spans="1:13" ht="12">
      <c r="A300" s="30">
        <v>22</v>
      </c>
      <c r="C300" s="31" t="s">
        <v>63</v>
      </c>
      <c r="D300" s="31" t="s">
        <v>252</v>
      </c>
      <c r="E300" s="30">
        <v>22</v>
      </c>
      <c r="F300" s="107"/>
      <c r="G300" s="86">
        <v>131.1</v>
      </c>
      <c r="H300" s="2">
        <v>3377197</v>
      </c>
      <c r="I300" s="86">
        <v>149.2840019383061</v>
      </c>
      <c r="J300" s="2">
        <v>3957212</v>
      </c>
      <c r="K300" s="2"/>
      <c r="L300" s="241">
        <v>148.50065046234363</v>
      </c>
      <c r="M300" s="28">
        <v>4408661</v>
      </c>
    </row>
    <row r="301" spans="1:13" ht="12">
      <c r="A301" s="30">
        <v>23</v>
      </c>
      <c r="D301" s="31" t="s">
        <v>253</v>
      </c>
      <c r="E301" s="30">
        <v>23</v>
      </c>
      <c r="F301" s="107"/>
      <c r="G301" s="86">
        <v>231.6</v>
      </c>
      <c r="H301" s="2">
        <v>4268573</v>
      </c>
      <c r="I301" s="86">
        <v>287.1652140972004</v>
      </c>
      <c r="J301" s="2">
        <v>5681377</v>
      </c>
      <c r="K301" s="2"/>
      <c r="L301" s="241">
        <v>298.7083236009208</v>
      </c>
      <c r="M301" s="28">
        <v>5928803</v>
      </c>
    </row>
    <row r="302" spans="1:13" ht="12">
      <c r="A302" s="30">
        <v>24</v>
      </c>
      <c r="C302" s="31" t="s">
        <v>70</v>
      </c>
      <c r="E302" s="30">
        <v>24</v>
      </c>
      <c r="F302" s="78"/>
      <c r="G302" s="82">
        <v>4064.2</v>
      </c>
      <c r="H302" s="81">
        <v>41352387</v>
      </c>
      <c r="I302" s="82">
        <v>4044.5709470954116</v>
      </c>
      <c r="J302" s="81">
        <v>42272159</v>
      </c>
      <c r="K302" s="81"/>
      <c r="L302" s="308">
        <v>4200.7912951420985</v>
      </c>
      <c r="M302" s="293">
        <v>44289994</v>
      </c>
    </row>
    <row r="303" spans="1:12" ht="12">
      <c r="A303" s="30">
        <v>25</v>
      </c>
      <c r="C303" s="31" t="s">
        <v>71</v>
      </c>
      <c r="E303" s="30">
        <v>25</v>
      </c>
      <c r="G303" s="83"/>
      <c r="H303" s="84"/>
      <c r="I303" s="83"/>
      <c r="J303" s="84"/>
      <c r="K303" s="84"/>
      <c r="L303" s="287"/>
    </row>
    <row r="304" spans="1:13" ht="12">
      <c r="A304" s="30">
        <v>26</v>
      </c>
      <c r="C304" s="31" t="s">
        <v>62</v>
      </c>
      <c r="D304" s="31" t="s">
        <v>250</v>
      </c>
      <c r="E304" s="30">
        <v>26</v>
      </c>
      <c r="G304" s="83">
        <v>2123.1</v>
      </c>
      <c r="H304" s="84">
        <v>23021137</v>
      </c>
      <c r="I304" s="83">
        <v>2099.8</v>
      </c>
      <c r="J304" s="84">
        <v>23066914</v>
      </c>
      <c r="K304" s="84"/>
      <c r="L304" s="244">
        <v>2037</v>
      </c>
      <c r="M304" s="243">
        <v>23947269</v>
      </c>
    </row>
    <row r="305" spans="1:13" ht="12">
      <c r="A305" s="30">
        <v>27</v>
      </c>
      <c r="C305" s="31"/>
      <c r="D305" s="31" t="s">
        <v>251</v>
      </c>
      <c r="E305" s="30">
        <v>27</v>
      </c>
      <c r="G305" s="83">
        <v>6361.299999999999</v>
      </c>
      <c r="H305" s="84">
        <v>55310503</v>
      </c>
      <c r="I305" s="83">
        <v>6634.42</v>
      </c>
      <c r="J305" s="84">
        <v>55839847</v>
      </c>
      <c r="K305" s="84"/>
      <c r="L305" s="244">
        <v>6951</v>
      </c>
      <c r="M305" s="243">
        <v>57519774</v>
      </c>
    </row>
    <row r="306" spans="1:13" ht="12">
      <c r="A306" s="30">
        <v>28</v>
      </c>
      <c r="C306" s="31" t="s">
        <v>63</v>
      </c>
      <c r="D306" s="31" t="s">
        <v>252</v>
      </c>
      <c r="E306" s="30">
        <v>28</v>
      </c>
      <c r="G306" s="83">
        <v>295.5</v>
      </c>
      <c r="H306" s="84">
        <v>7731576</v>
      </c>
      <c r="I306" s="83">
        <v>336.47</v>
      </c>
      <c r="J306" s="84">
        <v>8919128</v>
      </c>
      <c r="K306" s="84"/>
      <c r="L306" s="244">
        <v>333</v>
      </c>
      <c r="M306" s="243">
        <v>9886045</v>
      </c>
    </row>
    <row r="307" spans="1:13" ht="12">
      <c r="A307" s="30">
        <v>29</v>
      </c>
      <c r="D307" s="31" t="s">
        <v>253</v>
      </c>
      <c r="E307" s="30">
        <v>29</v>
      </c>
      <c r="G307" s="83">
        <v>492.9</v>
      </c>
      <c r="H307" s="84">
        <v>9416660</v>
      </c>
      <c r="I307" s="83">
        <v>618.58</v>
      </c>
      <c r="J307" s="84">
        <v>12238203</v>
      </c>
      <c r="K307" s="84"/>
      <c r="L307" s="244">
        <v>654</v>
      </c>
      <c r="M307" s="243">
        <v>12980680</v>
      </c>
    </row>
    <row r="308" spans="1:13" ht="12">
      <c r="A308" s="30">
        <v>30</v>
      </c>
      <c r="E308" s="30">
        <v>30</v>
      </c>
      <c r="G308" s="82"/>
      <c r="H308" s="81"/>
      <c r="I308" s="82"/>
      <c r="J308" s="81"/>
      <c r="K308" s="81"/>
      <c r="L308" s="308"/>
      <c r="M308" s="293"/>
    </row>
    <row r="309" spans="1:13" ht="12">
      <c r="A309" s="30">
        <v>31</v>
      </c>
      <c r="C309" s="31" t="s">
        <v>72</v>
      </c>
      <c r="E309" s="30">
        <v>31</v>
      </c>
      <c r="G309" s="83">
        <v>8484.4</v>
      </c>
      <c r="H309" s="84">
        <v>78331640</v>
      </c>
      <c r="I309" s="83">
        <v>8734.220000000001</v>
      </c>
      <c r="J309" s="84">
        <v>78906761</v>
      </c>
      <c r="K309" s="84"/>
      <c r="L309" s="244">
        <v>8988</v>
      </c>
      <c r="M309" s="243">
        <v>81467043</v>
      </c>
    </row>
    <row r="310" spans="1:13" ht="12">
      <c r="A310" s="30">
        <v>32</v>
      </c>
      <c r="C310" s="31" t="s">
        <v>73</v>
      </c>
      <c r="E310" s="30">
        <v>32</v>
      </c>
      <c r="G310" s="83">
        <v>788.4</v>
      </c>
      <c r="H310" s="84">
        <v>17148236</v>
      </c>
      <c r="I310" s="83">
        <v>955.0500000000001</v>
      </c>
      <c r="J310" s="84">
        <v>21157331</v>
      </c>
      <c r="K310" s="84"/>
      <c r="L310" s="244">
        <v>987</v>
      </c>
      <c r="M310" s="243">
        <v>22866725</v>
      </c>
    </row>
    <row r="311" spans="1:13" ht="12">
      <c r="A311" s="30">
        <v>33</v>
      </c>
      <c r="C311" s="31" t="s">
        <v>74</v>
      </c>
      <c r="E311" s="30">
        <v>33</v>
      </c>
      <c r="F311" s="78"/>
      <c r="G311" s="82">
        <v>2418.6</v>
      </c>
      <c r="H311" s="81">
        <v>30752713</v>
      </c>
      <c r="I311" s="82">
        <v>2436.2700000000004</v>
      </c>
      <c r="J311" s="81">
        <v>31986042</v>
      </c>
      <c r="K311" s="81"/>
      <c r="L311" s="308">
        <v>2370</v>
      </c>
      <c r="M311" s="293">
        <v>33833314</v>
      </c>
    </row>
    <row r="312" spans="1:13" ht="12">
      <c r="A312" s="30">
        <v>34</v>
      </c>
      <c r="C312" s="31" t="s">
        <v>208</v>
      </c>
      <c r="E312" s="30">
        <v>34</v>
      </c>
      <c r="F312" s="78"/>
      <c r="G312" s="82">
        <v>6854.199999999999</v>
      </c>
      <c r="H312" s="81">
        <v>64727163</v>
      </c>
      <c r="I312" s="82">
        <v>7253</v>
      </c>
      <c r="J312" s="81">
        <v>68078050</v>
      </c>
      <c r="K312" s="81"/>
      <c r="L312" s="308">
        <v>7605</v>
      </c>
      <c r="M312" s="293">
        <v>70500454</v>
      </c>
    </row>
    <row r="313" spans="1:13" ht="12">
      <c r="A313" s="31"/>
      <c r="C313" s="40" t="s">
        <v>1</v>
      </c>
      <c r="D313" s="40" t="s">
        <v>1</v>
      </c>
      <c r="E313" s="40" t="s">
        <v>1</v>
      </c>
      <c r="F313" s="40" t="s">
        <v>1</v>
      </c>
      <c r="G313" s="40" t="s">
        <v>1</v>
      </c>
      <c r="H313" s="40" t="s">
        <v>1</v>
      </c>
      <c r="I313" s="40" t="s">
        <v>1</v>
      </c>
      <c r="J313" s="40"/>
      <c r="K313" s="40"/>
      <c r="L313" s="51" t="s">
        <v>1</v>
      </c>
      <c r="M313" s="42"/>
    </row>
    <row r="314" spans="1:13" ht="12">
      <c r="A314" s="30">
        <v>35</v>
      </c>
      <c r="C314" s="26" t="s">
        <v>75</v>
      </c>
      <c r="E314" s="30">
        <v>35</v>
      </c>
      <c r="G314" s="83">
        <v>9272.8</v>
      </c>
      <c r="H314" s="84">
        <v>95479876</v>
      </c>
      <c r="I314" s="83">
        <v>9689.27</v>
      </c>
      <c r="J314" s="84">
        <v>100064092</v>
      </c>
      <c r="K314" s="84"/>
      <c r="L314" s="244">
        <v>9975</v>
      </c>
      <c r="M314" s="243">
        <v>104333768</v>
      </c>
    </row>
    <row r="315" spans="3:13" ht="12">
      <c r="C315" s="31" t="s">
        <v>261</v>
      </c>
      <c r="F315" s="109" t="s">
        <v>1</v>
      </c>
      <c r="G315" s="41"/>
      <c r="H315" s="42"/>
      <c r="I315" s="41"/>
      <c r="J315" s="42"/>
      <c r="K315" s="42"/>
      <c r="L315" s="297" t="s">
        <v>1</v>
      </c>
      <c r="M315" s="42" t="s">
        <v>1</v>
      </c>
    </row>
    <row r="316" spans="3:13" ht="12">
      <c r="C316" s="31"/>
      <c r="F316" s="109"/>
      <c r="G316" s="41"/>
      <c r="H316" s="42"/>
      <c r="I316" s="41"/>
      <c r="J316" s="42"/>
      <c r="K316" s="42"/>
      <c r="L316" s="296"/>
      <c r="M316" s="26"/>
    </row>
    <row r="317" spans="2:13" ht="12">
      <c r="B317" s="57"/>
      <c r="C317" s="110"/>
      <c r="D317" s="57"/>
      <c r="E317" s="57"/>
      <c r="F317" s="111"/>
      <c r="G317" s="234"/>
      <c r="H317" s="61"/>
      <c r="I317" s="234"/>
      <c r="J317" s="245"/>
      <c r="K317" s="245"/>
      <c r="L317" s="309"/>
      <c r="M317" s="234"/>
    </row>
    <row r="318" spans="1:13" ht="12">
      <c r="A318" s="26">
        <v>36</v>
      </c>
      <c r="C318" s="26" t="s">
        <v>263</v>
      </c>
      <c r="E318" s="26">
        <v>36</v>
      </c>
      <c r="H318" s="26">
        <v>15150522</v>
      </c>
      <c r="J318" s="28">
        <v>17330877</v>
      </c>
      <c r="M318" s="28">
        <v>17245544</v>
      </c>
    </row>
    <row r="319" spans="6:13" ht="12">
      <c r="F319" s="109"/>
      <c r="G319" s="41"/>
      <c r="H319" s="74"/>
      <c r="I319" s="41"/>
      <c r="J319" s="74"/>
      <c r="K319" s="74"/>
      <c r="L319" s="296"/>
      <c r="M319" s="26"/>
    </row>
    <row r="320" spans="1:13" s="65" customFormat="1" ht="12">
      <c r="A320" s="38" t="str">
        <f>$A$35</f>
        <v>Institution No.:  GFD</v>
      </c>
      <c r="E320" s="70"/>
      <c r="I320" s="71"/>
      <c r="J320" s="72"/>
      <c r="L320" s="71"/>
      <c r="M320" s="112" t="s">
        <v>76</v>
      </c>
    </row>
    <row r="321" spans="4:13" s="65" customFormat="1" ht="12">
      <c r="D321" s="79" t="s">
        <v>264</v>
      </c>
      <c r="E321" s="70"/>
      <c r="I321" s="71"/>
      <c r="J321" s="72"/>
      <c r="L321" s="71"/>
      <c r="M321" s="72"/>
    </row>
    <row r="322" spans="1:13" ht="12">
      <c r="A322" s="38" t="s">
        <v>551</v>
      </c>
      <c r="C322" s="26" t="s">
        <v>552</v>
      </c>
      <c r="F322" s="113"/>
      <c r="G322" s="113"/>
      <c r="H322" s="113"/>
      <c r="I322" s="104"/>
      <c r="J322" s="105"/>
      <c r="L322" s="36"/>
      <c r="M322" s="39" t="str">
        <f>$M$3</f>
        <v>Date: 10/1/2009</v>
      </c>
    </row>
    <row r="323" spans="1:13" ht="12">
      <c r="A323" s="40" t="s">
        <v>1</v>
      </c>
      <c r="B323" s="40" t="s">
        <v>1</v>
      </c>
      <c r="C323" s="40" t="s">
        <v>1</v>
      </c>
      <c r="D323" s="40" t="s">
        <v>1</v>
      </c>
      <c r="E323" s="40" t="s">
        <v>1</v>
      </c>
      <c r="F323" s="40" t="s">
        <v>1</v>
      </c>
      <c r="G323" s="40"/>
      <c r="H323" s="40"/>
      <c r="I323" s="41" t="s">
        <v>1</v>
      </c>
      <c r="J323" s="42" t="s">
        <v>1</v>
      </c>
      <c r="K323" s="40" t="s">
        <v>1</v>
      </c>
      <c r="L323" s="41" t="s">
        <v>1</v>
      </c>
      <c r="M323" s="42" t="s">
        <v>1</v>
      </c>
    </row>
    <row r="324" spans="1:13" ht="12">
      <c r="A324" s="43" t="s">
        <v>2</v>
      </c>
      <c r="E324" s="43" t="s">
        <v>2</v>
      </c>
      <c r="G324" s="45"/>
      <c r="H324" s="46" t="s">
        <v>240</v>
      </c>
      <c r="I324" s="45"/>
      <c r="J324" s="46" t="s">
        <v>247</v>
      </c>
      <c r="K324" s="46"/>
      <c r="L324" s="296"/>
      <c r="M324" s="44" t="s">
        <v>599</v>
      </c>
    </row>
    <row r="325" spans="1:13" ht="12">
      <c r="A325" s="43" t="s">
        <v>4</v>
      </c>
      <c r="C325" s="47" t="s">
        <v>20</v>
      </c>
      <c r="E325" s="43" t="s">
        <v>4</v>
      </c>
      <c r="G325" s="36"/>
      <c r="H325" s="46" t="s">
        <v>7</v>
      </c>
      <c r="I325" s="36"/>
      <c r="J325" s="46" t="s">
        <v>7</v>
      </c>
      <c r="K325" s="46"/>
      <c r="L325" s="296"/>
      <c r="M325" s="44" t="s">
        <v>8</v>
      </c>
    </row>
    <row r="326" spans="1:13" ht="12">
      <c r="A326" s="40" t="s">
        <v>1</v>
      </c>
      <c r="B326" s="40" t="s">
        <v>1</v>
      </c>
      <c r="C326" s="40" t="s">
        <v>1</v>
      </c>
      <c r="D326" s="40" t="s">
        <v>1</v>
      </c>
      <c r="E326" s="40" t="s">
        <v>1</v>
      </c>
      <c r="F326" s="40" t="s">
        <v>1</v>
      </c>
      <c r="G326" s="41" t="s">
        <v>1</v>
      </c>
      <c r="H326" s="42" t="s">
        <v>1</v>
      </c>
      <c r="I326" s="41" t="s">
        <v>1</v>
      </c>
      <c r="J326" s="42" t="s">
        <v>1</v>
      </c>
      <c r="K326" s="41" t="s">
        <v>1</v>
      </c>
      <c r="L326" s="297" t="s">
        <v>1</v>
      </c>
      <c r="M326" s="42" t="s">
        <v>1</v>
      </c>
    </row>
    <row r="327" spans="1:13" ht="12">
      <c r="A327" s="114">
        <v>1</v>
      </c>
      <c r="B327" s="40"/>
      <c r="C327" s="31" t="s">
        <v>600</v>
      </c>
      <c r="E327" s="114">
        <v>1</v>
      </c>
      <c r="G327" s="2"/>
      <c r="H327" s="2"/>
      <c r="I327" s="2"/>
      <c r="J327" s="2">
        <f>8363624-593164</f>
        <v>7770460</v>
      </c>
      <c r="K327" s="2"/>
      <c r="L327" s="296"/>
      <c r="M327" s="256">
        <f>3739131+5108969+5293915</f>
        <v>14142015</v>
      </c>
    </row>
    <row r="328" spans="1:13" ht="12">
      <c r="A328" s="26">
        <v>2</v>
      </c>
      <c r="C328" s="26" t="s">
        <v>586</v>
      </c>
      <c r="E328" s="26">
        <v>2</v>
      </c>
      <c r="I328" s="26"/>
      <c r="J328" s="26"/>
      <c r="L328" s="296"/>
      <c r="M328" s="26"/>
    </row>
    <row r="329" spans="1:13" ht="12">
      <c r="A329" s="114">
        <v>3</v>
      </c>
      <c r="C329" s="32" t="s">
        <v>587</v>
      </c>
      <c r="E329" s="114">
        <v>3</v>
      </c>
      <c r="G329" s="36"/>
      <c r="H329" s="2">
        <v>5062729</v>
      </c>
      <c r="I329" s="2"/>
      <c r="J329" s="2">
        <v>6493835</v>
      </c>
      <c r="K329" s="2"/>
      <c r="L329" s="296"/>
      <c r="M329" s="256">
        <v>4668446</v>
      </c>
    </row>
    <row r="330" spans="1:13" ht="12">
      <c r="A330" s="26">
        <v>4</v>
      </c>
      <c r="C330" s="26" t="s">
        <v>588</v>
      </c>
      <c r="E330" s="26">
        <v>4</v>
      </c>
      <c r="I330" s="26"/>
      <c r="J330" s="123">
        <v>106261</v>
      </c>
      <c r="L330" s="296"/>
      <c r="M330" s="123">
        <f>2357493+527412</f>
        <v>2884905</v>
      </c>
    </row>
    <row r="331" spans="1:13" ht="12">
      <c r="A331" s="114"/>
      <c r="E331" s="114"/>
      <c r="F331" s="305"/>
      <c r="G331" s="291"/>
      <c r="H331" s="306"/>
      <c r="I331" s="291"/>
      <c r="J331" s="306"/>
      <c r="K331" s="306"/>
      <c r="L331" s="307"/>
      <c r="M331" s="306"/>
    </row>
    <row r="332" spans="1:13" ht="12">
      <c r="A332" s="114">
        <v>16</v>
      </c>
      <c r="C332" s="26" t="s">
        <v>257</v>
      </c>
      <c r="E332" s="114">
        <v>16</v>
      </c>
      <c r="G332" s="81"/>
      <c r="H332" s="2">
        <v>-552349</v>
      </c>
      <c r="I332" s="81"/>
      <c r="J332" s="81">
        <v>-883517</v>
      </c>
      <c r="K332" s="81"/>
      <c r="L332" s="296"/>
      <c r="M332" s="123"/>
    </row>
    <row r="333" spans="1:13" ht="12">
      <c r="A333" s="114">
        <v>17</v>
      </c>
      <c r="C333" s="31" t="s">
        <v>0</v>
      </c>
      <c r="E333" s="114">
        <v>17</v>
      </c>
      <c r="F333" s="32"/>
      <c r="G333" s="2"/>
      <c r="H333" s="2"/>
      <c r="I333" s="2"/>
      <c r="J333" s="2"/>
      <c r="K333" s="2"/>
      <c r="L333" s="296"/>
      <c r="M333" s="26"/>
    </row>
    <row r="334" spans="1:13" ht="12">
      <c r="A334" s="114">
        <v>18</v>
      </c>
      <c r="E334" s="114">
        <v>18</v>
      </c>
      <c r="G334" s="84"/>
      <c r="H334" s="84"/>
      <c r="I334" s="84"/>
      <c r="J334" s="84"/>
      <c r="K334" s="84"/>
      <c r="L334" s="296"/>
      <c r="M334" s="26"/>
    </row>
    <row r="335" spans="1:13" ht="12">
      <c r="A335" s="114">
        <v>19</v>
      </c>
      <c r="E335" s="114">
        <v>19</v>
      </c>
      <c r="G335" s="84"/>
      <c r="H335" s="84"/>
      <c r="I335" s="84"/>
      <c r="J335" s="84"/>
      <c r="K335" s="84"/>
      <c r="L335" s="296"/>
      <c r="M335" s="26"/>
    </row>
    <row r="336" spans="1:13" ht="12">
      <c r="A336" s="114"/>
      <c r="C336" s="115"/>
      <c r="E336" s="114"/>
      <c r="F336" s="109" t="s">
        <v>1</v>
      </c>
      <c r="G336" s="41" t="s">
        <v>1</v>
      </c>
      <c r="H336" s="42" t="s">
        <v>1</v>
      </c>
      <c r="I336" s="41" t="s">
        <v>1</v>
      </c>
      <c r="J336" s="42" t="s">
        <v>1</v>
      </c>
      <c r="K336" s="41" t="s">
        <v>1</v>
      </c>
      <c r="L336" s="297" t="s">
        <v>1</v>
      </c>
      <c r="M336" s="42" t="s">
        <v>1</v>
      </c>
    </row>
    <row r="337" spans="1:13" ht="12">
      <c r="A337" s="114">
        <v>20</v>
      </c>
      <c r="C337" s="115" t="s">
        <v>82</v>
      </c>
      <c r="E337" s="114">
        <v>20</v>
      </c>
      <c r="G337" s="81"/>
      <c r="H337" s="84">
        <f>SUM(H327:H335)</f>
        <v>4510380</v>
      </c>
      <c r="I337" s="81"/>
      <c r="J337" s="84">
        <f>SUM(J328:J335)</f>
        <v>5716579</v>
      </c>
      <c r="K337" s="84">
        <f>SUM(K328:K335)</f>
        <v>0</v>
      </c>
      <c r="L337" s="84">
        <f>SUM(L328:L335)</f>
        <v>0</v>
      </c>
      <c r="M337" s="84">
        <f>SUM(M328:M335)</f>
        <v>7553351</v>
      </c>
    </row>
    <row r="338" spans="1:13" ht="12">
      <c r="A338" s="117"/>
      <c r="C338" s="31"/>
      <c r="E338" s="69"/>
      <c r="F338" s="109" t="s">
        <v>1</v>
      </c>
      <c r="G338" s="41" t="s">
        <v>1</v>
      </c>
      <c r="H338" s="42" t="s">
        <v>1</v>
      </c>
      <c r="I338" s="41" t="s">
        <v>1</v>
      </c>
      <c r="J338" s="42" t="s">
        <v>1</v>
      </c>
      <c r="K338" s="41" t="s">
        <v>1</v>
      </c>
      <c r="L338" s="297" t="s">
        <v>1</v>
      </c>
      <c r="M338" s="42" t="s">
        <v>1</v>
      </c>
    </row>
    <row r="339" spans="1:13" ht="12">
      <c r="A339" s="26" t="s">
        <v>601</v>
      </c>
      <c r="F339" s="109"/>
      <c r="G339" s="41"/>
      <c r="H339" s="74"/>
      <c r="I339" s="41"/>
      <c r="J339" s="74"/>
      <c r="K339" s="74"/>
      <c r="L339" s="296"/>
      <c r="M339" s="26"/>
    </row>
    <row r="340" spans="6:13" ht="12">
      <c r="F340" s="109"/>
      <c r="G340" s="109"/>
      <c r="H340" s="109"/>
      <c r="I340" s="41"/>
      <c r="J340" s="74"/>
      <c r="K340" s="109"/>
      <c r="L340" s="41"/>
      <c r="M340" s="74"/>
    </row>
    <row r="341" ht="12">
      <c r="A341" s="31"/>
    </row>
    <row r="342" spans="1:13" s="65" customFormat="1" ht="12">
      <c r="A342" s="38" t="str">
        <f>$A$35</f>
        <v>Institution No.:  GFD</v>
      </c>
      <c r="E342" s="70"/>
      <c r="I342" s="71"/>
      <c r="J342" s="72"/>
      <c r="L342" s="71"/>
      <c r="M342" s="37" t="s">
        <v>78</v>
      </c>
    </row>
    <row r="343" spans="4:13" s="65" customFormat="1" ht="12">
      <c r="D343" s="79" t="s">
        <v>266</v>
      </c>
      <c r="E343" s="70"/>
      <c r="I343" s="71"/>
      <c r="J343" s="72"/>
      <c r="L343" s="71"/>
      <c r="M343" s="72"/>
    </row>
    <row r="344" spans="1:13" ht="12">
      <c r="A344" s="38" t="s">
        <v>551</v>
      </c>
      <c r="C344" s="26" t="s">
        <v>552</v>
      </c>
      <c r="F344" s="113"/>
      <c r="G344" s="113"/>
      <c r="H344" s="113"/>
      <c r="I344" s="104"/>
      <c r="J344" s="74"/>
      <c r="L344" s="36"/>
      <c r="M344" s="39" t="str">
        <f>$M$3</f>
        <v>Date: 10/1/2009</v>
      </c>
    </row>
    <row r="345" spans="1:13" ht="12">
      <c r="A345" s="40" t="s">
        <v>1</v>
      </c>
      <c r="B345" s="40" t="s">
        <v>1</v>
      </c>
      <c r="C345" s="40" t="s">
        <v>1</v>
      </c>
      <c r="D345" s="40" t="s">
        <v>1</v>
      </c>
      <c r="E345" s="40" t="s">
        <v>1</v>
      </c>
      <c r="F345" s="40" t="s">
        <v>1</v>
      </c>
      <c r="G345" s="40"/>
      <c r="H345" s="40"/>
      <c r="I345" s="41" t="s">
        <v>1</v>
      </c>
      <c r="J345" s="42" t="s">
        <v>1</v>
      </c>
      <c r="K345" s="40" t="s">
        <v>1</v>
      </c>
      <c r="L345" s="41" t="s">
        <v>1</v>
      </c>
      <c r="M345" s="42" t="s">
        <v>1</v>
      </c>
    </row>
    <row r="346" spans="1:13" ht="12">
      <c r="A346" s="43" t="s">
        <v>2</v>
      </c>
      <c r="E346" s="43" t="s">
        <v>2</v>
      </c>
      <c r="G346" s="45"/>
      <c r="H346" s="46" t="s">
        <v>240</v>
      </c>
      <c r="I346" s="45"/>
      <c r="J346" s="46" t="s">
        <v>247</v>
      </c>
      <c r="K346" s="46"/>
      <c r="L346" s="296"/>
      <c r="M346" s="44" t="s">
        <v>576</v>
      </c>
    </row>
    <row r="347" spans="1:13" ht="12">
      <c r="A347" s="43" t="s">
        <v>4</v>
      </c>
      <c r="C347" s="47" t="s">
        <v>20</v>
      </c>
      <c r="E347" s="43" t="s">
        <v>4</v>
      </c>
      <c r="G347" s="36"/>
      <c r="H347" s="46" t="s">
        <v>7</v>
      </c>
      <c r="I347" s="36"/>
      <c r="J347" s="46" t="s">
        <v>7</v>
      </c>
      <c r="K347" s="46"/>
      <c r="L347" s="296"/>
      <c r="M347" s="44" t="s">
        <v>8</v>
      </c>
    </row>
    <row r="348" spans="1:13" ht="12">
      <c r="A348" s="40" t="s">
        <v>1</v>
      </c>
      <c r="B348" s="40" t="s">
        <v>1</v>
      </c>
      <c r="C348" s="40" t="s">
        <v>1</v>
      </c>
      <c r="D348" s="40" t="s">
        <v>1</v>
      </c>
      <c r="E348" s="40" t="s">
        <v>1</v>
      </c>
      <c r="F348" s="40" t="s">
        <v>1</v>
      </c>
      <c r="G348" s="41" t="s">
        <v>1</v>
      </c>
      <c r="H348" s="42" t="s">
        <v>1</v>
      </c>
      <c r="I348" s="41" t="s">
        <v>1</v>
      </c>
      <c r="J348" s="42" t="s">
        <v>1</v>
      </c>
      <c r="K348" s="41" t="s">
        <v>1</v>
      </c>
      <c r="L348" s="297" t="s">
        <v>1</v>
      </c>
      <c r="M348" s="42" t="s">
        <v>1</v>
      </c>
    </row>
    <row r="349" spans="1:13" ht="12">
      <c r="A349" s="114">
        <v>1</v>
      </c>
      <c r="C349" s="31" t="s">
        <v>83</v>
      </c>
      <c r="E349" s="114">
        <v>1</v>
      </c>
      <c r="G349" s="81"/>
      <c r="H349" s="81"/>
      <c r="I349" s="81"/>
      <c r="J349" s="81"/>
      <c r="K349" s="81"/>
      <c r="L349" s="296"/>
      <c r="M349" s="26"/>
    </row>
    <row r="350" spans="1:13" ht="12">
      <c r="A350" s="114"/>
      <c r="C350" s="31"/>
      <c r="E350" s="114"/>
      <c r="G350" s="81"/>
      <c r="H350" s="81"/>
      <c r="I350" s="81"/>
      <c r="J350" s="81"/>
      <c r="K350" s="81"/>
      <c r="L350" s="296"/>
      <c r="M350" s="26"/>
    </row>
    <row r="351" spans="1:13" ht="12">
      <c r="A351" s="114">
        <f>(A349+1)</f>
        <v>2</v>
      </c>
      <c r="C351" s="32" t="s">
        <v>584</v>
      </c>
      <c r="E351" s="114">
        <f>(E349+1)</f>
        <v>2</v>
      </c>
      <c r="F351" s="32"/>
      <c r="G351" s="2"/>
      <c r="H351" s="2">
        <v>2571409</v>
      </c>
      <c r="I351" s="2"/>
      <c r="J351" s="2">
        <v>2521548</v>
      </c>
      <c r="K351" s="2"/>
      <c r="L351" s="296"/>
      <c r="M351" s="28">
        <v>2500000</v>
      </c>
    </row>
    <row r="352" spans="1:13" ht="12">
      <c r="A352" s="114">
        <f>(A351+1)</f>
        <v>3</v>
      </c>
      <c r="C352" s="32" t="s">
        <v>259</v>
      </c>
      <c r="E352" s="114">
        <f>(E351+1)</f>
        <v>3</v>
      </c>
      <c r="F352" s="32"/>
      <c r="G352" s="2"/>
      <c r="H352" s="2"/>
      <c r="I352" s="2"/>
      <c r="J352" s="2">
        <v>0</v>
      </c>
      <c r="K352" s="2"/>
      <c r="L352" s="296"/>
      <c r="M352" s="26">
        <v>0</v>
      </c>
    </row>
    <row r="353" spans="1:13" ht="12">
      <c r="A353" s="114">
        <f>(A352+1)</f>
        <v>4</v>
      </c>
      <c r="C353" s="32" t="s">
        <v>220</v>
      </c>
      <c r="E353" s="114">
        <f>(E352+1)</f>
        <v>4</v>
      </c>
      <c r="F353" s="32"/>
      <c r="G353" s="2"/>
      <c r="H353" s="2"/>
      <c r="I353" s="2"/>
      <c r="J353" s="2"/>
      <c r="K353" s="2"/>
      <c r="L353" s="296"/>
      <c r="M353" s="26"/>
    </row>
    <row r="354" spans="1:13" ht="12">
      <c r="A354" s="114">
        <f>(A353+1)</f>
        <v>5</v>
      </c>
      <c r="C354" s="32" t="s">
        <v>258</v>
      </c>
      <c r="E354" s="114">
        <f>(E353+1)</f>
        <v>5</v>
      </c>
      <c r="F354" s="32"/>
      <c r="G354" s="2"/>
      <c r="H354" s="2"/>
      <c r="I354" s="2"/>
      <c r="J354" s="2"/>
      <c r="K354" s="2"/>
      <c r="L354" s="296"/>
      <c r="M354" s="26"/>
    </row>
    <row r="355" spans="1:13" ht="12">
      <c r="A355" s="114">
        <f>(A354+1)</f>
        <v>6</v>
      </c>
      <c r="C355" s="32" t="s">
        <v>79</v>
      </c>
      <c r="E355" s="114">
        <f>(E354+1)</f>
        <v>6</v>
      </c>
      <c r="F355" s="32"/>
      <c r="G355" s="2"/>
      <c r="H355" s="2"/>
      <c r="I355" s="2"/>
      <c r="J355" s="2"/>
      <c r="K355" s="2"/>
      <c r="L355" s="296"/>
      <c r="M355" s="26"/>
    </row>
    <row r="356" spans="1:13" ht="12">
      <c r="A356" s="114">
        <f>(A355+1)</f>
        <v>7</v>
      </c>
      <c r="C356" s="32"/>
      <c r="E356" s="114">
        <f>(E355+1)</f>
        <v>7</v>
      </c>
      <c r="F356" s="32"/>
      <c r="G356" s="2"/>
      <c r="H356" s="2"/>
      <c r="I356" s="2"/>
      <c r="J356" s="2"/>
      <c r="K356" s="2"/>
      <c r="L356" s="296"/>
      <c r="M356" s="26"/>
    </row>
    <row r="357" spans="1:13" ht="12">
      <c r="A357" s="114"/>
      <c r="C357" s="32"/>
      <c r="E357" s="114"/>
      <c r="F357" s="109" t="s">
        <v>1</v>
      </c>
      <c r="G357" s="41" t="s">
        <v>1</v>
      </c>
      <c r="H357" s="42"/>
      <c r="I357" s="41"/>
      <c r="J357" s="42"/>
      <c r="K357" s="42"/>
      <c r="L357" s="297"/>
      <c r="M357" s="42"/>
    </row>
    <row r="358" spans="1:13" ht="12">
      <c r="A358" s="114"/>
      <c r="C358" s="32"/>
      <c r="E358" s="114"/>
      <c r="F358" s="109"/>
      <c r="G358" s="41"/>
      <c r="H358" s="42"/>
      <c r="I358" s="41"/>
      <c r="J358" s="42"/>
      <c r="K358" s="42"/>
      <c r="L358" s="296"/>
      <c r="M358" s="26"/>
    </row>
    <row r="359" spans="1:13" ht="12">
      <c r="A359" s="114">
        <v>9</v>
      </c>
      <c r="C359" s="26" t="s">
        <v>77</v>
      </c>
      <c r="E359" s="114">
        <v>9</v>
      </c>
      <c r="F359" s="32"/>
      <c r="G359" s="2"/>
      <c r="H359" s="2">
        <f>SUM(H351:H357)</f>
        <v>2571409</v>
      </c>
      <c r="I359" s="2"/>
      <c r="J359" s="2">
        <f>SUM(J351:J357)</f>
        <v>2521548</v>
      </c>
      <c r="K359" s="2"/>
      <c r="L359" s="296"/>
      <c r="M359" s="2">
        <f>SUM(M351:M357)</f>
        <v>2500000</v>
      </c>
    </row>
    <row r="360" spans="1:13" ht="12">
      <c r="A360" s="114"/>
      <c r="C360" s="32"/>
      <c r="E360" s="114"/>
      <c r="F360" s="32"/>
      <c r="G360" s="2"/>
      <c r="H360" s="2"/>
      <c r="I360" s="2"/>
      <c r="J360" s="2"/>
      <c r="K360" s="2"/>
      <c r="L360" s="296"/>
      <c r="M360" s="26"/>
    </row>
    <row r="361" spans="1:13" ht="12">
      <c r="A361" s="114">
        <v>11</v>
      </c>
      <c r="C361" s="32" t="s">
        <v>206</v>
      </c>
      <c r="E361" s="114">
        <v>10</v>
      </c>
      <c r="F361" s="32"/>
      <c r="G361" s="2"/>
      <c r="H361" s="2">
        <v>971877</v>
      </c>
      <c r="I361" s="2"/>
      <c r="J361" s="2">
        <f>1143731+107454</f>
        <v>1251185</v>
      </c>
      <c r="K361" s="2"/>
      <c r="L361" s="296"/>
      <c r="M361" s="123">
        <v>200000</v>
      </c>
    </row>
    <row r="362" spans="1:13" ht="12">
      <c r="A362" s="114">
        <v>12</v>
      </c>
      <c r="C362" s="32" t="s">
        <v>80</v>
      </c>
      <c r="E362" s="114">
        <v>11</v>
      </c>
      <c r="F362" s="32"/>
      <c r="G362" s="2"/>
      <c r="H362" s="2"/>
      <c r="I362" s="2"/>
      <c r="J362" s="2">
        <v>0</v>
      </c>
      <c r="K362" s="2"/>
      <c r="L362" s="296"/>
      <c r="M362" s="26"/>
    </row>
    <row r="363" spans="1:13" ht="12">
      <c r="A363" s="114">
        <v>13</v>
      </c>
      <c r="C363" s="32" t="s">
        <v>260</v>
      </c>
      <c r="E363" s="114">
        <v>12</v>
      </c>
      <c r="F363" s="32"/>
      <c r="G363" s="2"/>
      <c r="H363" s="2">
        <f>5378011+628915+9+225901-628915</f>
        <v>5603921</v>
      </c>
      <c r="I363" s="2"/>
      <c r="J363" s="2">
        <f>4471442+763429*0.22-110722</f>
        <v>4528674.38</v>
      </c>
      <c r="K363" s="2"/>
      <c r="L363" s="296"/>
      <c r="M363" s="123">
        <f>13749167-8848100</f>
        <v>4901067</v>
      </c>
    </row>
    <row r="364" spans="1:13" ht="12">
      <c r="A364" s="114"/>
      <c r="C364" s="32"/>
      <c r="E364" s="114">
        <v>13</v>
      </c>
      <c r="F364" s="32"/>
      <c r="G364" s="2"/>
      <c r="H364" s="2"/>
      <c r="I364" s="2"/>
      <c r="J364" s="2"/>
      <c r="K364" s="2"/>
      <c r="L364" s="296"/>
      <c r="M364" s="26"/>
    </row>
    <row r="365" spans="3:13" ht="12">
      <c r="C365" s="32"/>
      <c r="F365" s="109" t="s">
        <v>1</v>
      </c>
      <c r="G365" s="41" t="s">
        <v>1</v>
      </c>
      <c r="H365" s="42"/>
      <c r="I365" s="41"/>
      <c r="J365" s="42"/>
      <c r="K365" s="42"/>
      <c r="L365" s="297"/>
      <c r="M365" s="42"/>
    </row>
    <row r="366" spans="1:13" ht="12">
      <c r="A366" s="114">
        <v>14</v>
      </c>
      <c r="C366" s="26" t="s">
        <v>104</v>
      </c>
      <c r="E366" s="114">
        <v>14</v>
      </c>
      <c r="G366" s="81"/>
      <c r="H366" s="84">
        <f>SUM(H361:H365)</f>
        <v>6575798</v>
      </c>
      <c r="I366" s="81"/>
      <c r="J366" s="84">
        <f>SUM(J361:J365)</f>
        <v>5779859.38</v>
      </c>
      <c r="K366" s="84"/>
      <c r="L366" s="296"/>
      <c r="M366" s="84">
        <f>SUM(M361:M365)</f>
        <v>5101067</v>
      </c>
    </row>
    <row r="367" spans="1:13" ht="12">
      <c r="A367" s="114"/>
      <c r="C367" s="32"/>
      <c r="E367" s="114"/>
      <c r="F367" s="109" t="s">
        <v>1</v>
      </c>
      <c r="G367" s="41" t="s">
        <v>1</v>
      </c>
      <c r="H367" s="42"/>
      <c r="I367" s="41"/>
      <c r="J367" s="42"/>
      <c r="K367" s="42"/>
      <c r="L367" s="297"/>
      <c r="M367" s="42"/>
    </row>
    <row r="368" spans="1:13" ht="12">
      <c r="A368" s="114">
        <v>15</v>
      </c>
      <c r="C368" s="31" t="s">
        <v>84</v>
      </c>
      <c r="E368" s="114">
        <v>15</v>
      </c>
      <c r="G368" s="81"/>
      <c r="H368" s="84">
        <f>SUM(H359,H366)</f>
        <v>9147207</v>
      </c>
      <c r="I368" s="81"/>
      <c r="J368" s="84">
        <f>SUM(J359,J366)</f>
        <v>8301407.38</v>
      </c>
      <c r="K368" s="84"/>
      <c r="L368" s="296"/>
      <c r="M368" s="84">
        <f>SUM(M359,M366)</f>
        <v>7601067</v>
      </c>
    </row>
    <row r="369" spans="1:13" ht="12">
      <c r="A369" s="114"/>
      <c r="C369" s="31"/>
      <c r="E369" s="114"/>
      <c r="G369" s="81"/>
      <c r="H369" s="84"/>
      <c r="I369" s="81"/>
      <c r="J369" s="84"/>
      <c r="K369" s="84"/>
      <c r="L369" s="296"/>
      <c r="M369" s="26"/>
    </row>
    <row r="370" spans="1:13" ht="12">
      <c r="A370" s="114">
        <v>16</v>
      </c>
      <c r="C370" s="31" t="s">
        <v>188</v>
      </c>
      <c r="E370" s="114">
        <v>16</v>
      </c>
      <c r="G370" s="81"/>
      <c r="H370" s="81"/>
      <c r="I370" s="81"/>
      <c r="J370" s="81"/>
      <c r="K370" s="81"/>
      <c r="L370" s="296"/>
      <c r="M370" s="304"/>
    </row>
    <row r="371" spans="1:13" ht="12">
      <c r="A371" s="114">
        <v>17</v>
      </c>
      <c r="C371" s="26" t="s">
        <v>189</v>
      </c>
      <c r="E371" s="114">
        <v>17</v>
      </c>
      <c r="G371" s="81"/>
      <c r="H371" s="81">
        <v>4930</v>
      </c>
      <c r="I371" s="81"/>
      <c r="J371" s="81">
        <v>552349</v>
      </c>
      <c r="K371" s="81"/>
      <c r="L371" s="296"/>
      <c r="M371" s="304">
        <v>883517</v>
      </c>
    </row>
    <row r="372" spans="1:13" ht="12">
      <c r="A372" s="114">
        <v>18</v>
      </c>
      <c r="E372" s="114">
        <v>18</v>
      </c>
      <c r="G372" s="84"/>
      <c r="H372" s="84"/>
      <c r="I372" s="84"/>
      <c r="J372" s="84"/>
      <c r="K372" s="84"/>
      <c r="L372" s="296"/>
      <c r="M372" s="26"/>
    </row>
    <row r="373" spans="1:13" ht="12">
      <c r="A373" s="114">
        <v>19</v>
      </c>
      <c r="E373" s="114">
        <v>19</v>
      </c>
      <c r="G373" s="84"/>
      <c r="H373" s="84"/>
      <c r="I373" s="84"/>
      <c r="J373" s="84"/>
      <c r="K373" s="84"/>
      <c r="L373" s="296"/>
      <c r="M373" s="26"/>
    </row>
    <row r="374" spans="1:13" ht="12">
      <c r="A374" s="114"/>
      <c r="C374" s="115"/>
      <c r="E374" s="114"/>
      <c r="F374" s="109" t="s">
        <v>1</v>
      </c>
      <c r="G374" s="41" t="s">
        <v>1</v>
      </c>
      <c r="H374" s="42"/>
      <c r="I374" s="41"/>
      <c r="J374" s="42"/>
      <c r="K374" s="42"/>
      <c r="L374" s="297"/>
      <c r="M374" s="42"/>
    </row>
    <row r="375" spans="1:13" ht="12">
      <c r="A375" s="114">
        <v>20</v>
      </c>
      <c r="C375" s="115" t="s">
        <v>85</v>
      </c>
      <c r="E375" s="114">
        <v>20</v>
      </c>
      <c r="G375" s="81"/>
      <c r="H375" s="84">
        <f>SUM(H368:H373)</f>
        <v>9152137</v>
      </c>
      <c r="I375" s="81"/>
      <c r="J375" s="84">
        <f>SUM(J368:J373)</f>
        <v>8853756.379999999</v>
      </c>
      <c r="K375" s="84"/>
      <c r="L375" s="296"/>
      <c r="M375" s="84">
        <f>SUM(M368:M373)</f>
        <v>8484584</v>
      </c>
    </row>
    <row r="376" spans="1:13" ht="12">
      <c r="A376" s="117"/>
      <c r="C376" s="31"/>
      <c r="E376" s="69"/>
      <c r="F376" s="109" t="s">
        <v>1</v>
      </c>
      <c r="G376" s="41" t="s">
        <v>1</v>
      </c>
      <c r="H376" s="42" t="s">
        <v>1</v>
      </c>
      <c r="I376" s="41" t="s">
        <v>1</v>
      </c>
      <c r="J376" s="42" t="s">
        <v>1</v>
      </c>
      <c r="K376" s="42"/>
      <c r="L376" s="297"/>
      <c r="M376" s="42"/>
    </row>
    <row r="377" spans="1:13" ht="12">
      <c r="A377" s="117" t="s">
        <v>598</v>
      </c>
      <c r="F377" s="109"/>
      <c r="G377" s="41"/>
      <c r="H377" s="74"/>
      <c r="I377" s="41"/>
      <c r="J377" s="74"/>
      <c r="K377" s="74"/>
      <c r="L377" s="296"/>
      <c r="M377" s="26"/>
    </row>
    <row r="378" spans="1:13" ht="12">
      <c r="A378" s="114"/>
      <c r="C378" s="115"/>
      <c r="E378" s="114"/>
      <c r="H378" s="84"/>
      <c r="I378" s="81"/>
      <c r="J378" s="84"/>
      <c r="K378" s="84"/>
      <c r="L378" s="81"/>
      <c r="M378" s="84"/>
    </row>
    <row r="379" spans="1:13" ht="12">
      <c r="A379" s="114"/>
      <c r="C379" s="115"/>
      <c r="E379" s="114"/>
      <c r="H379" s="84"/>
      <c r="I379" s="81"/>
      <c r="J379" s="84"/>
      <c r="K379" s="84"/>
      <c r="L379" s="81"/>
      <c r="M379" s="84"/>
    </row>
    <row r="380" spans="1:13" ht="12">
      <c r="A380" s="117"/>
      <c r="C380" s="31"/>
      <c r="E380" s="69"/>
      <c r="F380" s="109" t="s">
        <v>1</v>
      </c>
      <c r="G380" s="109"/>
      <c r="H380" s="109"/>
      <c r="I380" s="41" t="s">
        <v>1</v>
      </c>
      <c r="J380" s="42" t="s">
        <v>1</v>
      </c>
      <c r="K380" s="109" t="s">
        <v>1</v>
      </c>
      <c r="L380" s="41" t="s">
        <v>1</v>
      </c>
      <c r="M380" s="42" t="s">
        <v>1</v>
      </c>
    </row>
    <row r="381" spans="3:13" ht="12">
      <c r="C381" s="31"/>
      <c r="E381" s="69"/>
      <c r="F381" s="109"/>
      <c r="G381" s="109"/>
      <c r="H381" s="109"/>
      <c r="I381" s="41"/>
      <c r="J381" s="42"/>
      <c r="K381" s="109"/>
      <c r="L381" s="41"/>
      <c r="M381" s="42"/>
    </row>
    <row r="382" spans="6:13" ht="12">
      <c r="F382" s="109"/>
      <c r="G382" s="109"/>
      <c r="H382" s="109"/>
      <c r="I382" s="41"/>
      <c r="J382" s="74"/>
      <c r="K382" s="109"/>
      <c r="L382" s="41"/>
      <c r="M382" s="74"/>
    </row>
    <row r="383" spans="1:13" s="65" customFormat="1" ht="12">
      <c r="A383" s="38" t="str">
        <f>$A$35</f>
        <v>Institution No.:  GFD</v>
      </c>
      <c r="E383" s="70"/>
      <c r="I383" s="71"/>
      <c r="J383" s="72"/>
      <c r="L383" s="71"/>
      <c r="M383" s="37" t="s">
        <v>211</v>
      </c>
    </row>
    <row r="384" spans="4:13" s="65" customFormat="1" ht="12">
      <c r="D384" s="79" t="s">
        <v>267</v>
      </c>
      <c r="E384" s="70"/>
      <c r="I384" s="71"/>
      <c r="J384" s="72"/>
      <c r="L384" s="71"/>
      <c r="M384" s="72"/>
    </row>
    <row r="385" spans="1:13" ht="12">
      <c r="A385" s="38" t="s">
        <v>551</v>
      </c>
      <c r="C385" s="26" t="s">
        <v>552</v>
      </c>
      <c r="F385" s="113"/>
      <c r="G385" s="113"/>
      <c r="H385" s="113"/>
      <c r="I385" s="104"/>
      <c r="J385" s="74"/>
      <c r="L385" s="36"/>
      <c r="M385" s="39" t="str">
        <f>$M$3</f>
        <v>Date: 10/1/2009</v>
      </c>
    </row>
    <row r="386" spans="1:13" ht="12">
      <c r="A386" s="40" t="s">
        <v>1</v>
      </c>
      <c r="B386" s="40" t="s">
        <v>1</v>
      </c>
      <c r="C386" s="40" t="s">
        <v>1</v>
      </c>
      <c r="D386" s="40" t="s">
        <v>1</v>
      </c>
      <c r="E386" s="40" t="s">
        <v>1</v>
      </c>
      <c r="F386" s="40" t="s">
        <v>1</v>
      </c>
      <c r="G386" s="40"/>
      <c r="H386" s="40"/>
      <c r="I386" s="41" t="s">
        <v>1</v>
      </c>
      <c r="J386" s="42" t="s">
        <v>1</v>
      </c>
      <c r="K386" s="40" t="s">
        <v>1</v>
      </c>
      <c r="L386" s="41" t="s">
        <v>1</v>
      </c>
      <c r="M386" s="42" t="s">
        <v>1</v>
      </c>
    </row>
    <row r="387" spans="1:13" ht="12">
      <c r="A387" s="43" t="s">
        <v>2</v>
      </c>
      <c r="E387" s="43" t="s">
        <v>2</v>
      </c>
      <c r="H387" s="44" t="s">
        <v>238</v>
      </c>
      <c r="I387" s="45"/>
      <c r="J387" s="46" t="s">
        <v>240</v>
      </c>
      <c r="K387" s="44"/>
      <c r="L387" s="45"/>
      <c r="M387" s="46" t="s">
        <v>254</v>
      </c>
    </row>
    <row r="388" spans="1:13" ht="12">
      <c r="A388" s="43" t="s">
        <v>4</v>
      </c>
      <c r="C388" s="47" t="s">
        <v>20</v>
      </c>
      <c r="E388" s="43" t="s">
        <v>4</v>
      </c>
      <c r="H388" s="46" t="s">
        <v>7</v>
      </c>
      <c r="I388" s="36"/>
      <c r="J388" s="46" t="s">
        <v>7</v>
      </c>
      <c r="L388" s="36"/>
      <c r="M388" s="46" t="s">
        <v>8</v>
      </c>
    </row>
    <row r="389" spans="1:13" ht="12">
      <c r="A389" s="40" t="s">
        <v>1</v>
      </c>
      <c r="B389" s="40" t="s">
        <v>1</v>
      </c>
      <c r="C389" s="40" t="s">
        <v>1</v>
      </c>
      <c r="D389" s="40" t="s">
        <v>1</v>
      </c>
      <c r="E389" s="40" t="s">
        <v>1</v>
      </c>
      <c r="F389" s="40" t="s">
        <v>1</v>
      </c>
      <c r="G389" s="40"/>
      <c r="H389" s="40"/>
      <c r="I389" s="41" t="s">
        <v>1</v>
      </c>
      <c r="J389" s="42" t="s">
        <v>1</v>
      </c>
      <c r="K389" s="40" t="s">
        <v>1</v>
      </c>
      <c r="L389" s="41" t="s">
        <v>1</v>
      </c>
      <c r="M389" s="42" t="s">
        <v>1</v>
      </c>
    </row>
    <row r="390" spans="1:13" ht="12">
      <c r="A390" s="114">
        <v>1</v>
      </c>
      <c r="C390" s="31" t="s">
        <v>268</v>
      </c>
      <c r="E390" s="114">
        <v>1</v>
      </c>
      <c r="H390" s="84"/>
      <c r="I390" s="81"/>
      <c r="J390" s="81"/>
      <c r="K390" s="84"/>
      <c r="L390" s="81"/>
      <c r="M390" s="81"/>
    </row>
    <row r="391" spans="1:13" ht="12">
      <c r="A391" s="114"/>
      <c r="C391" s="31"/>
      <c r="E391" s="114"/>
      <c r="H391" s="84"/>
      <c r="I391" s="81"/>
      <c r="J391" s="81"/>
      <c r="K391" s="84"/>
      <c r="L391" s="81"/>
      <c r="M391" s="81"/>
    </row>
    <row r="392" spans="1:13" ht="12">
      <c r="A392" s="114">
        <f>(A390+1)</f>
        <v>2</v>
      </c>
      <c r="C392" s="32" t="s">
        <v>269</v>
      </c>
      <c r="E392" s="114">
        <f>(E390+1)</f>
        <v>2</v>
      </c>
      <c r="F392" s="32"/>
      <c r="G392" s="32"/>
      <c r="H392" s="2"/>
      <c r="I392" s="2"/>
      <c r="J392" s="2">
        <v>0</v>
      </c>
      <c r="K392" s="2"/>
      <c r="L392" s="2"/>
      <c r="M392" s="2">
        <v>0</v>
      </c>
    </row>
    <row r="393" spans="1:13" ht="12">
      <c r="A393" s="114">
        <f>(A392+1)</f>
        <v>3</v>
      </c>
      <c r="C393" s="32" t="s">
        <v>212</v>
      </c>
      <c r="E393" s="114">
        <f>(E392+1)</f>
        <v>3</v>
      </c>
      <c r="F393" s="32"/>
      <c r="G393" s="32"/>
      <c r="H393" s="2">
        <v>0</v>
      </c>
      <c r="I393" s="2"/>
      <c r="J393" s="2">
        <v>0</v>
      </c>
      <c r="K393" s="2"/>
      <c r="L393" s="2"/>
      <c r="M393" s="2">
        <v>0</v>
      </c>
    </row>
    <row r="394" spans="1:13" ht="12">
      <c r="A394" s="114">
        <f>(A393+1)</f>
        <v>4</v>
      </c>
      <c r="C394" s="32" t="s">
        <v>213</v>
      </c>
      <c r="E394" s="114">
        <f>(E393+1)</f>
        <v>4</v>
      </c>
      <c r="F394" s="32"/>
      <c r="G394" s="32"/>
      <c r="H394" s="2">
        <v>0</v>
      </c>
      <c r="I394" s="2"/>
      <c r="J394" s="2"/>
      <c r="K394" s="2"/>
      <c r="L394" s="2"/>
      <c r="M394" s="2"/>
    </row>
    <row r="395" spans="1:13" ht="12">
      <c r="A395" s="114"/>
      <c r="C395" s="32"/>
      <c r="E395" s="114"/>
      <c r="F395" s="109" t="s">
        <v>1</v>
      </c>
      <c r="G395" s="109"/>
      <c r="H395" s="109"/>
      <c r="I395" s="41" t="s">
        <v>1</v>
      </c>
      <c r="J395" s="42"/>
      <c r="K395" s="109"/>
      <c r="L395" s="41"/>
      <c r="M395" s="42"/>
    </row>
    <row r="396" spans="1:13" ht="12">
      <c r="A396" s="114">
        <v>9</v>
      </c>
      <c r="C396" s="26" t="s">
        <v>193</v>
      </c>
      <c r="E396" s="114">
        <v>9</v>
      </c>
      <c r="F396" s="32"/>
      <c r="G396" s="32"/>
      <c r="H396" s="2">
        <f>SUM(H392:H393)</f>
        <v>0</v>
      </c>
      <c r="I396" s="2"/>
      <c r="J396" s="2">
        <f>SUM(J392:J393)</f>
        <v>0</v>
      </c>
      <c r="K396" s="2"/>
      <c r="L396" s="2"/>
      <c r="M396" s="2">
        <f>SUM(M392:M393)</f>
        <v>0</v>
      </c>
    </row>
    <row r="397" spans="1:13" ht="12">
      <c r="A397" s="114"/>
      <c r="C397" s="32"/>
      <c r="E397" s="114"/>
      <c r="F397" s="32"/>
      <c r="G397" s="32"/>
      <c r="H397" s="2"/>
      <c r="I397" s="2"/>
      <c r="J397" s="2"/>
      <c r="K397" s="2"/>
      <c r="L397" s="2"/>
      <c r="M397" s="2"/>
    </row>
    <row r="398" spans="1:13" ht="12">
      <c r="A398" s="114"/>
      <c r="C398" s="32"/>
      <c r="E398" s="114"/>
      <c r="F398" s="32"/>
      <c r="G398" s="32"/>
      <c r="H398" s="2"/>
      <c r="I398" s="2"/>
      <c r="J398" s="2"/>
      <c r="K398" s="2"/>
      <c r="L398" s="2"/>
      <c r="M398" s="2"/>
    </row>
    <row r="399" spans="1:13" ht="12">
      <c r="A399" s="114"/>
      <c r="C399" s="32"/>
      <c r="E399" s="114"/>
      <c r="F399" s="32"/>
      <c r="G399" s="32"/>
      <c r="H399" s="2"/>
      <c r="I399" s="2"/>
      <c r="J399" s="2"/>
      <c r="K399" s="2"/>
      <c r="L399" s="2"/>
      <c r="M399" s="2"/>
    </row>
    <row r="400" spans="1:13" ht="12">
      <c r="A400" s="114"/>
      <c r="C400" s="32"/>
      <c r="E400" s="114"/>
      <c r="F400" s="32"/>
      <c r="G400" s="32"/>
      <c r="H400" s="2"/>
      <c r="I400" s="2"/>
      <c r="J400" s="2"/>
      <c r="K400" s="2"/>
      <c r="L400" s="2"/>
      <c r="M400" s="2"/>
    </row>
    <row r="401" spans="1:13" ht="12">
      <c r="A401" s="114"/>
      <c r="C401" s="32"/>
      <c r="E401" s="114"/>
      <c r="F401" s="32"/>
      <c r="G401" s="32"/>
      <c r="H401" s="2"/>
      <c r="I401" s="2"/>
      <c r="J401" s="2"/>
      <c r="K401" s="2"/>
      <c r="L401" s="2"/>
      <c r="M401" s="2"/>
    </row>
    <row r="402" spans="3:13" ht="12">
      <c r="C402" s="32"/>
      <c r="F402" s="109"/>
      <c r="G402" s="109"/>
      <c r="H402" s="109"/>
      <c r="I402" s="41"/>
      <c r="J402" s="42"/>
      <c r="K402" s="109"/>
      <c r="L402" s="41"/>
      <c r="M402" s="42"/>
    </row>
    <row r="403" spans="1:13" ht="12">
      <c r="A403" s="114"/>
      <c r="E403" s="114"/>
      <c r="H403" s="84"/>
      <c r="I403" s="81"/>
      <c r="J403" s="84"/>
      <c r="K403" s="84"/>
      <c r="L403" s="81"/>
      <c r="M403" s="84"/>
    </row>
    <row r="404" spans="1:13" ht="12">
      <c r="A404" s="114"/>
      <c r="C404" s="32"/>
      <c r="E404" s="114"/>
      <c r="F404" s="109"/>
      <c r="G404" s="109"/>
      <c r="H404" s="109"/>
      <c r="I404" s="41"/>
      <c r="J404" s="42"/>
      <c r="K404" s="109"/>
      <c r="L404" s="41"/>
      <c r="M404" s="42"/>
    </row>
    <row r="405" spans="1:13" ht="12">
      <c r="A405" s="114"/>
      <c r="C405" s="31"/>
      <c r="E405" s="114"/>
      <c r="H405" s="84"/>
      <c r="I405" s="81"/>
      <c r="J405" s="84"/>
      <c r="K405" s="84"/>
      <c r="L405" s="81"/>
      <c r="M405" s="84"/>
    </row>
    <row r="406" spans="1:13" ht="12">
      <c r="A406" s="114"/>
      <c r="C406" s="31"/>
      <c r="E406" s="114"/>
      <c r="H406" s="84"/>
      <c r="I406" s="81"/>
      <c r="J406" s="84"/>
      <c r="K406" s="84"/>
      <c r="L406" s="81"/>
      <c r="M406" s="84"/>
    </row>
    <row r="407" spans="1:13" ht="12">
      <c r="A407" s="114"/>
      <c r="C407" s="31"/>
      <c r="E407" s="114"/>
      <c r="H407" s="84"/>
      <c r="I407" s="81"/>
      <c r="J407" s="81"/>
      <c r="K407" s="84"/>
      <c r="L407" s="81"/>
      <c r="M407" s="81"/>
    </row>
    <row r="408" spans="1:13" ht="12">
      <c r="A408" s="114"/>
      <c r="E408" s="114"/>
      <c r="H408" s="84"/>
      <c r="I408" s="81"/>
      <c r="J408" s="81"/>
      <c r="K408" s="84"/>
      <c r="L408" s="81"/>
      <c r="M408" s="81"/>
    </row>
    <row r="409" spans="1:13" ht="12">
      <c r="A409" s="114"/>
      <c r="E409" s="114"/>
      <c r="H409" s="84"/>
      <c r="I409" s="84"/>
      <c r="J409" s="84"/>
      <c r="K409" s="84"/>
      <c r="L409" s="84"/>
      <c r="M409" s="84"/>
    </row>
    <row r="410" spans="1:13" ht="12">
      <c r="A410" s="114"/>
      <c r="E410" s="114"/>
      <c r="H410" s="84"/>
      <c r="I410" s="84"/>
      <c r="J410" s="84"/>
      <c r="K410" s="84"/>
      <c r="L410" s="84"/>
      <c r="M410" s="84"/>
    </row>
    <row r="411" spans="1:13" ht="12">
      <c r="A411" s="114"/>
      <c r="C411" s="115"/>
      <c r="E411" s="114"/>
      <c r="F411" s="109"/>
      <c r="G411" s="109"/>
      <c r="H411" s="109"/>
      <c r="I411" s="41"/>
      <c r="J411" s="42"/>
      <c r="K411" s="109"/>
      <c r="L411" s="41"/>
      <c r="M411" s="42"/>
    </row>
    <row r="412" spans="1:13" ht="12">
      <c r="A412" s="114"/>
      <c r="C412" s="115"/>
      <c r="E412" s="114"/>
      <c r="H412" s="84"/>
      <c r="I412" s="81"/>
      <c r="J412" s="84"/>
      <c r="K412" s="84"/>
      <c r="L412" s="81"/>
      <c r="M412" s="84"/>
    </row>
    <row r="413" spans="1:13" ht="12">
      <c r="A413" s="117"/>
      <c r="C413" s="31"/>
      <c r="E413" s="69"/>
      <c r="F413" s="109"/>
      <c r="G413" s="109"/>
      <c r="H413" s="109"/>
      <c r="I413" s="41"/>
      <c r="J413" s="42"/>
      <c r="K413" s="109"/>
      <c r="L413" s="41"/>
      <c r="M413" s="42"/>
    </row>
    <row r="415" spans="1:13" s="65" customFormat="1" ht="12">
      <c r="A415" s="38" t="str">
        <f>$A$35</f>
        <v>Institution No.:  GFD</v>
      </c>
      <c r="E415" s="70"/>
      <c r="I415" s="71"/>
      <c r="J415" s="72"/>
      <c r="L415" s="71"/>
      <c r="M415" s="37" t="s">
        <v>81</v>
      </c>
    </row>
    <row r="416" spans="1:13" ht="12.75" customHeight="1">
      <c r="A416" s="400" t="s">
        <v>207</v>
      </c>
      <c r="B416" s="400"/>
      <c r="C416" s="400"/>
      <c r="D416" s="400"/>
      <c r="E416" s="400"/>
      <c r="F416" s="400"/>
      <c r="G416" s="400"/>
      <c r="H416" s="400"/>
      <c r="I416" s="400"/>
      <c r="J416" s="400"/>
      <c r="K416" s="400"/>
      <c r="L416" s="400"/>
      <c r="M416" s="400"/>
    </row>
    <row r="417" spans="1:13" ht="12">
      <c r="A417" s="38" t="s">
        <v>551</v>
      </c>
      <c r="C417" s="26" t="s">
        <v>552</v>
      </c>
      <c r="J417" s="74"/>
      <c r="L417" s="36"/>
      <c r="M417" s="39" t="str">
        <f>$M$3</f>
        <v>Date: 10/1/2009</v>
      </c>
    </row>
    <row r="418" spans="1:13" ht="12">
      <c r="A418" s="40" t="s">
        <v>1</v>
      </c>
      <c r="B418" s="40" t="s">
        <v>1</v>
      </c>
      <c r="C418" s="40" t="s">
        <v>1</v>
      </c>
      <c r="D418" s="40" t="s">
        <v>1</v>
      </c>
      <c r="E418" s="40" t="s">
        <v>1</v>
      </c>
      <c r="F418" s="40" t="s">
        <v>1</v>
      </c>
      <c r="G418" s="40"/>
      <c r="H418" s="40"/>
      <c r="I418" s="41" t="s">
        <v>1</v>
      </c>
      <c r="J418" s="42" t="s">
        <v>1</v>
      </c>
      <c r="K418" s="40" t="s">
        <v>1</v>
      </c>
      <c r="L418" s="41" t="s">
        <v>1</v>
      </c>
      <c r="M418" s="42" t="s">
        <v>1</v>
      </c>
    </row>
    <row r="419" spans="1:13" ht="12">
      <c r="A419" s="43" t="s">
        <v>2</v>
      </c>
      <c r="E419" s="43" t="s">
        <v>2</v>
      </c>
      <c r="F419" s="44"/>
      <c r="G419" s="45"/>
      <c r="H419" s="46" t="s">
        <v>240</v>
      </c>
      <c r="I419" s="45"/>
      <c r="J419" s="46" t="s">
        <v>247</v>
      </c>
      <c r="K419" s="46"/>
      <c r="L419" s="296"/>
      <c r="M419" s="44" t="s">
        <v>576</v>
      </c>
    </row>
    <row r="420" spans="1:13" ht="12">
      <c r="A420" s="43" t="s">
        <v>4</v>
      </c>
      <c r="C420" s="47" t="s">
        <v>20</v>
      </c>
      <c r="E420" s="43" t="s">
        <v>4</v>
      </c>
      <c r="F420" s="44"/>
      <c r="G420" s="45"/>
      <c r="H420" s="46" t="s">
        <v>7</v>
      </c>
      <c r="I420" s="45"/>
      <c r="J420" s="46" t="s">
        <v>7</v>
      </c>
      <c r="K420" s="46"/>
      <c r="L420" s="296"/>
      <c r="M420" s="44" t="s">
        <v>8</v>
      </c>
    </row>
    <row r="421" spans="1:13" ht="12">
      <c r="A421" s="40" t="s">
        <v>1</v>
      </c>
      <c r="B421" s="40" t="s">
        <v>1</v>
      </c>
      <c r="C421" s="40" t="s">
        <v>1</v>
      </c>
      <c r="D421" s="40" t="s">
        <v>1</v>
      </c>
      <c r="E421" s="40" t="s">
        <v>1</v>
      </c>
      <c r="F421" s="40" t="s">
        <v>1</v>
      </c>
      <c r="G421" s="41" t="s">
        <v>1</v>
      </c>
      <c r="H421" s="42" t="s">
        <v>1</v>
      </c>
      <c r="I421" s="41" t="s">
        <v>1</v>
      </c>
      <c r="J421" s="42" t="s">
        <v>1</v>
      </c>
      <c r="K421" s="41" t="s">
        <v>1</v>
      </c>
      <c r="L421" s="297" t="s">
        <v>1</v>
      </c>
      <c r="M421" s="42" t="s">
        <v>1</v>
      </c>
    </row>
    <row r="422" spans="1:13" ht="12">
      <c r="A422" s="118">
        <v>1</v>
      </c>
      <c r="C422" s="31" t="s">
        <v>583</v>
      </c>
      <c r="E422" s="118">
        <v>1</v>
      </c>
      <c r="F422" s="32"/>
      <c r="G422" s="33"/>
      <c r="H422" s="67">
        <v>16942522</v>
      </c>
      <c r="I422" s="66"/>
      <c r="J422" s="67">
        <f>13360157</f>
        <v>13360157</v>
      </c>
      <c r="K422" s="67"/>
      <c r="L422" s="296"/>
      <c r="M422" s="289">
        <f>1268759+6628127+6205512-1244330</f>
        <v>12858068</v>
      </c>
    </row>
    <row r="423" spans="1:13" ht="12">
      <c r="A423" s="118">
        <f aca="true" t="shared" si="7" ref="A423:A429">(A422+1)</f>
        <v>2</v>
      </c>
      <c r="E423" s="118">
        <f aca="true" t="shared" si="8" ref="E423:E429">(E422+1)</f>
        <v>2</v>
      </c>
      <c r="F423" s="32"/>
      <c r="G423" s="119"/>
      <c r="H423" s="119"/>
      <c r="I423" s="119"/>
      <c r="J423" s="119"/>
      <c r="K423" s="119"/>
      <c r="L423" s="296"/>
      <c r="M423" s="26"/>
    </row>
    <row r="424" spans="1:13" ht="12">
      <c r="A424" s="118">
        <f t="shared" si="7"/>
        <v>3</v>
      </c>
      <c r="C424" s="31"/>
      <c r="E424" s="118">
        <f t="shared" si="8"/>
        <v>3</v>
      </c>
      <c r="F424" s="32"/>
      <c r="G424" s="119"/>
      <c r="H424" s="119"/>
      <c r="I424" s="119"/>
      <c r="J424" s="119"/>
      <c r="K424" s="119"/>
      <c r="L424" s="296"/>
      <c r="M424" s="26"/>
    </row>
    <row r="425" spans="1:13" ht="12">
      <c r="A425" s="118">
        <f t="shared" si="7"/>
        <v>4</v>
      </c>
      <c r="C425" s="31"/>
      <c r="E425" s="118">
        <f t="shared" si="8"/>
        <v>4</v>
      </c>
      <c r="F425" s="32"/>
      <c r="G425" s="119"/>
      <c r="H425" s="119"/>
      <c r="I425" s="119"/>
      <c r="J425" s="119"/>
      <c r="K425" s="119"/>
      <c r="L425" s="296"/>
      <c r="M425" s="26"/>
    </row>
    <row r="426" spans="1:13" ht="12">
      <c r="A426" s="118">
        <f t="shared" si="7"/>
        <v>5</v>
      </c>
      <c r="C426" s="32"/>
      <c r="E426" s="118">
        <f t="shared" si="8"/>
        <v>5</v>
      </c>
      <c r="F426" s="32"/>
      <c r="G426" s="119"/>
      <c r="H426" s="119"/>
      <c r="I426" s="119"/>
      <c r="J426" s="119"/>
      <c r="K426" s="119"/>
      <c r="L426" s="296"/>
      <c r="M426" s="26"/>
    </row>
    <row r="427" spans="1:13" ht="12">
      <c r="A427" s="118">
        <f t="shared" si="7"/>
        <v>6</v>
      </c>
      <c r="C427" s="31"/>
      <c r="E427" s="118">
        <f t="shared" si="8"/>
        <v>6</v>
      </c>
      <c r="F427" s="32"/>
      <c r="G427" s="119"/>
      <c r="H427" s="119"/>
      <c r="I427" s="119"/>
      <c r="J427" s="119"/>
      <c r="K427" s="119"/>
      <c r="L427" s="296"/>
      <c r="M427" s="26"/>
    </row>
    <row r="428" spans="1:13" ht="12">
      <c r="A428" s="118">
        <f t="shared" si="7"/>
        <v>7</v>
      </c>
      <c r="C428" s="31"/>
      <c r="E428" s="118">
        <f t="shared" si="8"/>
        <v>7</v>
      </c>
      <c r="F428" s="32"/>
      <c r="G428" s="32"/>
      <c r="H428" s="119"/>
      <c r="I428" s="119"/>
      <c r="J428" s="119"/>
      <c r="K428" s="119"/>
      <c r="L428" s="119"/>
      <c r="M428" s="119"/>
    </row>
    <row r="429" spans="1:13" ht="12">
      <c r="A429" s="118">
        <f t="shared" si="7"/>
        <v>8</v>
      </c>
      <c r="C429" s="32"/>
      <c r="E429" s="118">
        <f t="shared" si="8"/>
        <v>8</v>
      </c>
      <c r="F429" s="32"/>
      <c r="G429" s="32"/>
      <c r="H429" s="119">
        <v>0</v>
      </c>
      <c r="I429" s="119"/>
      <c r="J429" s="119">
        <v>0</v>
      </c>
      <c r="K429" s="119"/>
      <c r="L429" s="119"/>
      <c r="M429" s="119"/>
    </row>
    <row r="430" spans="1:13" ht="12">
      <c r="A430" s="118">
        <f aca="true" t="shared" si="9" ref="A430:A445">(A429+1)</f>
        <v>9</v>
      </c>
      <c r="C430" s="32"/>
      <c r="E430" s="118">
        <f aca="true" t="shared" si="10" ref="E430:E445">(E429+1)</f>
        <v>9</v>
      </c>
      <c r="F430" s="32"/>
      <c r="G430" s="32"/>
      <c r="H430" s="119"/>
      <c r="I430" s="119"/>
      <c r="J430" s="119"/>
      <c r="K430" s="119"/>
      <c r="L430" s="119"/>
      <c r="M430" s="119"/>
    </row>
    <row r="431" spans="1:13" ht="12">
      <c r="A431" s="118">
        <f t="shared" si="9"/>
        <v>10</v>
      </c>
      <c r="E431" s="118">
        <f t="shared" si="10"/>
        <v>10</v>
      </c>
      <c r="F431" s="32"/>
      <c r="G431" s="32"/>
      <c r="H431" s="119"/>
      <c r="I431" s="119"/>
      <c r="J431" s="119"/>
      <c r="K431" s="119"/>
      <c r="L431" s="119"/>
      <c r="M431" s="119"/>
    </row>
    <row r="432" spans="1:13" ht="12">
      <c r="A432" s="118">
        <f t="shared" si="9"/>
        <v>11</v>
      </c>
      <c r="E432" s="118">
        <f t="shared" si="10"/>
        <v>11</v>
      </c>
      <c r="F432" s="32"/>
      <c r="G432" s="32"/>
      <c r="H432" s="119"/>
      <c r="I432" s="119"/>
      <c r="J432" s="119"/>
      <c r="K432" s="119"/>
      <c r="L432" s="119"/>
      <c r="M432" s="119"/>
    </row>
    <row r="433" spans="1:13" ht="12">
      <c r="A433" s="118">
        <f t="shared" si="9"/>
        <v>12</v>
      </c>
      <c r="E433" s="118">
        <f t="shared" si="10"/>
        <v>12</v>
      </c>
      <c r="F433" s="32"/>
      <c r="G433" s="32"/>
      <c r="H433" s="119"/>
      <c r="I433" s="119"/>
      <c r="J433" s="119"/>
      <c r="K433" s="119"/>
      <c r="L433" s="119"/>
      <c r="M433" s="119"/>
    </row>
    <row r="434" spans="1:13" ht="12">
      <c r="A434" s="118">
        <f t="shared" si="9"/>
        <v>13</v>
      </c>
      <c r="C434" s="32"/>
      <c r="E434" s="118">
        <f t="shared" si="10"/>
        <v>13</v>
      </c>
      <c r="F434" s="32"/>
      <c r="G434" s="32"/>
      <c r="H434" s="119"/>
      <c r="I434" s="119"/>
      <c r="J434" s="119"/>
      <c r="K434" s="119"/>
      <c r="L434" s="119"/>
      <c r="M434" s="119"/>
    </row>
    <row r="435" spans="1:13" ht="12">
      <c r="A435" s="118">
        <f t="shared" si="9"/>
        <v>14</v>
      </c>
      <c r="C435" s="32" t="s">
        <v>183</v>
      </c>
      <c r="E435" s="118">
        <f t="shared" si="10"/>
        <v>14</v>
      </c>
      <c r="F435" s="32"/>
      <c r="G435" s="32"/>
      <c r="H435" s="119"/>
      <c r="I435" s="119"/>
      <c r="J435" s="119"/>
      <c r="K435" s="119"/>
      <c r="L435" s="119"/>
      <c r="M435" s="119"/>
    </row>
    <row r="436" spans="1:13" ht="12">
      <c r="A436" s="118">
        <f t="shared" si="9"/>
        <v>15</v>
      </c>
      <c r="C436" s="32"/>
      <c r="E436" s="118">
        <f t="shared" si="10"/>
        <v>15</v>
      </c>
      <c r="F436" s="32"/>
      <c r="G436" s="32"/>
      <c r="H436" s="119">
        <v>0</v>
      </c>
      <c r="I436" s="119"/>
      <c r="J436" s="119">
        <v>0</v>
      </c>
      <c r="K436" s="119"/>
      <c r="L436" s="119"/>
      <c r="M436" s="119"/>
    </row>
    <row r="437" spans="1:13" ht="12">
      <c r="A437" s="118">
        <f t="shared" si="9"/>
        <v>16</v>
      </c>
      <c r="C437" s="32"/>
      <c r="E437" s="118">
        <f t="shared" si="10"/>
        <v>16</v>
      </c>
      <c r="F437" s="32"/>
      <c r="G437" s="32"/>
      <c r="H437" s="119"/>
      <c r="I437" s="119"/>
      <c r="J437" s="119"/>
      <c r="K437" s="119"/>
      <c r="L437" s="119"/>
      <c r="M437" s="119"/>
    </row>
    <row r="438" spans="1:13" ht="12">
      <c r="A438" s="118">
        <f t="shared" si="9"/>
        <v>17</v>
      </c>
      <c r="C438" s="32"/>
      <c r="E438" s="118">
        <f t="shared" si="10"/>
        <v>17</v>
      </c>
      <c r="F438" s="32"/>
      <c r="G438" s="32"/>
      <c r="H438" s="119"/>
      <c r="I438" s="119"/>
      <c r="J438" s="119"/>
      <c r="K438" s="119"/>
      <c r="L438" s="119"/>
      <c r="M438" s="119"/>
    </row>
    <row r="439" spans="1:13" ht="12">
      <c r="A439" s="118">
        <f t="shared" si="9"/>
        <v>18</v>
      </c>
      <c r="C439" s="32"/>
      <c r="E439" s="118">
        <f t="shared" si="10"/>
        <v>18</v>
      </c>
      <c r="F439" s="32"/>
      <c r="G439" s="32"/>
      <c r="H439" s="119"/>
      <c r="I439" s="119"/>
      <c r="J439" s="119"/>
      <c r="K439" s="119"/>
      <c r="L439" s="119"/>
      <c r="M439" s="119"/>
    </row>
    <row r="440" spans="1:13" ht="12">
      <c r="A440" s="118">
        <f t="shared" si="9"/>
        <v>19</v>
      </c>
      <c r="C440" s="32"/>
      <c r="E440" s="118">
        <f t="shared" si="10"/>
        <v>19</v>
      </c>
      <c r="F440" s="32"/>
      <c r="G440" s="32"/>
      <c r="H440" s="119"/>
      <c r="I440" s="119"/>
      <c r="J440" s="119"/>
      <c r="K440" s="119"/>
      <c r="L440" s="119"/>
      <c r="M440" s="119"/>
    </row>
    <row r="441" spans="1:13" ht="12">
      <c r="A441" s="118">
        <f t="shared" si="9"/>
        <v>20</v>
      </c>
      <c r="C441" s="32"/>
      <c r="E441" s="118">
        <f t="shared" si="10"/>
        <v>20</v>
      </c>
      <c r="F441" s="32"/>
      <c r="G441" s="32"/>
      <c r="H441" s="119"/>
      <c r="I441" s="119"/>
      <c r="J441" s="119"/>
      <c r="K441" s="119"/>
      <c r="L441" s="119"/>
      <c r="M441" s="119"/>
    </row>
    <row r="442" spans="1:13" ht="12">
      <c r="A442" s="118">
        <f t="shared" si="9"/>
        <v>21</v>
      </c>
      <c r="C442" s="32"/>
      <c r="E442" s="118">
        <f t="shared" si="10"/>
        <v>21</v>
      </c>
      <c r="F442" s="32"/>
      <c r="G442" s="32"/>
      <c r="H442" s="119"/>
      <c r="I442" s="119"/>
      <c r="J442" s="119"/>
      <c r="K442" s="119"/>
      <c r="L442" s="119"/>
      <c r="M442" s="119"/>
    </row>
    <row r="443" spans="1:13" ht="12">
      <c r="A443" s="118">
        <f t="shared" si="9"/>
        <v>22</v>
      </c>
      <c r="C443" s="32"/>
      <c r="E443" s="118">
        <f t="shared" si="10"/>
        <v>22</v>
      </c>
      <c r="F443" s="32"/>
      <c r="G443" s="32"/>
      <c r="H443" s="119"/>
      <c r="I443" s="119"/>
      <c r="J443" s="119"/>
      <c r="K443" s="119"/>
      <c r="L443" s="119"/>
      <c r="M443" s="119"/>
    </row>
    <row r="444" spans="1:13" ht="12">
      <c r="A444" s="118">
        <f t="shared" si="9"/>
        <v>23</v>
      </c>
      <c r="C444" s="32"/>
      <c r="E444" s="118">
        <f t="shared" si="10"/>
        <v>23</v>
      </c>
      <c r="F444" s="32"/>
      <c r="G444" s="32"/>
      <c r="H444" s="119"/>
      <c r="I444" s="119"/>
      <c r="J444" s="119"/>
      <c r="K444" s="119"/>
      <c r="L444" s="119"/>
      <c r="M444" s="119"/>
    </row>
    <row r="445" spans="1:13" ht="12">
      <c r="A445" s="118">
        <f t="shared" si="9"/>
        <v>24</v>
      </c>
      <c r="C445" s="32"/>
      <c r="E445" s="118">
        <f t="shared" si="10"/>
        <v>24</v>
      </c>
      <c r="F445" s="32"/>
      <c r="G445" s="32"/>
      <c r="H445" s="119"/>
      <c r="I445" s="119"/>
      <c r="J445" s="119"/>
      <c r="K445" s="119"/>
      <c r="L445" s="119"/>
      <c r="M445" s="119"/>
    </row>
    <row r="446" spans="1:13" ht="12">
      <c r="A446" s="120"/>
      <c r="E446" s="120"/>
      <c r="F446" s="109" t="s">
        <v>1</v>
      </c>
      <c r="G446" s="109"/>
      <c r="H446" s="109"/>
      <c r="I446" s="41" t="s">
        <v>1</v>
      </c>
      <c r="J446" s="42"/>
      <c r="K446" s="109"/>
      <c r="L446" s="41"/>
      <c r="M446" s="42"/>
    </row>
    <row r="447" spans="1:13" ht="12">
      <c r="A447" s="118">
        <f>(A445+1)</f>
        <v>25</v>
      </c>
      <c r="C447" s="31" t="s">
        <v>184</v>
      </c>
      <c r="E447" s="118">
        <f>(E445+1)</f>
        <v>25</v>
      </c>
      <c r="H447" s="121">
        <f>SUM(H422:H445)</f>
        <v>16942522</v>
      </c>
      <c r="I447" s="122"/>
      <c r="J447" s="121">
        <f>SUM(J422:J445)</f>
        <v>13360157</v>
      </c>
      <c r="K447" s="121"/>
      <c r="L447" s="122"/>
      <c r="M447" s="121">
        <f>SUM(M422:M445)</f>
        <v>12858068</v>
      </c>
    </row>
    <row r="448" spans="1:13" ht="12">
      <c r="A448" s="118"/>
      <c r="C448" s="31"/>
      <c r="E448" s="118"/>
      <c r="F448" s="109" t="s">
        <v>1</v>
      </c>
      <c r="G448" s="109"/>
      <c r="H448" s="109"/>
      <c r="I448" s="41" t="s">
        <v>1</v>
      </c>
      <c r="J448" s="42"/>
      <c r="K448" s="109"/>
      <c r="L448" s="41"/>
      <c r="M448" s="42"/>
    </row>
    <row r="449" ht="12">
      <c r="E449" s="69"/>
    </row>
    <row r="450" ht="12">
      <c r="E450" s="69"/>
    </row>
    <row r="451" spans="1:13" ht="12">
      <c r="A451" s="38" t="str">
        <f>$A$35</f>
        <v>Institution No.:  GFD</v>
      </c>
      <c r="B451" s="65"/>
      <c r="C451" s="65"/>
      <c r="D451" s="65"/>
      <c r="E451" s="70"/>
      <c r="F451" s="65"/>
      <c r="G451" s="65"/>
      <c r="H451" s="65"/>
      <c r="I451" s="71"/>
      <c r="J451" s="72"/>
      <c r="K451" s="65"/>
      <c r="L451" s="71"/>
      <c r="M451" s="37" t="s">
        <v>185</v>
      </c>
    </row>
    <row r="452" spans="1:13" ht="12">
      <c r="A452" s="400" t="s">
        <v>242</v>
      </c>
      <c r="B452" s="400"/>
      <c r="C452" s="400"/>
      <c r="D452" s="400"/>
      <c r="E452" s="400"/>
      <c r="F452" s="400"/>
      <c r="G452" s="400"/>
      <c r="H452" s="400"/>
      <c r="I452" s="400"/>
      <c r="J452" s="400"/>
      <c r="K452" s="400"/>
      <c r="L452" s="400"/>
      <c r="M452" s="400"/>
    </row>
    <row r="453" spans="1:13" ht="12">
      <c r="A453" s="38" t="s">
        <v>551</v>
      </c>
      <c r="C453" s="26" t="s">
        <v>552</v>
      </c>
      <c r="J453" s="74"/>
      <c r="L453" s="36"/>
      <c r="M453" s="39" t="str">
        <f>$M$3</f>
        <v>Date: 10/1/2009</v>
      </c>
    </row>
    <row r="454" spans="1:13" ht="12">
      <c r="A454" s="40" t="s">
        <v>1</v>
      </c>
      <c r="B454" s="40" t="s">
        <v>1</v>
      </c>
      <c r="C454" s="40" t="s">
        <v>1</v>
      </c>
      <c r="D454" s="40" t="s">
        <v>1</v>
      </c>
      <c r="E454" s="40" t="s">
        <v>1</v>
      </c>
      <c r="F454" s="40" t="s">
        <v>1</v>
      </c>
      <c r="G454" s="40"/>
      <c r="H454" s="40"/>
      <c r="I454" s="41" t="s">
        <v>1</v>
      </c>
      <c r="J454" s="42" t="s">
        <v>1</v>
      </c>
      <c r="K454" s="40" t="s">
        <v>1</v>
      </c>
      <c r="L454" s="41" t="s">
        <v>1</v>
      </c>
      <c r="M454" s="42" t="s">
        <v>1</v>
      </c>
    </row>
    <row r="455" spans="1:13" ht="12">
      <c r="A455" s="43" t="s">
        <v>2</v>
      </c>
      <c r="E455" s="43" t="s">
        <v>2</v>
      </c>
      <c r="F455" s="44"/>
      <c r="G455" s="45"/>
      <c r="H455" s="46" t="s">
        <v>240</v>
      </c>
      <c r="I455" s="45"/>
      <c r="J455" s="46" t="s">
        <v>247</v>
      </c>
      <c r="K455" s="46"/>
      <c r="L455" s="296"/>
      <c r="M455" s="44" t="s">
        <v>576</v>
      </c>
    </row>
    <row r="456" spans="1:13" ht="12">
      <c r="A456" s="43" t="s">
        <v>4</v>
      </c>
      <c r="C456" s="47" t="s">
        <v>20</v>
      </c>
      <c r="E456" s="43" t="s">
        <v>4</v>
      </c>
      <c r="F456" s="44"/>
      <c r="G456" s="45"/>
      <c r="H456" s="46" t="s">
        <v>7</v>
      </c>
      <c r="I456" s="45"/>
      <c r="J456" s="46" t="s">
        <v>7</v>
      </c>
      <c r="K456" s="46"/>
      <c r="L456" s="296"/>
      <c r="M456" s="44" t="s">
        <v>8</v>
      </c>
    </row>
    <row r="457" spans="1:13" ht="12">
      <c r="A457" s="40" t="s">
        <v>1</v>
      </c>
      <c r="B457" s="40" t="s">
        <v>1</v>
      </c>
      <c r="C457" s="40" t="s">
        <v>1</v>
      </c>
      <c r="D457" s="40" t="s">
        <v>1</v>
      </c>
      <c r="E457" s="40" t="s">
        <v>1</v>
      </c>
      <c r="F457" s="40" t="s">
        <v>1</v>
      </c>
      <c r="G457" s="41" t="s">
        <v>1</v>
      </c>
      <c r="H457" s="42" t="s">
        <v>1</v>
      </c>
      <c r="I457" s="41" t="s">
        <v>1</v>
      </c>
      <c r="J457" s="42" t="s">
        <v>1</v>
      </c>
      <c r="K457" s="41" t="s">
        <v>1</v>
      </c>
      <c r="L457" s="297" t="s">
        <v>1</v>
      </c>
      <c r="M457" s="42" t="s">
        <v>1</v>
      </c>
    </row>
    <row r="458" spans="1:13" ht="12">
      <c r="A458" s="26">
        <v>1</v>
      </c>
      <c r="C458" s="26" t="s">
        <v>255</v>
      </c>
      <c r="E458" s="26">
        <v>1</v>
      </c>
      <c r="G458" s="123"/>
      <c r="H458" s="123">
        <v>14341658</v>
      </c>
      <c r="I458" s="123"/>
      <c r="J458" s="123">
        <f>13967334.66-2012957</f>
        <v>11954377.66</v>
      </c>
      <c r="K458" s="123"/>
      <c r="L458" s="296"/>
      <c r="M458" s="160">
        <f>10080941-5293915+1244330</f>
        <v>6031356</v>
      </c>
    </row>
    <row r="459" ht="12">
      <c r="E459" s="69"/>
    </row>
    <row r="460" ht="12">
      <c r="E460" s="69"/>
    </row>
    <row r="461" ht="12">
      <c r="E461" s="69"/>
    </row>
    <row r="462" ht="12">
      <c r="E462" s="69"/>
    </row>
    <row r="463" ht="12">
      <c r="E463" s="69"/>
    </row>
    <row r="464" ht="12">
      <c r="E464" s="69"/>
    </row>
    <row r="465" ht="12">
      <c r="E465" s="69"/>
    </row>
    <row r="466" ht="12">
      <c r="E466" s="69"/>
    </row>
    <row r="467" ht="12">
      <c r="E467" s="69"/>
    </row>
    <row r="468" ht="12">
      <c r="E468" s="69"/>
    </row>
    <row r="469" ht="12">
      <c r="E469" s="69"/>
    </row>
    <row r="470" ht="12">
      <c r="E470" s="69"/>
    </row>
    <row r="471" ht="12">
      <c r="E471" s="69"/>
    </row>
    <row r="472" ht="12">
      <c r="E472" s="69"/>
    </row>
    <row r="473" spans="2:6" ht="12.75">
      <c r="B473" s="75"/>
      <c r="C473" s="76"/>
      <c r="D473" s="77"/>
      <c r="E473" s="77"/>
      <c r="F473" s="77"/>
    </row>
    <row r="474" spans="2:6" ht="12.75">
      <c r="B474" s="75"/>
      <c r="C474" s="76"/>
      <c r="D474" s="77"/>
      <c r="E474" s="77"/>
      <c r="F474" s="77"/>
    </row>
    <row r="475" ht="12">
      <c r="E475" s="69"/>
    </row>
    <row r="476" ht="12">
      <c r="E476" s="69"/>
    </row>
    <row r="477" ht="12">
      <c r="E477" s="69"/>
    </row>
    <row r="478" ht="12">
      <c r="E478" s="69"/>
    </row>
    <row r="479" ht="12">
      <c r="E479" s="69"/>
    </row>
    <row r="480" ht="12">
      <c r="E480" s="69"/>
    </row>
    <row r="481" ht="12">
      <c r="E481" s="69"/>
    </row>
    <row r="482" ht="12">
      <c r="E482" s="69"/>
    </row>
    <row r="483" ht="12">
      <c r="E483" s="69"/>
    </row>
    <row r="484" ht="12">
      <c r="E484" s="69"/>
    </row>
    <row r="485" ht="12">
      <c r="E485" s="69"/>
    </row>
    <row r="486" ht="12">
      <c r="E486" s="69"/>
    </row>
    <row r="487" ht="12">
      <c r="E487" s="69"/>
    </row>
    <row r="488" spans="5:13" ht="12">
      <c r="E488" s="69"/>
      <c r="I488" s="36"/>
      <c r="J488" s="74"/>
      <c r="L488" s="36"/>
      <c r="M488" s="74"/>
    </row>
    <row r="489" spans="1:13" s="65" customFormat="1" ht="12">
      <c r="A489" s="38" t="str">
        <f>$A$35</f>
        <v>Institution No.:  GFD</v>
      </c>
      <c r="E489" s="70"/>
      <c r="I489" s="71"/>
      <c r="J489" s="72"/>
      <c r="L489" s="71"/>
      <c r="M489" s="37" t="s">
        <v>22</v>
      </c>
    </row>
    <row r="490" spans="1:13" s="65" customFormat="1" ht="12">
      <c r="A490" s="414" t="s">
        <v>147</v>
      </c>
      <c r="B490" s="414"/>
      <c r="C490" s="414"/>
      <c r="D490" s="414"/>
      <c r="E490" s="414"/>
      <c r="F490" s="414"/>
      <c r="G490" s="414"/>
      <c r="H490" s="414"/>
      <c r="I490" s="414"/>
      <c r="J490" s="414"/>
      <c r="K490" s="414"/>
      <c r="L490" s="414"/>
      <c r="M490" s="414"/>
    </row>
    <row r="491" spans="1:13" ht="12">
      <c r="A491" s="38" t="s">
        <v>551</v>
      </c>
      <c r="C491" s="26" t="s">
        <v>552</v>
      </c>
      <c r="I491" s="124"/>
      <c r="J491" s="74"/>
      <c r="L491" s="36"/>
      <c r="M491" s="39" t="str">
        <f>$M$3</f>
        <v>Date: 10/1/2009</v>
      </c>
    </row>
    <row r="492" spans="1:13" ht="12">
      <c r="A492" s="40" t="s">
        <v>1</v>
      </c>
      <c r="B492" s="40" t="s">
        <v>1</v>
      </c>
      <c r="C492" s="40" t="s">
        <v>1</v>
      </c>
      <c r="D492" s="40" t="s">
        <v>1</v>
      </c>
      <c r="E492" s="40" t="s">
        <v>1</v>
      </c>
      <c r="F492" s="40" t="s">
        <v>1</v>
      </c>
      <c r="G492" s="40"/>
      <c r="H492" s="40"/>
      <c r="I492" s="41" t="s">
        <v>1</v>
      </c>
      <c r="J492" s="42" t="s">
        <v>1</v>
      </c>
      <c r="K492" s="40" t="s">
        <v>1</v>
      </c>
      <c r="L492" s="41" t="s">
        <v>1</v>
      </c>
      <c r="M492" s="42" t="s">
        <v>1</v>
      </c>
    </row>
    <row r="493" spans="1:13" ht="12">
      <c r="A493" s="43" t="s">
        <v>2</v>
      </c>
      <c r="E493" s="43" t="s">
        <v>2</v>
      </c>
      <c r="F493" s="44"/>
      <c r="G493" s="45"/>
      <c r="H493" s="46" t="s">
        <v>240</v>
      </c>
      <c r="I493" s="45"/>
      <c r="J493" s="46" t="s">
        <v>247</v>
      </c>
      <c r="K493" s="46"/>
      <c r="L493" s="296"/>
      <c r="M493" s="44" t="s">
        <v>576</v>
      </c>
    </row>
    <row r="494" spans="1:13" ht="12">
      <c r="A494" s="43" t="s">
        <v>4</v>
      </c>
      <c r="C494" s="47" t="s">
        <v>20</v>
      </c>
      <c r="E494" s="43" t="s">
        <v>4</v>
      </c>
      <c r="F494" s="44"/>
      <c r="G494" s="45" t="s">
        <v>6</v>
      </c>
      <c r="H494" s="46" t="s">
        <v>7</v>
      </c>
      <c r="I494" s="45" t="s">
        <v>6</v>
      </c>
      <c r="J494" s="46" t="s">
        <v>7</v>
      </c>
      <c r="K494" s="46"/>
      <c r="L494" s="300" t="s">
        <v>21</v>
      </c>
      <c r="M494" s="44" t="s">
        <v>8</v>
      </c>
    </row>
    <row r="495" spans="1:13" ht="12">
      <c r="A495" s="40" t="s">
        <v>1</v>
      </c>
      <c r="B495" s="40" t="s">
        <v>1</v>
      </c>
      <c r="C495" s="40" t="s">
        <v>1</v>
      </c>
      <c r="D495" s="40" t="s">
        <v>1</v>
      </c>
      <c r="E495" s="40" t="s">
        <v>1</v>
      </c>
      <c r="F495" s="40" t="s">
        <v>1</v>
      </c>
      <c r="G495" s="41" t="s">
        <v>1</v>
      </c>
      <c r="H495" s="42" t="s">
        <v>1</v>
      </c>
      <c r="I495" s="41" t="s">
        <v>1</v>
      </c>
      <c r="J495" s="42" t="s">
        <v>1</v>
      </c>
      <c r="K495" s="41" t="s">
        <v>1</v>
      </c>
      <c r="L495" s="297" t="s">
        <v>1</v>
      </c>
      <c r="M495" s="42" t="s">
        <v>1</v>
      </c>
    </row>
    <row r="496" spans="1:13" ht="12">
      <c r="A496" s="30">
        <v>1</v>
      </c>
      <c r="C496" s="31" t="s">
        <v>36</v>
      </c>
      <c r="E496" s="30">
        <v>1</v>
      </c>
      <c r="F496" s="32"/>
      <c r="G496" s="125">
        <f>H496/76016</f>
        <v>514.4645074721111</v>
      </c>
      <c r="H496" s="1">
        <f>34470607+1916965+2674028+32993+10155-29252+32038</f>
        <v>39107534</v>
      </c>
      <c r="I496" s="125">
        <f>J496/79816</f>
        <v>548.0451162674151</v>
      </c>
      <c r="J496" s="107">
        <f>38094674+2309267+3332328+1440+5060</f>
        <v>43742769</v>
      </c>
      <c r="K496" s="107"/>
      <c r="L496" s="300">
        <f>569.55</f>
        <v>569.55</v>
      </c>
      <c r="M496" s="123">
        <f>24150+40800+42187436+3207042</f>
        <v>45459428</v>
      </c>
    </row>
    <row r="497" spans="1:13" ht="12">
      <c r="A497" s="30">
        <v>2</v>
      </c>
      <c r="C497" s="31" t="s">
        <v>37</v>
      </c>
      <c r="E497" s="30">
        <v>2</v>
      </c>
      <c r="F497" s="32"/>
      <c r="G497" s="125"/>
      <c r="H497" s="1">
        <f>8644370+18133+711477+7563+2152-6629+7261</f>
        <v>9384327</v>
      </c>
      <c r="I497" s="125"/>
      <c r="J497" s="107">
        <f>9682675+447668+15101+897318+391+788</f>
        <v>11043941</v>
      </c>
      <c r="K497" s="107"/>
      <c r="L497" s="300"/>
      <c r="M497" s="123">
        <f>4144+12165+10402292+448810+12429+879191</f>
        <v>11759031</v>
      </c>
    </row>
    <row r="498" spans="1:13" ht="12">
      <c r="A498" s="30">
        <v>3</v>
      </c>
      <c r="C498" s="31" t="s">
        <v>209</v>
      </c>
      <c r="E498" s="30">
        <v>3</v>
      </c>
      <c r="F498" s="32"/>
      <c r="G498" s="125">
        <f>H498/33811</f>
        <v>156.74120848244655</v>
      </c>
      <c r="H498" s="1">
        <f>4879637+419940</f>
        <v>5299577</v>
      </c>
      <c r="I498" s="125">
        <f>J498/35503</f>
        <v>146.74717629496098</v>
      </c>
      <c r="J498" s="107">
        <f>5209965</f>
        <v>5209965</v>
      </c>
      <c r="K498" s="107"/>
      <c r="L498" s="300">
        <f>169.28</f>
        <v>169.28</v>
      </c>
      <c r="M498" s="123">
        <f>4943594+1066240</f>
        <v>6009834</v>
      </c>
    </row>
    <row r="499" spans="1:13" ht="12">
      <c r="A499" s="30">
        <v>4</v>
      </c>
      <c r="C499" s="31" t="s">
        <v>23</v>
      </c>
      <c r="E499" s="30">
        <v>4</v>
      </c>
      <c r="F499" s="32"/>
      <c r="G499" s="125">
        <f>SUM(G496:G498)</f>
        <v>671.2057159545577</v>
      </c>
      <c r="H499" s="251">
        <f>SUM(H496:H498)</f>
        <v>53791438</v>
      </c>
      <c r="I499" s="125">
        <f>SUM(I496:I498)</f>
        <v>694.7922925623761</v>
      </c>
      <c r="J499" s="251">
        <f>SUM(J496:J498)</f>
        <v>59996675</v>
      </c>
      <c r="K499" s="251"/>
      <c r="L499" s="253">
        <f>SUM(L496:L498)</f>
        <v>738.8299999999999</v>
      </c>
      <c r="M499" s="123">
        <f>SUM(M496:M498)</f>
        <v>63228293</v>
      </c>
    </row>
    <row r="500" spans="1:13" ht="12">
      <c r="A500" s="30">
        <v>5</v>
      </c>
      <c r="E500" s="30">
        <v>5</v>
      </c>
      <c r="F500" s="32"/>
      <c r="G500" s="125"/>
      <c r="H500" s="1"/>
      <c r="I500" s="125"/>
      <c r="J500" s="1"/>
      <c r="K500" s="1"/>
      <c r="L500" s="300"/>
      <c r="M500" s="123"/>
    </row>
    <row r="501" spans="1:13" ht="12">
      <c r="A501" s="30">
        <v>6</v>
      </c>
      <c r="C501" s="31" t="s">
        <v>24</v>
      </c>
      <c r="E501" s="30">
        <v>6</v>
      </c>
      <c r="F501" s="32"/>
      <c r="G501" s="125">
        <v>0</v>
      </c>
      <c r="H501" s="1"/>
      <c r="I501" s="125">
        <v>0</v>
      </c>
      <c r="J501" s="1"/>
      <c r="K501" s="1"/>
      <c r="L501" s="300"/>
      <c r="M501" s="123"/>
    </row>
    <row r="502" spans="1:13" ht="12">
      <c r="A502" s="30">
        <v>7</v>
      </c>
      <c r="C502" s="31" t="s">
        <v>25</v>
      </c>
      <c r="E502" s="30">
        <v>7</v>
      </c>
      <c r="F502" s="32"/>
      <c r="G502" s="125">
        <f>H502/44406</f>
        <v>55.34612439760393</v>
      </c>
      <c r="H502" s="1">
        <f>2444780+12920</f>
        <v>2457700</v>
      </c>
      <c r="I502" s="125">
        <f>J502/46793</f>
        <v>53.18128779945718</v>
      </c>
      <c r="J502" s="252">
        <f>2485407+3105</f>
        <v>2488512</v>
      </c>
      <c r="K502" s="252"/>
      <c r="L502" s="300">
        <f>50.61</f>
        <v>50.61</v>
      </c>
      <c r="M502" s="123">
        <f>43756+2324391</f>
        <v>2368147</v>
      </c>
    </row>
    <row r="503" spans="1:13" ht="12">
      <c r="A503" s="30">
        <v>8</v>
      </c>
      <c r="C503" s="31" t="s">
        <v>26</v>
      </c>
      <c r="E503" s="30">
        <v>8</v>
      </c>
      <c r="F503" s="32"/>
      <c r="G503" s="125"/>
      <c r="H503" s="1">
        <f>579907+3056</f>
        <v>582963</v>
      </c>
      <c r="I503" s="125"/>
      <c r="J503" s="252">
        <f>649205+505</f>
        <v>649710</v>
      </c>
      <c r="K503" s="252"/>
      <c r="L503" s="300"/>
      <c r="M503" s="123">
        <f>12861+638508</f>
        <v>651369</v>
      </c>
    </row>
    <row r="504" spans="1:13" ht="12">
      <c r="A504" s="30">
        <v>9</v>
      </c>
      <c r="C504" s="31" t="s">
        <v>27</v>
      </c>
      <c r="E504" s="30">
        <v>9</v>
      </c>
      <c r="F504" s="32"/>
      <c r="G504" s="125">
        <f>SUM(G501:G503)</f>
        <v>55.34612439760393</v>
      </c>
      <c r="H504" s="1">
        <f>SUM(H501:H503)</f>
        <v>3040663</v>
      </c>
      <c r="I504" s="125">
        <f>SUM(I501:I503)</f>
        <v>53.18128779945718</v>
      </c>
      <c r="J504" s="1">
        <f>SUM(J501:J503)</f>
        <v>3138222</v>
      </c>
      <c r="K504" s="1"/>
      <c r="L504" s="253">
        <f>SUM(L501:L503)</f>
        <v>50.61</v>
      </c>
      <c r="M504" s="123">
        <f>SUM(M502:M503)</f>
        <v>3019516</v>
      </c>
    </row>
    <row r="505" spans="1:13" ht="12">
      <c r="A505" s="30">
        <v>10</v>
      </c>
      <c r="E505" s="30">
        <v>10</v>
      </c>
      <c r="F505" s="32"/>
      <c r="G505" s="127"/>
      <c r="H505" s="1"/>
      <c r="I505" s="127"/>
      <c r="J505" s="1"/>
      <c r="K505" s="1"/>
      <c r="L505" s="300"/>
      <c r="M505" s="123"/>
    </row>
    <row r="506" spans="1:13" ht="12">
      <c r="A506" s="30">
        <v>11</v>
      </c>
      <c r="C506" s="31" t="s">
        <v>28</v>
      </c>
      <c r="E506" s="30">
        <v>11</v>
      </c>
      <c r="G506" s="128">
        <f>SUM(G499+G504)</f>
        <v>726.5518403521617</v>
      </c>
      <c r="H506" s="121">
        <f>SUM(H499+H504)</f>
        <v>56832101</v>
      </c>
      <c r="I506" s="128">
        <f>SUM(I499+I504)</f>
        <v>747.9735803618333</v>
      </c>
      <c r="J506" s="121">
        <f>SUM(J499+J504)</f>
        <v>63134897</v>
      </c>
      <c r="K506" s="121"/>
      <c r="L506" s="254">
        <f>SUM(L499+L504)</f>
        <v>789.4399999999999</v>
      </c>
      <c r="M506" s="121">
        <f>SUM(M499+M504)</f>
        <v>66247809</v>
      </c>
    </row>
    <row r="507" spans="1:13" ht="12">
      <c r="A507" s="30">
        <v>12</v>
      </c>
      <c r="E507" s="30">
        <v>12</v>
      </c>
      <c r="G507" s="128"/>
      <c r="H507" s="121"/>
      <c r="I507" s="128"/>
      <c r="J507" s="121"/>
      <c r="K507" s="121"/>
      <c r="L507" s="296"/>
      <c r="M507" s="123"/>
    </row>
    <row r="508" spans="1:13" ht="12">
      <c r="A508" s="30">
        <v>13</v>
      </c>
      <c r="C508" s="31" t="s">
        <v>29</v>
      </c>
      <c r="E508" s="30">
        <v>13</v>
      </c>
      <c r="F508" s="32"/>
      <c r="G508" s="125"/>
      <c r="H508" s="1">
        <f>826445+5400+290+1</f>
        <v>832136</v>
      </c>
      <c r="I508" s="125"/>
      <c r="J508" s="107">
        <f>761228+4200+29</f>
        <v>765457</v>
      </c>
      <c r="K508" s="107"/>
      <c r="L508" s="296"/>
      <c r="M508" s="123">
        <f>718276+2380</f>
        <v>720656</v>
      </c>
    </row>
    <row r="509" spans="1:13" ht="12">
      <c r="A509" s="30">
        <v>14</v>
      </c>
      <c r="E509" s="30">
        <v>14</v>
      </c>
      <c r="F509" s="32"/>
      <c r="G509" s="125"/>
      <c r="H509" s="1"/>
      <c r="I509" s="125"/>
      <c r="J509" s="1"/>
      <c r="K509" s="1"/>
      <c r="L509" s="296"/>
      <c r="M509" s="123"/>
    </row>
    <row r="510" spans="1:13" ht="12">
      <c r="A510" s="30">
        <v>15</v>
      </c>
      <c r="C510" s="31" t="s">
        <v>30</v>
      </c>
      <c r="E510" s="30">
        <v>15</v>
      </c>
      <c r="F510" s="32"/>
      <c r="G510" s="125"/>
      <c r="H510" s="1">
        <f>592511+162</f>
        <v>592673</v>
      </c>
      <c r="I510" s="125"/>
      <c r="J510" s="107">
        <f>705895+1106</f>
        <v>707001</v>
      </c>
      <c r="K510" s="107"/>
      <c r="L510" s="296"/>
      <c r="M510" s="123">
        <f>253742</f>
        <v>253742</v>
      </c>
    </row>
    <row r="511" spans="1:13" ht="12">
      <c r="A511" s="30">
        <v>16</v>
      </c>
      <c r="C511" s="31"/>
      <c r="E511" s="30">
        <v>16</v>
      </c>
      <c r="F511" s="32"/>
      <c r="G511" s="125"/>
      <c r="H511" s="1"/>
      <c r="I511" s="125"/>
      <c r="J511" s="1"/>
      <c r="K511" s="1"/>
      <c r="L511" s="296"/>
      <c r="M511" s="123"/>
    </row>
    <row r="512" spans="1:13" s="4" customFormat="1" ht="18.75" customHeight="1">
      <c r="A512" s="3">
        <v>17</v>
      </c>
      <c r="C512" s="5" t="s">
        <v>31</v>
      </c>
      <c r="E512" s="3">
        <v>17</v>
      </c>
      <c r="F512" s="6"/>
      <c r="G512" s="7"/>
      <c r="H512" s="8">
        <f>4862918+242693+17108-104197+11834-242693-2800</f>
        <v>4784863</v>
      </c>
      <c r="I512" s="7"/>
      <c r="J512" s="107">
        <f>18434+5934105+289914+16819-89489+3155-6625-289914</f>
        <v>5876399</v>
      </c>
      <c r="K512" s="107"/>
      <c r="L512" s="303"/>
      <c r="M512" s="246">
        <f>826451+6219591+242513+26000-1300000</f>
        <v>6014555</v>
      </c>
    </row>
    <row r="513" spans="1:13" ht="12">
      <c r="A513" s="30">
        <v>18</v>
      </c>
      <c r="C513" s="9"/>
      <c r="E513" s="30">
        <v>18</v>
      </c>
      <c r="G513" s="125"/>
      <c r="H513" s="1"/>
      <c r="I513" s="125"/>
      <c r="J513" s="1"/>
      <c r="K513" s="1"/>
      <c r="L513" s="296"/>
      <c r="M513" s="123"/>
    </row>
    <row r="514" spans="1:13" ht="12">
      <c r="A514" s="30">
        <v>19</v>
      </c>
      <c r="C514" s="9" t="s">
        <v>262</v>
      </c>
      <c r="E514" s="30">
        <v>19</v>
      </c>
      <c r="G514" s="125"/>
      <c r="H514" s="1">
        <f>199626-199626</f>
        <v>0</v>
      </c>
      <c r="I514" s="125"/>
      <c r="J514" s="1"/>
      <c r="K514" s="1"/>
      <c r="L514" s="296"/>
      <c r="M514" s="123"/>
    </row>
    <row r="515" spans="1:13" ht="12">
      <c r="A515" s="30">
        <v>20</v>
      </c>
      <c r="C515" s="9"/>
      <c r="E515" s="30">
        <v>20</v>
      </c>
      <c r="G515" s="125"/>
      <c r="H515" s="1"/>
      <c r="I515" s="125"/>
      <c r="J515" s="1"/>
      <c r="K515" s="1"/>
      <c r="L515" s="296"/>
      <c r="M515" s="123"/>
    </row>
    <row r="516" spans="1:13" ht="12">
      <c r="A516" s="30">
        <v>21</v>
      </c>
      <c r="C516" s="31"/>
      <c r="E516" s="30">
        <v>21</v>
      </c>
      <c r="G516" s="125"/>
      <c r="H516" s="1"/>
      <c r="I516" s="125"/>
      <c r="J516" s="1"/>
      <c r="K516" s="1"/>
      <c r="L516" s="296"/>
      <c r="M516" s="123"/>
    </row>
    <row r="517" spans="1:13" ht="12">
      <c r="A517" s="30">
        <v>22</v>
      </c>
      <c r="C517" s="31"/>
      <c r="E517" s="30">
        <v>22</v>
      </c>
      <c r="G517" s="125"/>
      <c r="H517" s="1"/>
      <c r="I517" s="125"/>
      <c r="J517" s="1"/>
      <c r="K517" s="1"/>
      <c r="L517" s="296"/>
      <c r="M517" s="123"/>
    </row>
    <row r="518" spans="1:13" ht="12">
      <c r="A518" s="30">
        <v>23</v>
      </c>
      <c r="C518" s="31"/>
      <c r="E518" s="30">
        <v>23</v>
      </c>
      <c r="G518" s="125"/>
      <c r="H518" s="1"/>
      <c r="I518" s="125"/>
      <c r="J518" s="1"/>
      <c r="K518" s="1"/>
      <c r="L518" s="296"/>
      <c r="M518" s="123"/>
    </row>
    <row r="519" spans="1:13" ht="12">
      <c r="A519" s="30">
        <v>24</v>
      </c>
      <c r="C519" s="31"/>
      <c r="E519" s="30">
        <v>24</v>
      </c>
      <c r="G519" s="125"/>
      <c r="H519" s="1"/>
      <c r="I519" s="125"/>
      <c r="J519" s="1"/>
      <c r="K519" s="1"/>
      <c r="L519" s="296"/>
      <c r="M519" s="123"/>
    </row>
    <row r="520" spans="1:13" ht="12">
      <c r="A520" s="30"/>
      <c r="C520" s="31"/>
      <c r="E520" s="30"/>
      <c r="G520" s="125"/>
      <c r="H520" s="1"/>
      <c r="I520" s="125"/>
      <c r="J520" s="1"/>
      <c r="K520" s="1"/>
      <c r="L520" s="296"/>
      <c r="M520" s="123"/>
    </row>
    <row r="521" spans="1:13" ht="12">
      <c r="A521" s="30"/>
      <c r="E521" s="30"/>
      <c r="G521" s="125"/>
      <c r="H521" s="1"/>
      <c r="I521" s="125"/>
      <c r="J521" s="1"/>
      <c r="K521" s="1"/>
      <c r="L521" s="296"/>
      <c r="M521" s="123"/>
    </row>
    <row r="522" spans="1:13" ht="12">
      <c r="A522" s="30"/>
      <c r="E522" s="30"/>
      <c r="F522" s="109" t="s">
        <v>1</v>
      </c>
      <c r="G522" s="108"/>
      <c r="H522" s="42"/>
      <c r="I522" s="108"/>
      <c r="J522" s="42"/>
      <c r="K522" s="42"/>
      <c r="L522" s="297"/>
      <c r="M522" s="42"/>
    </row>
    <row r="523" spans="1:13" ht="15.75" customHeight="1">
      <c r="A523" s="30">
        <v>25</v>
      </c>
      <c r="C523" s="31" t="s">
        <v>223</v>
      </c>
      <c r="E523" s="30">
        <v>25</v>
      </c>
      <c r="G523" s="128">
        <f>SUM(G506:G516)</f>
        <v>726.5518403521617</v>
      </c>
      <c r="H523" s="121">
        <f>SUM(H506:H516)</f>
        <v>63041773</v>
      </c>
      <c r="I523" s="128">
        <f>SUM(I506:I516)</f>
        <v>747.9735803618333</v>
      </c>
      <c r="J523" s="121">
        <f>SUM(J506:J516)</f>
        <v>70483754</v>
      </c>
      <c r="K523" s="121"/>
      <c r="L523" s="301">
        <f>SUM(L506:L516)</f>
        <v>789.4399999999999</v>
      </c>
      <c r="M523" s="121">
        <f>SUM(M506:M516)</f>
        <v>73236762</v>
      </c>
    </row>
    <row r="524" spans="6:13" ht="12">
      <c r="F524" s="109" t="s">
        <v>1</v>
      </c>
      <c r="G524" s="109"/>
      <c r="H524" s="109"/>
      <c r="I524" s="41"/>
      <c r="J524" s="42"/>
      <c r="K524" s="109"/>
      <c r="L524" s="41"/>
      <c r="M524" s="42"/>
    </row>
    <row r="525" ht="12">
      <c r="A525" s="31"/>
    </row>
    <row r="527" spans="1:13" s="65" customFormat="1" ht="12">
      <c r="A527" s="38" t="str">
        <f>$A$35</f>
        <v>Institution No.:  GFD</v>
      </c>
      <c r="E527" s="70"/>
      <c r="I527" s="71"/>
      <c r="J527" s="72"/>
      <c r="L527" s="71"/>
      <c r="M527" s="37" t="s">
        <v>33</v>
      </c>
    </row>
    <row r="528" spans="1:13" s="65" customFormat="1" ht="12">
      <c r="A528" s="414" t="s">
        <v>148</v>
      </c>
      <c r="B528" s="414"/>
      <c r="C528" s="414"/>
      <c r="D528" s="414"/>
      <c r="E528" s="414"/>
      <c r="F528" s="414"/>
      <c r="G528" s="414"/>
      <c r="H528" s="414"/>
      <c r="I528" s="414"/>
      <c r="J528" s="414"/>
      <c r="K528" s="414"/>
      <c r="L528" s="414"/>
      <c r="M528" s="414"/>
    </row>
    <row r="529" spans="1:13" ht="12">
      <c r="A529" s="38" t="s">
        <v>551</v>
      </c>
      <c r="C529" s="26" t="s">
        <v>552</v>
      </c>
      <c r="F529" s="113"/>
      <c r="G529" s="113"/>
      <c r="H529" s="113"/>
      <c r="I529" s="104"/>
      <c r="J529" s="105"/>
      <c r="L529" s="36"/>
      <c r="M529" s="39" t="str">
        <f>$M$3</f>
        <v>Date: 10/1/2009</v>
      </c>
    </row>
    <row r="530" spans="1:13" ht="12">
      <c r="A530" s="40" t="s">
        <v>1</v>
      </c>
      <c r="B530" s="40" t="s">
        <v>1</v>
      </c>
      <c r="C530" s="40" t="s">
        <v>1</v>
      </c>
      <c r="D530" s="40" t="s">
        <v>1</v>
      </c>
      <c r="E530" s="40" t="s">
        <v>1</v>
      </c>
      <c r="F530" s="40" t="s">
        <v>1</v>
      </c>
      <c r="G530" s="40"/>
      <c r="H530" s="40"/>
      <c r="I530" s="41" t="s">
        <v>1</v>
      </c>
      <c r="J530" s="42" t="s">
        <v>1</v>
      </c>
      <c r="K530" s="40" t="s">
        <v>1</v>
      </c>
      <c r="L530" s="41" t="s">
        <v>1</v>
      </c>
      <c r="M530" s="42" t="s">
        <v>1</v>
      </c>
    </row>
    <row r="531" spans="1:13" ht="12">
      <c r="A531" s="43" t="s">
        <v>2</v>
      </c>
      <c r="E531" s="43" t="s">
        <v>2</v>
      </c>
      <c r="F531" s="44"/>
      <c r="G531" s="45"/>
      <c r="H531" s="46" t="s">
        <v>240</v>
      </c>
      <c r="I531" s="45"/>
      <c r="J531" s="46" t="s">
        <v>247</v>
      </c>
      <c r="K531" s="46"/>
      <c r="L531" s="296"/>
      <c r="M531" s="44" t="s">
        <v>576</v>
      </c>
    </row>
    <row r="532" spans="1:13" ht="12">
      <c r="A532" s="43" t="s">
        <v>4</v>
      </c>
      <c r="C532" s="47" t="s">
        <v>20</v>
      </c>
      <c r="E532" s="43" t="s">
        <v>4</v>
      </c>
      <c r="F532" s="44"/>
      <c r="G532" s="45" t="s">
        <v>6</v>
      </c>
      <c r="H532" s="46" t="s">
        <v>7</v>
      </c>
      <c r="I532" s="45" t="s">
        <v>6</v>
      </c>
      <c r="J532" s="46" t="s">
        <v>7</v>
      </c>
      <c r="K532" s="46"/>
      <c r="L532" s="299" t="s">
        <v>21</v>
      </c>
      <c r="M532" s="44" t="s">
        <v>8</v>
      </c>
    </row>
    <row r="533" spans="1:13" ht="12">
      <c r="A533" s="40" t="s">
        <v>1</v>
      </c>
      <c r="B533" s="40" t="s">
        <v>1</v>
      </c>
      <c r="C533" s="40" t="s">
        <v>1</v>
      </c>
      <c r="D533" s="40" t="s">
        <v>1</v>
      </c>
      <c r="E533" s="40" t="s">
        <v>1</v>
      </c>
      <c r="F533" s="40" t="s">
        <v>1</v>
      </c>
      <c r="G533" s="41" t="s">
        <v>1</v>
      </c>
      <c r="H533" s="42" t="s">
        <v>1</v>
      </c>
      <c r="I533" s="41" t="s">
        <v>1</v>
      </c>
      <c r="J533" s="42" t="s">
        <v>1</v>
      </c>
      <c r="K533" s="42"/>
      <c r="L533" s="297" t="s">
        <v>1</v>
      </c>
      <c r="M533" s="42" t="s">
        <v>1</v>
      </c>
    </row>
    <row r="534" spans="1:13" ht="12">
      <c r="A534" s="30">
        <v>1</v>
      </c>
      <c r="C534" s="31" t="s">
        <v>36</v>
      </c>
      <c r="E534" s="30">
        <v>1</v>
      </c>
      <c r="F534" s="32"/>
      <c r="G534" s="130">
        <v>0.56</v>
      </c>
      <c r="H534" s="1">
        <f>28433+4523</f>
        <v>32956</v>
      </c>
      <c r="I534" s="130">
        <v>0</v>
      </c>
      <c r="J534" s="1">
        <v>12186</v>
      </c>
      <c r="K534" s="1"/>
      <c r="L534" s="296"/>
      <c r="M534" s="26"/>
    </row>
    <row r="535" spans="1:13" ht="12">
      <c r="A535" s="30">
        <v>2</v>
      </c>
      <c r="C535" s="31" t="s">
        <v>37</v>
      </c>
      <c r="E535" s="30">
        <v>2</v>
      </c>
      <c r="F535" s="32"/>
      <c r="G535" s="130"/>
      <c r="H535" s="1">
        <f>6173+15</f>
        <v>6188</v>
      </c>
      <c r="I535" s="130"/>
      <c r="J535" s="1">
        <v>2631</v>
      </c>
      <c r="K535" s="1"/>
      <c r="L535" s="296"/>
      <c r="M535" s="26"/>
    </row>
    <row r="536" spans="1:13" ht="12">
      <c r="A536" s="30">
        <v>3</v>
      </c>
      <c r="C536" s="31" t="s">
        <v>34</v>
      </c>
      <c r="E536" s="30">
        <v>3</v>
      </c>
      <c r="F536" s="32"/>
      <c r="G536" s="130">
        <v>0</v>
      </c>
      <c r="H536" s="1"/>
      <c r="I536" s="130">
        <v>0</v>
      </c>
      <c r="J536" s="1">
        <v>0</v>
      </c>
      <c r="K536" s="1"/>
      <c r="L536" s="296"/>
      <c r="M536" s="26"/>
    </row>
    <row r="537" spans="1:13" ht="12">
      <c r="A537" s="30">
        <v>4</v>
      </c>
      <c r="C537" s="31" t="s">
        <v>23</v>
      </c>
      <c r="E537" s="30">
        <v>4</v>
      </c>
      <c r="F537" s="32"/>
      <c r="G537" s="130">
        <f>SUM(G534:G536)</f>
        <v>0.56</v>
      </c>
      <c r="H537" s="1">
        <f>SUM(H534:H536)</f>
        <v>39144</v>
      </c>
      <c r="I537" s="130">
        <f>SUM(I534:I536)</f>
        <v>0</v>
      </c>
      <c r="J537" s="1">
        <f>SUM(J534:J536)</f>
        <v>14817</v>
      </c>
      <c r="K537" s="1"/>
      <c r="L537" s="302">
        <f>SUM(L534:L536)</f>
        <v>0</v>
      </c>
      <c r="M537" s="1">
        <f>SUM(M534:M536)</f>
        <v>0</v>
      </c>
    </row>
    <row r="538" spans="1:13" ht="12">
      <c r="A538" s="30">
        <v>5</v>
      </c>
      <c r="E538" s="30">
        <v>5</v>
      </c>
      <c r="F538" s="32"/>
      <c r="G538" s="130"/>
      <c r="H538" s="1"/>
      <c r="I538" s="130"/>
      <c r="J538" s="1"/>
      <c r="K538" s="1"/>
      <c r="L538" s="296"/>
      <c r="M538" s="26"/>
    </row>
    <row r="539" spans="1:13" ht="12">
      <c r="A539" s="30">
        <v>6</v>
      </c>
      <c r="C539" s="31" t="s">
        <v>24</v>
      </c>
      <c r="E539" s="30">
        <v>6</v>
      </c>
      <c r="F539" s="32"/>
      <c r="G539" s="130">
        <v>0</v>
      </c>
      <c r="H539" s="1"/>
      <c r="I539" s="130">
        <v>0</v>
      </c>
      <c r="J539" s="1">
        <v>0</v>
      </c>
      <c r="K539" s="1"/>
      <c r="L539" s="296"/>
      <c r="M539" s="26"/>
    </row>
    <row r="540" spans="1:13" ht="12">
      <c r="A540" s="30">
        <v>7</v>
      </c>
      <c r="C540" s="31" t="s">
        <v>25</v>
      </c>
      <c r="E540" s="30">
        <v>7</v>
      </c>
      <c r="F540" s="32"/>
      <c r="G540" s="130">
        <v>0</v>
      </c>
      <c r="H540" s="1"/>
      <c r="I540" s="130">
        <v>0</v>
      </c>
      <c r="J540" s="1">
        <v>0</v>
      </c>
      <c r="K540" s="1"/>
      <c r="L540" s="296"/>
      <c r="M540" s="26"/>
    </row>
    <row r="541" spans="1:13" ht="12">
      <c r="A541" s="30">
        <v>8</v>
      </c>
      <c r="C541" s="31" t="s">
        <v>26</v>
      </c>
      <c r="E541" s="30">
        <v>8</v>
      </c>
      <c r="F541" s="32"/>
      <c r="G541" s="130"/>
      <c r="H541" s="1"/>
      <c r="I541" s="130"/>
      <c r="J541" s="1">
        <v>0</v>
      </c>
      <c r="K541" s="1"/>
      <c r="L541" s="296"/>
      <c r="M541" s="26"/>
    </row>
    <row r="542" spans="1:13" ht="12">
      <c r="A542" s="30">
        <v>9</v>
      </c>
      <c r="C542" s="31" t="s">
        <v>27</v>
      </c>
      <c r="E542" s="30">
        <v>9</v>
      </c>
      <c r="F542" s="32"/>
      <c r="G542" s="130">
        <f>SUM(G539:G541)</f>
        <v>0</v>
      </c>
      <c r="H542" s="1">
        <f>SUM(H539:H541)</f>
        <v>0</v>
      </c>
      <c r="I542" s="130">
        <f>SUM(I539:I541)</f>
        <v>0</v>
      </c>
      <c r="J542" s="1">
        <f>SUM(J539:J541)</f>
        <v>0</v>
      </c>
      <c r="K542" s="1"/>
      <c r="L542" s="302">
        <f>SUM(L539:L541)</f>
        <v>0</v>
      </c>
      <c r="M542" s="1">
        <f>SUM(M539:M541)</f>
        <v>0</v>
      </c>
    </row>
    <row r="543" spans="1:13" ht="12">
      <c r="A543" s="30">
        <v>10</v>
      </c>
      <c r="E543" s="30">
        <v>10</v>
      </c>
      <c r="F543" s="32"/>
      <c r="G543" s="101"/>
      <c r="H543" s="1"/>
      <c r="I543" s="101"/>
      <c r="J543" s="1"/>
      <c r="K543" s="1"/>
      <c r="L543" s="296"/>
      <c r="M543" s="26"/>
    </row>
    <row r="544" spans="1:13" ht="12">
      <c r="A544" s="30">
        <v>11</v>
      </c>
      <c r="C544" s="31" t="s">
        <v>28</v>
      </c>
      <c r="E544" s="30">
        <v>11</v>
      </c>
      <c r="G544" s="132">
        <f>SUM(G537+G542)</f>
        <v>0.56</v>
      </c>
      <c r="H544" s="121">
        <f>SUM(H537+H542)</f>
        <v>39144</v>
      </c>
      <c r="I544" s="132">
        <f>SUM(I537+I542)</f>
        <v>0</v>
      </c>
      <c r="J544" s="121">
        <f>SUM(J537+J542)</f>
        <v>14817</v>
      </c>
      <c r="K544" s="121"/>
      <c r="L544" s="300">
        <f>SUM(L537+L542)</f>
        <v>0</v>
      </c>
      <c r="M544" s="121">
        <f>SUM(M537+M542)</f>
        <v>0</v>
      </c>
    </row>
    <row r="545" spans="1:13" ht="12">
      <c r="A545" s="30">
        <v>12</v>
      </c>
      <c r="E545" s="30">
        <v>12</v>
      </c>
      <c r="G545" s="132"/>
      <c r="H545" s="121"/>
      <c r="I545" s="132"/>
      <c r="J545" s="121"/>
      <c r="K545" s="121"/>
      <c r="L545" s="296"/>
      <c r="M545" s="26"/>
    </row>
    <row r="546" spans="1:13" ht="12">
      <c r="A546" s="30">
        <v>13</v>
      </c>
      <c r="C546" s="31" t="s">
        <v>29</v>
      </c>
      <c r="E546" s="30">
        <v>13</v>
      </c>
      <c r="F546" s="32"/>
      <c r="G546" s="130"/>
      <c r="H546" s="1"/>
      <c r="I546" s="130"/>
      <c r="J546" s="1">
        <v>0</v>
      </c>
      <c r="K546" s="1"/>
      <c r="L546" s="296"/>
      <c r="M546" s="26"/>
    </row>
    <row r="547" spans="1:13" ht="12">
      <c r="A547" s="30">
        <v>14</v>
      </c>
      <c r="E547" s="30">
        <v>14</v>
      </c>
      <c r="F547" s="32"/>
      <c r="G547" s="130"/>
      <c r="H547" s="1"/>
      <c r="I547" s="130"/>
      <c r="J547" s="1"/>
      <c r="K547" s="1"/>
      <c r="L547" s="296"/>
      <c r="M547" s="26"/>
    </row>
    <row r="548" spans="1:13" ht="12">
      <c r="A548" s="30">
        <v>15</v>
      </c>
      <c r="C548" s="31" t="s">
        <v>30</v>
      </c>
      <c r="E548" s="30">
        <v>15</v>
      </c>
      <c r="F548" s="32"/>
      <c r="G548" s="130"/>
      <c r="H548" s="1">
        <v>1485</v>
      </c>
      <c r="I548" s="130"/>
      <c r="J548" s="1">
        <v>-82</v>
      </c>
      <c r="K548" s="1"/>
      <c r="L548" s="296"/>
      <c r="M548" s="26"/>
    </row>
    <row r="549" spans="1:13" ht="12">
      <c r="A549" s="30">
        <v>16</v>
      </c>
      <c r="C549" s="31" t="s">
        <v>31</v>
      </c>
      <c r="E549" s="30">
        <v>16</v>
      </c>
      <c r="F549" s="32"/>
      <c r="G549" s="130"/>
      <c r="H549" s="1">
        <f>19982+6452-6452</f>
        <v>19982</v>
      </c>
      <c r="I549" s="130"/>
      <c r="J549" s="107">
        <v>52586</v>
      </c>
      <c r="K549" s="107"/>
      <c r="L549" s="296"/>
      <c r="M549" s="256">
        <v>46342</v>
      </c>
    </row>
    <row r="550" spans="1:13" ht="12">
      <c r="A550" s="30"/>
      <c r="C550" s="31"/>
      <c r="E550" s="30"/>
      <c r="G550" s="130"/>
      <c r="H550" s="1"/>
      <c r="I550" s="130"/>
      <c r="J550" s="1"/>
      <c r="K550" s="1"/>
      <c r="L550" s="296"/>
      <c r="M550" s="26"/>
    </row>
    <row r="551" spans="1:13" ht="12">
      <c r="A551" s="30">
        <v>17</v>
      </c>
      <c r="C551" s="31" t="s">
        <v>32</v>
      </c>
      <c r="E551" s="30">
        <v>17</v>
      </c>
      <c r="G551" s="130"/>
      <c r="H551" s="1"/>
      <c r="I551" s="130"/>
      <c r="J551" s="1">
        <v>0</v>
      </c>
      <c r="K551" s="1"/>
      <c r="L551" s="296"/>
      <c r="M551" s="26"/>
    </row>
    <row r="552" spans="1:13" ht="12">
      <c r="A552" s="30">
        <v>18</v>
      </c>
      <c r="C552" s="31"/>
      <c r="E552" s="30">
        <v>18</v>
      </c>
      <c r="G552" s="130"/>
      <c r="H552" s="119"/>
      <c r="I552" s="130"/>
      <c r="J552" s="119"/>
      <c r="K552" s="119"/>
      <c r="L552" s="296"/>
      <c r="M552" s="26"/>
    </row>
    <row r="553" spans="1:13" ht="12">
      <c r="A553" s="30">
        <v>19</v>
      </c>
      <c r="C553" s="31"/>
      <c r="E553" s="30">
        <v>19</v>
      </c>
      <c r="G553" s="130"/>
      <c r="H553" s="119"/>
      <c r="I553" s="130"/>
      <c r="J553" s="119"/>
      <c r="K553" s="119"/>
      <c r="L553" s="296"/>
      <c r="M553" s="26"/>
    </row>
    <row r="554" spans="1:13" ht="12">
      <c r="A554" s="30">
        <v>20</v>
      </c>
      <c r="C554" s="31"/>
      <c r="E554" s="30">
        <v>20</v>
      </c>
      <c r="G554" s="130"/>
      <c r="H554" s="119"/>
      <c r="I554" s="130"/>
      <c r="J554" s="119"/>
      <c r="K554" s="119"/>
      <c r="L554" s="296"/>
      <c r="M554" s="26"/>
    </row>
    <row r="555" spans="1:13" ht="12">
      <c r="A555" s="30">
        <v>21</v>
      </c>
      <c r="C555" s="31"/>
      <c r="E555" s="30">
        <v>21</v>
      </c>
      <c r="G555" s="130"/>
      <c r="H555" s="119"/>
      <c r="I555" s="130"/>
      <c r="J555" s="119"/>
      <c r="K555" s="119"/>
      <c r="L555" s="296"/>
      <c r="M555" s="26"/>
    </row>
    <row r="556" spans="1:13" ht="12">
      <c r="A556" s="30">
        <v>22</v>
      </c>
      <c r="C556" s="31"/>
      <c r="E556" s="30">
        <v>22</v>
      </c>
      <c r="G556" s="130"/>
      <c r="H556" s="119"/>
      <c r="I556" s="130"/>
      <c r="J556" s="119"/>
      <c r="K556" s="119"/>
      <c r="L556" s="296"/>
      <c r="M556" s="26"/>
    </row>
    <row r="557" spans="1:13" ht="12">
      <c r="A557" s="30">
        <v>23</v>
      </c>
      <c r="C557" s="31"/>
      <c r="E557" s="30">
        <v>23</v>
      </c>
      <c r="G557" s="130"/>
      <c r="H557" s="119"/>
      <c r="I557" s="130"/>
      <c r="J557" s="119"/>
      <c r="K557" s="119"/>
      <c r="L557" s="296"/>
      <c r="M557" s="26"/>
    </row>
    <row r="558" spans="1:13" ht="12">
      <c r="A558" s="30">
        <v>24</v>
      </c>
      <c r="C558" s="31"/>
      <c r="E558" s="30">
        <v>24</v>
      </c>
      <c r="G558" s="130"/>
      <c r="H558" s="119"/>
      <c r="I558" s="130"/>
      <c r="J558" s="119"/>
      <c r="K558" s="119"/>
      <c r="L558" s="296"/>
      <c r="M558" s="26"/>
    </row>
    <row r="559" spans="1:13" ht="12">
      <c r="A559" s="30"/>
      <c r="E559" s="30"/>
      <c r="F559" s="133" t="s">
        <v>194</v>
      </c>
      <c r="G559" s="134"/>
      <c r="H559" s="34"/>
      <c r="I559" s="134"/>
      <c r="J559" s="42" t="s">
        <v>1</v>
      </c>
      <c r="K559" s="42"/>
      <c r="L559" s="297" t="s">
        <v>1</v>
      </c>
      <c r="M559" s="42" t="s">
        <v>1</v>
      </c>
    </row>
    <row r="560" spans="1:13" ht="15.75" customHeight="1">
      <c r="A560" s="30">
        <v>25</v>
      </c>
      <c r="C560" s="31" t="s">
        <v>224</v>
      </c>
      <c r="E560" s="30">
        <v>25</v>
      </c>
      <c r="G560" s="132">
        <f>SUM(G544:G553)</f>
        <v>0.56</v>
      </c>
      <c r="H560" s="121">
        <f>SUM(H544:H553)</f>
        <v>60611</v>
      </c>
      <c r="I560" s="132">
        <f>SUM(I544:I553)</f>
        <v>0</v>
      </c>
      <c r="J560" s="121">
        <f>SUM(J544:J553)</f>
        <v>67321</v>
      </c>
      <c r="K560" s="121"/>
      <c r="L560" s="301">
        <f>SUM(L544:L553)</f>
        <v>0</v>
      </c>
      <c r="M560" s="121">
        <f>SUM(M544:M553)</f>
        <v>46342</v>
      </c>
    </row>
    <row r="561" spans="5:13" ht="12">
      <c r="E561" s="69"/>
      <c r="F561" s="109" t="s">
        <v>1</v>
      </c>
      <c r="G561" s="109"/>
      <c r="H561" s="109"/>
      <c r="I561" s="41" t="s">
        <v>1</v>
      </c>
      <c r="J561" s="42" t="s">
        <v>1</v>
      </c>
      <c r="K561" s="109" t="s">
        <v>1</v>
      </c>
      <c r="L561" s="41" t="s">
        <v>1</v>
      </c>
      <c r="M561" s="42" t="s">
        <v>1</v>
      </c>
    </row>
    <row r="562" spans="1:13" ht="12">
      <c r="A562" s="31"/>
      <c r="J562" s="74"/>
      <c r="M562" s="74"/>
    </row>
    <row r="563" spans="10:13" ht="12">
      <c r="J563" s="74"/>
      <c r="M563" s="74"/>
    </row>
    <row r="564" spans="1:13" s="65" customFormat="1" ht="12">
      <c r="A564" s="38" t="str">
        <f>$A$35</f>
        <v>Institution No.:  GFD</v>
      </c>
      <c r="E564" s="70"/>
      <c r="I564" s="71"/>
      <c r="J564" s="72"/>
      <c r="L564" s="71"/>
      <c r="M564" s="37" t="s">
        <v>35</v>
      </c>
    </row>
    <row r="565" spans="1:13" s="65" customFormat="1" ht="12">
      <c r="A565" s="414" t="s">
        <v>149</v>
      </c>
      <c r="B565" s="414"/>
      <c r="C565" s="414"/>
      <c r="D565" s="414"/>
      <c r="E565" s="414"/>
      <c r="F565" s="414"/>
      <c r="G565" s="414"/>
      <c r="H565" s="414"/>
      <c r="I565" s="414"/>
      <c r="J565" s="414"/>
      <c r="K565" s="414"/>
      <c r="L565" s="414"/>
      <c r="M565" s="414"/>
    </row>
    <row r="566" spans="1:13" ht="12">
      <c r="A566" s="38" t="s">
        <v>551</v>
      </c>
      <c r="C566" s="26" t="s">
        <v>552</v>
      </c>
      <c r="I566" s="124"/>
      <c r="J566" s="105"/>
      <c r="L566" s="36"/>
      <c r="M566" s="39" t="str">
        <f>$M$3</f>
        <v>Date: 10/1/2009</v>
      </c>
    </row>
    <row r="567" spans="1:13" ht="12">
      <c r="A567" s="40" t="s">
        <v>1</v>
      </c>
      <c r="B567" s="40" t="s">
        <v>1</v>
      </c>
      <c r="C567" s="40" t="s">
        <v>1</v>
      </c>
      <c r="D567" s="40" t="s">
        <v>1</v>
      </c>
      <c r="E567" s="40" t="s">
        <v>1</v>
      </c>
      <c r="F567" s="40" t="s">
        <v>1</v>
      </c>
      <c r="G567" s="40"/>
      <c r="H567" s="40"/>
      <c r="I567" s="41" t="s">
        <v>1</v>
      </c>
      <c r="J567" s="42" t="s">
        <v>1</v>
      </c>
      <c r="K567" s="40" t="s">
        <v>1</v>
      </c>
      <c r="L567" s="41" t="s">
        <v>1</v>
      </c>
      <c r="M567" s="42" t="s">
        <v>1</v>
      </c>
    </row>
    <row r="568" spans="1:13" ht="12">
      <c r="A568" s="43" t="s">
        <v>2</v>
      </c>
      <c r="E568" s="43" t="s">
        <v>2</v>
      </c>
      <c r="F568" s="44"/>
      <c r="G568" s="45"/>
      <c r="H568" s="46" t="s">
        <v>240</v>
      </c>
      <c r="I568" s="45"/>
      <c r="J568" s="46" t="s">
        <v>247</v>
      </c>
      <c r="K568" s="46"/>
      <c r="L568" s="296"/>
      <c r="M568" s="44" t="s">
        <v>576</v>
      </c>
    </row>
    <row r="569" spans="1:13" ht="12">
      <c r="A569" s="43" t="s">
        <v>4</v>
      </c>
      <c r="C569" s="47" t="s">
        <v>20</v>
      </c>
      <c r="E569" s="43" t="s">
        <v>4</v>
      </c>
      <c r="F569" s="44"/>
      <c r="G569" s="45" t="s">
        <v>6</v>
      </c>
      <c r="H569" s="46" t="s">
        <v>7</v>
      </c>
      <c r="I569" s="45" t="s">
        <v>6</v>
      </c>
      <c r="J569" s="46" t="s">
        <v>7</v>
      </c>
      <c r="K569" s="46"/>
      <c r="L569" s="296" t="s">
        <v>21</v>
      </c>
      <c r="M569" s="44" t="s">
        <v>8</v>
      </c>
    </row>
    <row r="570" spans="1:13" ht="12">
      <c r="A570" s="40" t="s">
        <v>1</v>
      </c>
      <c r="B570" s="40" t="s">
        <v>1</v>
      </c>
      <c r="C570" s="40" t="s">
        <v>1</v>
      </c>
      <c r="D570" s="40" t="s">
        <v>1</v>
      </c>
      <c r="E570" s="40" t="s">
        <v>1</v>
      </c>
      <c r="F570" s="40" t="s">
        <v>1</v>
      </c>
      <c r="G570" s="41" t="s">
        <v>1</v>
      </c>
      <c r="H570" s="42" t="s">
        <v>1</v>
      </c>
      <c r="I570" s="41" t="s">
        <v>1</v>
      </c>
      <c r="J570" s="42" t="s">
        <v>1</v>
      </c>
      <c r="K570" s="42"/>
      <c r="L570" s="297" t="s">
        <v>1</v>
      </c>
      <c r="M570" s="42" t="s">
        <v>1</v>
      </c>
    </row>
    <row r="571" spans="1:13" ht="12">
      <c r="A571" s="30">
        <v>1</v>
      </c>
      <c r="C571" s="31" t="s">
        <v>36</v>
      </c>
      <c r="E571" s="30">
        <v>1</v>
      </c>
      <c r="F571" s="32"/>
      <c r="G571" s="253">
        <f>H571/50379</f>
        <v>1.674646181940888</v>
      </c>
      <c r="H571" s="2">
        <f>34009+4249+46109</f>
        <v>84367</v>
      </c>
      <c r="I571" s="86">
        <f>J571/84407</f>
        <v>1.384352008719656</v>
      </c>
      <c r="J571" s="1">
        <f>24206+3167+89476</f>
        <v>116849</v>
      </c>
      <c r="K571" s="1"/>
      <c r="L571" s="296">
        <f>1.01</f>
        <v>1.01</v>
      </c>
      <c r="M571" s="123">
        <f>49206+36234</f>
        <v>85440</v>
      </c>
    </row>
    <row r="572" spans="1:13" ht="12">
      <c r="A572" s="30">
        <v>2</v>
      </c>
      <c r="C572" s="31" t="s">
        <v>37</v>
      </c>
      <c r="E572" s="30">
        <v>2</v>
      </c>
      <c r="F572" s="32"/>
      <c r="G572" s="253"/>
      <c r="H572" s="2">
        <f>9346+16+14348</f>
        <v>23710</v>
      </c>
      <c r="I572" s="86"/>
      <c r="J572" s="2">
        <f>5913+48+21669</f>
        <v>27630</v>
      </c>
      <c r="K572" s="2"/>
      <c r="L572" s="296"/>
      <c r="M572" s="123">
        <f>12354+8965</f>
        <v>21319</v>
      </c>
    </row>
    <row r="573" spans="1:13" ht="12">
      <c r="A573" s="30">
        <v>3</v>
      </c>
      <c r="E573" s="30">
        <v>3</v>
      </c>
      <c r="F573" s="32"/>
      <c r="G573" s="253"/>
      <c r="H573" s="2"/>
      <c r="I573" s="86"/>
      <c r="J573" s="2"/>
      <c r="K573" s="2"/>
      <c r="L573" s="296"/>
      <c r="M573" s="123"/>
    </row>
    <row r="574" spans="1:13" ht="12">
      <c r="A574" s="30">
        <v>4</v>
      </c>
      <c r="C574" s="31" t="s">
        <v>23</v>
      </c>
      <c r="E574" s="30">
        <v>4</v>
      </c>
      <c r="F574" s="32"/>
      <c r="G574" s="253">
        <f>SUM(G571:G573)</f>
        <v>1.674646181940888</v>
      </c>
      <c r="H574" s="2">
        <f>SUM(H571:H573)</f>
        <v>108077</v>
      </c>
      <c r="I574" s="86">
        <f>SUM(I571:I573)</f>
        <v>1.384352008719656</v>
      </c>
      <c r="J574" s="2">
        <f>SUM(J571:J573)</f>
        <v>144479</v>
      </c>
      <c r="K574" s="2"/>
      <c r="L574" s="253">
        <f>SUM(L571:L573)</f>
        <v>1.01</v>
      </c>
      <c r="M574" s="123">
        <f>SUM(M571:M573)</f>
        <v>106759</v>
      </c>
    </row>
    <row r="575" spans="1:13" ht="12">
      <c r="A575" s="30">
        <v>5</v>
      </c>
      <c r="E575" s="30">
        <v>5</v>
      </c>
      <c r="F575" s="32"/>
      <c r="G575" s="253"/>
      <c r="H575" s="2"/>
      <c r="I575" s="86"/>
      <c r="J575" s="2"/>
      <c r="K575" s="2"/>
      <c r="L575" s="296"/>
      <c r="M575" s="123"/>
    </row>
    <row r="576" spans="1:13" ht="12">
      <c r="A576" s="30">
        <v>6</v>
      </c>
      <c r="E576" s="30">
        <v>6</v>
      </c>
      <c r="F576" s="32"/>
      <c r="G576" s="253"/>
      <c r="H576" s="2"/>
      <c r="I576" s="86"/>
      <c r="J576" s="2"/>
      <c r="K576" s="2"/>
      <c r="L576" s="296"/>
      <c r="M576" s="123"/>
    </row>
    <row r="577" spans="1:13" ht="12">
      <c r="A577" s="30">
        <v>7</v>
      </c>
      <c r="C577" s="31" t="s">
        <v>25</v>
      </c>
      <c r="E577" s="30">
        <v>7</v>
      </c>
      <c r="F577" s="32"/>
      <c r="G577" s="253">
        <v>0</v>
      </c>
      <c r="H577" s="2">
        <f>4</f>
        <v>4</v>
      </c>
      <c r="I577" s="86">
        <v>0</v>
      </c>
      <c r="J577" s="2">
        <v>1122</v>
      </c>
      <c r="K577" s="2"/>
      <c r="L577" s="296"/>
      <c r="M577" s="123">
        <v>0</v>
      </c>
    </row>
    <row r="578" spans="1:13" ht="12">
      <c r="A578" s="30">
        <v>8</v>
      </c>
      <c r="C578" s="31" t="s">
        <v>26</v>
      </c>
      <c r="E578" s="30">
        <v>8</v>
      </c>
      <c r="F578" s="32"/>
      <c r="G578" s="253"/>
      <c r="H578" s="2">
        <f>1</f>
        <v>1</v>
      </c>
      <c r="I578" s="86"/>
      <c r="J578" s="2">
        <v>164</v>
      </c>
      <c r="K578" s="2"/>
      <c r="L578" s="296"/>
      <c r="M578" s="123">
        <v>0</v>
      </c>
    </row>
    <row r="579" spans="1:13" ht="12">
      <c r="A579" s="30">
        <v>9</v>
      </c>
      <c r="C579" s="31" t="s">
        <v>27</v>
      </c>
      <c r="E579" s="30">
        <v>9</v>
      </c>
      <c r="F579" s="32"/>
      <c r="G579" s="253">
        <f>SUM(G577:G578)</f>
        <v>0</v>
      </c>
      <c r="H579" s="2">
        <f>SUM(H577:H578)</f>
        <v>5</v>
      </c>
      <c r="I579" s="86">
        <f>SUM(I577:I578)</f>
        <v>0</v>
      </c>
      <c r="J579" s="2">
        <f>SUM(J577:J578)</f>
        <v>1286</v>
      </c>
      <c r="K579" s="2"/>
      <c r="L579" s="253">
        <f>SUM(L577:L578)</f>
        <v>0</v>
      </c>
      <c r="M579" s="2">
        <f>SUM(M577:M578)</f>
        <v>0</v>
      </c>
    </row>
    <row r="580" spans="1:13" ht="12">
      <c r="A580" s="30">
        <v>10</v>
      </c>
      <c r="E580" s="30">
        <v>10</v>
      </c>
      <c r="F580" s="32"/>
      <c r="G580" s="253"/>
      <c r="H580" s="2"/>
      <c r="I580" s="86"/>
      <c r="J580" s="2"/>
      <c r="K580" s="2"/>
      <c r="L580" s="296"/>
      <c r="M580" s="123"/>
    </row>
    <row r="581" spans="1:13" ht="12">
      <c r="A581" s="30">
        <v>11</v>
      </c>
      <c r="C581" s="31" t="s">
        <v>28</v>
      </c>
      <c r="E581" s="30">
        <v>11</v>
      </c>
      <c r="G581" s="254">
        <f>SUM(G574,G579)</f>
        <v>1.674646181940888</v>
      </c>
      <c r="H581" s="84">
        <f>SUM(H579,H574)</f>
        <v>108082</v>
      </c>
      <c r="I581" s="83">
        <f>SUM(I574,I579)</f>
        <v>1.384352008719656</v>
      </c>
      <c r="J581" s="84">
        <f>SUM(J579,J574)</f>
        <v>145765</v>
      </c>
      <c r="K581" s="84"/>
      <c r="L581" s="254">
        <f>SUM(L574,L579)</f>
        <v>1.01</v>
      </c>
      <c r="M581" s="84">
        <f>SUM(M579,M574)</f>
        <v>106759</v>
      </c>
    </row>
    <row r="582" spans="1:13" ht="12">
      <c r="A582" s="30">
        <v>12</v>
      </c>
      <c r="E582" s="30">
        <v>12</v>
      </c>
      <c r="G582" s="136"/>
      <c r="H582" s="84"/>
      <c r="I582" s="83"/>
      <c r="J582" s="84"/>
      <c r="K582" s="84"/>
      <c r="L582" s="296"/>
      <c r="M582" s="123"/>
    </row>
    <row r="583" spans="1:13" ht="12">
      <c r="A583" s="30">
        <v>13</v>
      </c>
      <c r="C583" s="31" t="s">
        <v>38</v>
      </c>
      <c r="E583" s="30">
        <v>13</v>
      </c>
      <c r="F583" s="32"/>
      <c r="G583" s="135"/>
      <c r="H583" s="2">
        <f>68+1</f>
        <v>69</v>
      </c>
      <c r="I583" s="86"/>
      <c r="J583" s="2">
        <f>3341+9</f>
        <v>3350</v>
      </c>
      <c r="K583" s="2"/>
      <c r="L583" s="296"/>
      <c r="M583" s="123"/>
    </row>
    <row r="584" spans="1:13" ht="12">
      <c r="A584" s="30">
        <v>14</v>
      </c>
      <c r="E584" s="30">
        <v>14</v>
      </c>
      <c r="F584" s="32"/>
      <c r="G584" s="135"/>
      <c r="H584" s="2"/>
      <c r="I584" s="86"/>
      <c r="J584" s="2"/>
      <c r="K584" s="2"/>
      <c r="L584" s="296"/>
      <c r="M584" s="123"/>
    </row>
    <row r="585" spans="1:13" ht="12">
      <c r="A585" s="30">
        <v>15</v>
      </c>
      <c r="C585" s="31" t="s">
        <v>30</v>
      </c>
      <c r="E585" s="30">
        <v>15</v>
      </c>
      <c r="F585" s="32"/>
      <c r="G585" s="135"/>
      <c r="H585" s="2">
        <v>8497</v>
      </c>
      <c r="I585" s="86"/>
      <c r="J585" s="2">
        <v>10607</v>
      </c>
      <c r="K585" s="2"/>
      <c r="L585" s="296"/>
      <c r="M585" s="123">
        <v>10814</v>
      </c>
    </row>
    <row r="586" spans="1:13" ht="12">
      <c r="A586" s="30">
        <v>16</v>
      </c>
      <c r="C586" s="31" t="s">
        <v>31</v>
      </c>
      <c r="E586" s="30">
        <v>16</v>
      </c>
      <c r="F586" s="32"/>
      <c r="G586" s="135"/>
      <c r="H586" s="2">
        <f>19381</f>
        <v>19381</v>
      </c>
      <c r="I586" s="86"/>
      <c r="J586" s="2">
        <v>40379</v>
      </c>
      <c r="K586" s="2"/>
      <c r="L586" s="296"/>
      <c r="M586" s="123">
        <f>10545+18094</f>
        <v>28639</v>
      </c>
    </row>
    <row r="587" spans="1:13" ht="12">
      <c r="A587" s="30"/>
      <c r="C587" s="31"/>
      <c r="E587" s="30"/>
      <c r="F587" s="32"/>
      <c r="G587" s="135"/>
      <c r="H587" s="2"/>
      <c r="I587" s="86"/>
      <c r="J587" s="2"/>
      <c r="K587" s="2"/>
      <c r="L587" s="296"/>
      <c r="M587" s="123"/>
    </row>
    <row r="588" spans="1:13" ht="12">
      <c r="A588" s="30">
        <v>17</v>
      </c>
      <c r="C588" s="31" t="s">
        <v>32</v>
      </c>
      <c r="E588" s="30">
        <v>17</v>
      </c>
      <c r="F588" s="32"/>
      <c r="G588" s="135"/>
      <c r="H588" s="2"/>
      <c r="I588" s="86"/>
      <c r="J588" s="2">
        <v>0</v>
      </c>
      <c r="K588" s="2"/>
      <c r="L588" s="296"/>
      <c r="M588" s="123"/>
    </row>
    <row r="589" spans="1:13" ht="12">
      <c r="A589" s="30">
        <v>18</v>
      </c>
      <c r="C589" s="31"/>
      <c r="E589" s="30">
        <v>18</v>
      </c>
      <c r="F589" s="32"/>
      <c r="G589" s="135"/>
      <c r="H589" s="2"/>
      <c r="I589" s="86"/>
      <c r="J589" s="2"/>
      <c r="K589" s="2"/>
      <c r="L589" s="296"/>
      <c r="M589" s="123"/>
    </row>
    <row r="590" spans="1:13" ht="12">
      <c r="A590" s="30">
        <v>19</v>
      </c>
      <c r="C590" s="31"/>
      <c r="E590" s="30">
        <v>19</v>
      </c>
      <c r="F590" s="32"/>
      <c r="G590" s="135"/>
      <c r="H590" s="2"/>
      <c r="I590" s="86"/>
      <c r="J590" s="2"/>
      <c r="K590" s="2"/>
      <c r="L590" s="296"/>
      <c r="M590" s="123"/>
    </row>
    <row r="591" spans="1:13" ht="12">
      <c r="A591" s="30">
        <v>20</v>
      </c>
      <c r="C591" s="31"/>
      <c r="E591" s="30">
        <v>20</v>
      </c>
      <c r="F591" s="32"/>
      <c r="G591" s="135"/>
      <c r="H591" s="2"/>
      <c r="I591" s="86"/>
      <c r="J591" s="2"/>
      <c r="K591" s="2"/>
      <c r="L591" s="296"/>
      <c r="M591" s="123"/>
    </row>
    <row r="592" spans="1:13" ht="12">
      <c r="A592" s="30">
        <v>21</v>
      </c>
      <c r="C592" s="31"/>
      <c r="E592" s="30">
        <v>21</v>
      </c>
      <c r="F592" s="32"/>
      <c r="G592" s="135"/>
      <c r="H592" s="2"/>
      <c r="I592" s="86"/>
      <c r="J592" s="2"/>
      <c r="K592" s="2"/>
      <c r="L592" s="296"/>
      <c r="M592" s="123"/>
    </row>
    <row r="593" spans="1:13" ht="12">
      <c r="A593" s="30">
        <v>22</v>
      </c>
      <c r="C593" s="31"/>
      <c r="E593" s="30">
        <v>22</v>
      </c>
      <c r="F593" s="32"/>
      <c r="G593" s="135"/>
      <c r="H593" s="2"/>
      <c r="I593" s="86"/>
      <c r="J593" s="2"/>
      <c r="K593" s="2"/>
      <c r="L593" s="296"/>
      <c r="M593" s="123"/>
    </row>
    <row r="594" spans="1:13" ht="12">
      <c r="A594" s="30">
        <v>23</v>
      </c>
      <c r="C594" s="31"/>
      <c r="E594" s="30">
        <v>23</v>
      </c>
      <c r="F594" s="32"/>
      <c r="G594" s="135"/>
      <c r="H594" s="2"/>
      <c r="I594" s="86"/>
      <c r="J594" s="2"/>
      <c r="K594" s="2"/>
      <c r="L594" s="296"/>
      <c r="M594" s="26"/>
    </row>
    <row r="595" spans="1:13" ht="12">
      <c r="A595" s="30">
        <v>24</v>
      </c>
      <c r="C595" s="31"/>
      <c r="E595" s="30">
        <v>24</v>
      </c>
      <c r="F595" s="32"/>
      <c r="G595" s="135"/>
      <c r="H595" s="2"/>
      <c r="I595" s="86"/>
      <c r="J595" s="2"/>
      <c r="K595" s="2"/>
      <c r="L595" s="296"/>
      <c r="M595" s="26"/>
    </row>
    <row r="596" spans="5:13" ht="12">
      <c r="E596" s="69"/>
      <c r="F596" s="109" t="s">
        <v>1</v>
      </c>
      <c r="G596" s="42" t="s">
        <v>1</v>
      </c>
      <c r="H596" s="42" t="s">
        <v>1</v>
      </c>
      <c r="I596" s="42" t="s">
        <v>1</v>
      </c>
      <c r="J596" s="42" t="s">
        <v>1</v>
      </c>
      <c r="K596" s="42"/>
      <c r="L596" s="297" t="s">
        <v>1</v>
      </c>
      <c r="M596" s="42" t="s">
        <v>1</v>
      </c>
    </row>
    <row r="597" spans="1:13" ht="15.75" customHeight="1">
      <c r="A597" s="30">
        <v>25</v>
      </c>
      <c r="C597" s="31" t="s">
        <v>225</v>
      </c>
      <c r="E597" s="30">
        <v>25</v>
      </c>
      <c r="G597" s="244">
        <f>SUM(G581:G588)</f>
        <v>1.674646181940888</v>
      </c>
      <c r="H597" s="84">
        <f>SUM(H581:H588)</f>
        <v>136029</v>
      </c>
      <c r="I597" s="83">
        <f>SUM(I581:I588)</f>
        <v>1.384352008719656</v>
      </c>
      <c r="J597" s="84">
        <f>SUM(J581:J588)</f>
        <v>200101</v>
      </c>
      <c r="K597" s="84"/>
      <c r="L597" s="254">
        <f>SUM(L581:L588)</f>
        <v>1.01</v>
      </c>
      <c r="M597" s="84">
        <f>SUM(M581:M588)</f>
        <v>146212</v>
      </c>
    </row>
    <row r="598" spans="5:13" ht="12">
      <c r="E598" s="69"/>
      <c r="F598" s="109" t="s">
        <v>1</v>
      </c>
      <c r="G598" s="109"/>
      <c r="H598" s="109"/>
      <c r="I598" s="41" t="s">
        <v>1</v>
      </c>
      <c r="J598" s="42" t="s">
        <v>1</v>
      </c>
      <c r="K598" s="109" t="s">
        <v>1</v>
      </c>
      <c r="L598" s="41" t="s">
        <v>1</v>
      </c>
      <c r="M598" s="42" t="s">
        <v>1</v>
      </c>
    </row>
    <row r="599" spans="1:13" ht="12">
      <c r="A599" s="31"/>
      <c r="J599" s="74"/>
      <c r="M599" s="74"/>
    </row>
    <row r="600" spans="10:13" ht="12">
      <c r="J600" s="74"/>
      <c r="M600" s="74"/>
    </row>
    <row r="601" spans="1:13" s="65" customFormat="1" ht="12">
      <c r="A601" s="38" t="str">
        <f>$A$35</f>
        <v>Institution No.:  GFD</v>
      </c>
      <c r="E601" s="70"/>
      <c r="I601" s="71"/>
      <c r="J601" s="72"/>
      <c r="L601" s="71"/>
      <c r="M601" s="37" t="s">
        <v>39</v>
      </c>
    </row>
    <row r="602" spans="1:13" s="65" customFormat="1" ht="12">
      <c r="A602" s="414" t="s">
        <v>150</v>
      </c>
      <c r="B602" s="414"/>
      <c r="C602" s="414"/>
      <c r="D602" s="414"/>
      <c r="E602" s="414"/>
      <c r="F602" s="414"/>
      <c r="G602" s="414"/>
      <c r="H602" s="414"/>
      <c r="I602" s="414"/>
      <c r="J602" s="414"/>
      <c r="K602" s="414"/>
      <c r="L602" s="414"/>
      <c r="M602" s="414"/>
    </row>
    <row r="603" spans="1:13" ht="12">
      <c r="A603" s="38" t="s">
        <v>551</v>
      </c>
      <c r="C603" s="26" t="s">
        <v>552</v>
      </c>
      <c r="I603" s="124"/>
      <c r="J603" s="105"/>
      <c r="L603" s="36"/>
      <c r="M603" s="39" t="str">
        <f>$M$3</f>
        <v>Date: 10/1/2009</v>
      </c>
    </row>
    <row r="604" spans="1:13" ht="12">
      <c r="A604" s="40" t="s">
        <v>1</v>
      </c>
      <c r="B604" s="40" t="s">
        <v>1</v>
      </c>
      <c r="C604" s="40" t="s">
        <v>1</v>
      </c>
      <c r="D604" s="40" t="s">
        <v>1</v>
      </c>
      <c r="E604" s="40" t="s">
        <v>1</v>
      </c>
      <c r="F604" s="40" t="s">
        <v>1</v>
      </c>
      <c r="G604" s="40"/>
      <c r="H604" s="40"/>
      <c r="I604" s="41" t="s">
        <v>1</v>
      </c>
      <c r="J604" s="42" t="s">
        <v>1</v>
      </c>
      <c r="K604" s="40" t="s">
        <v>1</v>
      </c>
      <c r="L604" s="41" t="s">
        <v>1</v>
      </c>
      <c r="M604" s="42" t="s">
        <v>1</v>
      </c>
    </row>
    <row r="605" spans="1:13" ht="12">
      <c r="A605" s="43" t="s">
        <v>2</v>
      </c>
      <c r="E605" s="43" t="s">
        <v>2</v>
      </c>
      <c r="F605" s="44"/>
      <c r="G605" s="45"/>
      <c r="H605" s="46" t="s">
        <v>240</v>
      </c>
      <c r="I605" s="45"/>
      <c r="J605" s="46" t="s">
        <v>247</v>
      </c>
      <c r="K605" s="46"/>
      <c r="L605" s="296"/>
      <c r="M605" s="44" t="s">
        <v>576</v>
      </c>
    </row>
    <row r="606" spans="1:13" ht="12">
      <c r="A606" s="43" t="s">
        <v>4</v>
      </c>
      <c r="C606" s="47" t="s">
        <v>20</v>
      </c>
      <c r="E606" s="43" t="s">
        <v>4</v>
      </c>
      <c r="F606" s="44"/>
      <c r="G606" s="45" t="s">
        <v>6</v>
      </c>
      <c r="H606" s="46" t="s">
        <v>7</v>
      </c>
      <c r="I606" s="45" t="s">
        <v>6</v>
      </c>
      <c r="J606" s="46" t="s">
        <v>7</v>
      </c>
      <c r="K606" s="46"/>
      <c r="L606" s="299" t="s">
        <v>21</v>
      </c>
      <c r="M606" s="44" t="s">
        <v>8</v>
      </c>
    </row>
    <row r="607" spans="1:13" ht="12">
      <c r="A607" s="40" t="s">
        <v>1</v>
      </c>
      <c r="B607" s="40" t="s">
        <v>1</v>
      </c>
      <c r="C607" s="40" t="s">
        <v>1</v>
      </c>
      <c r="D607" s="40" t="s">
        <v>1</v>
      </c>
      <c r="E607" s="40" t="s">
        <v>1</v>
      </c>
      <c r="F607" s="40" t="s">
        <v>1</v>
      </c>
      <c r="G607" s="41" t="s">
        <v>1</v>
      </c>
      <c r="H607" s="42" t="s">
        <v>1</v>
      </c>
      <c r="I607" s="137" t="s">
        <v>1</v>
      </c>
      <c r="J607" s="42" t="s">
        <v>1</v>
      </c>
      <c r="K607" s="42"/>
      <c r="L607" s="297" t="s">
        <v>1</v>
      </c>
      <c r="M607" s="42" t="s">
        <v>1</v>
      </c>
    </row>
    <row r="608" spans="1:13" ht="12">
      <c r="A608" s="30">
        <v>1</v>
      </c>
      <c r="C608" s="31" t="s">
        <v>36</v>
      </c>
      <c r="E608" s="30">
        <v>1</v>
      </c>
      <c r="F608" s="32"/>
      <c r="G608" s="138">
        <f>H608/80040</f>
        <v>102.40423538230884</v>
      </c>
      <c r="H608" s="1">
        <f>1912732+18468+67056+6165519+27647+2571-25631+28073</f>
        <v>8196435</v>
      </c>
      <c r="I608" s="138">
        <f>J608/84042</f>
        <v>118.02517788724685</v>
      </c>
      <c r="J608" s="1">
        <f>2198680+20213+99592+7600587</f>
        <v>9919072</v>
      </c>
      <c r="K608" s="1"/>
      <c r="L608" s="296">
        <f>117.91</f>
        <v>117.91</v>
      </c>
      <c r="M608" s="123">
        <f>2161139+23500+7917499-33069-73773-85962</f>
        <v>9909334</v>
      </c>
    </row>
    <row r="609" spans="1:13" ht="12">
      <c r="A609" s="30">
        <v>2</v>
      </c>
      <c r="C609" s="31" t="s">
        <v>37</v>
      </c>
      <c r="E609" s="30">
        <v>2</v>
      </c>
      <c r="F609" s="32"/>
      <c r="G609" s="138"/>
      <c r="H609" s="1">
        <f>507506+1994+440+1566819+5351+607-4791+5248</f>
        <v>2083174</v>
      </c>
      <c r="I609" s="138"/>
      <c r="J609" s="1">
        <f>586414+1586+525+1979340</f>
        <v>2567865</v>
      </c>
      <c r="K609" s="1"/>
      <c r="L609" s="296"/>
      <c r="M609" s="123">
        <f>733892+7180+80+2096128-14781-24450-24054</f>
        <v>2773995</v>
      </c>
    </row>
    <row r="610" spans="1:13" ht="12">
      <c r="A610" s="30">
        <v>3</v>
      </c>
      <c r="E610" s="30">
        <v>3</v>
      </c>
      <c r="F610" s="32"/>
      <c r="G610" s="138"/>
      <c r="H610" s="1"/>
      <c r="I610" s="138"/>
      <c r="J610" s="1"/>
      <c r="K610" s="1"/>
      <c r="L610" s="296"/>
      <c r="M610" s="123"/>
    </row>
    <row r="611" spans="1:13" ht="12">
      <c r="A611" s="30">
        <v>4</v>
      </c>
      <c r="C611" s="31" t="s">
        <v>23</v>
      </c>
      <c r="E611" s="30">
        <v>4</v>
      </c>
      <c r="F611" s="32"/>
      <c r="G611" s="138">
        <f>SUM(G608:G610)</f>
        <v>102.40423538230884</v>
      </c>
      <c r="H611" s="1">
        <f>SUM(H608:H610)</f>
        <v>10279609</v>
      </c>
      <c r="I611" s="138">
        <f>SUM(I608:I610)</f>
        <v>118.02517788724685</v>
      </c>
      <c r="J611" s="1">
        <f>SUM(J608:J610)</f>
        <v>12486937</v>
      </c>
      <c r="K611" s="1"/>
      <c r="L611" s="253">
        <f>SUM(L608:L610)</f>
        <v>117.91</v>
      </c>
      <c r="M611" s="123">
        <f>SUM(M608:M609)</f>
        <v>12683329</v>
      </c>
    </row>
    <row r="612" spans="1:13" ht="12">
      <c r="A612" s="30">
        <v>5</v>
      </c>
      <c r="E612" s="30">
        <v>5</v>
      </c>
      <c r="F612" s="32"/>
      <c r="G612" s="138"/>
      <c r="H612" s="1"/>
      <c r="I612" s="138"/>
      <c r="J612" s="1"/>
      <c r="K612" s="1"/>
      <c r="L612" s="296"/>
      <c r="M612" s="123"/>
    </row>
    <row r="613" spans="1:13" ht="12">
      <c r="A613" s="30">
        <v>6</v>
      </c>
      <c r="E613" s="30">
        <v>6</v>
      </c>
      <c r="F613" s="32"/>
      <c r="G613" s="138"/>
      <c r="H613" s="1"/>
      <c r="I613" s="138"/>
      <c r="J613" s="1"/>
      <c r="K613" s="1"/>
      <c r="L613" s="296"/>
      <c r="M613" s="123"/>
    </row>
    <row r="614" spans="1:13" ht="12">
      <c r="A614" s="30">
        <v>7</v>
      </c>
      <c r="C614" s="31" t="s">
        <v>25</v>
      </c>
      <c r="E614" s="30">
        <v>7</v>
      </c>
      <c r="F614" s="32"/>
      <c r="G614" s="138">
        <f>H614/42599</f>
        <v>84.0414094227564</v>
      </c>
      <c r="H614" s="1">
        <f>3561349+18387-3610+3954</f>
        <v>3580080</v>
      </c>
      <c r="I614" s="138">
        <f>J614/44729</f>
        <v>83.58078651434192</v>
      </c>
      <c r="J614" s="1">
        <f>3614558+123927</f>
        <v>3738485</v>
      </c>
      <c r="K614" s="1"/>
      <c r="L614" s="296">
        <f>83.58</f>
        <v>83.58</v>
      </c>
      <c r="M614" s="123">
        <f>3789358+122490-173475</f>
        <v>3738373</v>
      </c>
    </row>
    <row r="615" spans="1:13" ht="12">
      <c r="A615" s="30">
        <v>8</v>
      </c>
      <c r="C615" s="31" t="s">
        <v>26</v>
      </c>
      <c r="E615" s="30">
        <v>8</v>
      </c>
      <c r="F615" s="32"/>
      <c r="G615" s="138"/>
      <c r="H615" s="1">
        <f>890611+5129-982+1076</f>
        <v>895834</v>
      </c>
      <c r="I615" s="138"/>
      <c r="J615" s="1">
        <f>926592+32060</f>
        <v>958652</v>
      </c>
      <c r="K615" s="1"/>
      <c r="L615" s="296"/>
      <c r="M615" s="123">
        <f>1043016+28479-44997</f>
        <v>1026498</v>
      </c>
    </row>
    <row r="616" spans="1:13" ht="12">
      <c r="A616" s="30">
        <v>9</v>
      </c>
      <c r="C616" s="31" t="s">
        <v>27</v>
      </c>
      <c r="E616" s="30">
        <v>9</v>
      </c>
      <c r="F616" s="32"/>
      <c r="G616" s="138">
        <f>SUM(G614:G615)</f>
        <v>84.0414094227564</v>
      </c>
      <c r="H616" s="1">
        <f>SUM(H614:H615)</f>
        <v>4475914</v>
      </c>
      <c r="I616" s="138">
        <f>SUM(I614:I615)</f>
        <v>83.58078651434192</v>
      </c>
      <c r="J616" s="1">
        <f>SUM(J614:J615)</f>
        <v>4697137</v>
      </c>
      <c r="K616" s="1"/>
      <c r="L616" s="253">
        <f>SUM(L614:L615)</f>
        <v>83.58</v>
      </c>
      <c r="M616" s="123">
        <f>SUM(M614:M615)</f>
        <v>4764871</v>
      </c>
    </row>
    <row r="617" spans="1:13" ht="12">
      <c r="A617" s="30">
        <v>10</v>
      </c>
      <c r="E617" s="30">
        <v>10</v>
      </c>
      <c r="F617" s="32"/>
      <c r="G617" s="138"/>
      <c r="H617" s="1"/>
      <c r="I617" s="138"/>
      <c r="J617" s="1"/>
      <c r="K617" s="1"/>
      <c r="L617" s="296"/>
      <c r="M617" s="123"/>
    </row>
    <row r="618" spans="1:13" ht="12">
      <c r="A618" s="30">
        <v>11</v>
      </c>
      <c r="C618" s="31" t="s">
        <v>28</v>
      </c>
      <c r="E618" s="30">
        <v>11</v>
      </c>
      <c r="G618" s="139">
        <f>SUM(G611,G616)</f>
        <v>186.44564480506523</v>
      </c>
      <c r="H618" s="121">
        <f>SUM(H616,H611)</f>
        <v>14755523</v>
      </c>
      <c r="I618" s="139">
        <f>SUM(I611,I616)</f>
        <v>201.60596440158878</v>
      </c>
      <c r="J618" s="121">
        <f>SUM(J616,J611)</f>
        <v>17184074</v>
      </c>
      <c r="K618" s="121"/>
      <c r="L618" s="254">
        <f>SUM(L611,L616)</f>
        <v>201.49</v>
      </c>
      <c r="M618" s="121">
        <f>SUM(M616,M611)</f>
        <v>17448200</v>
      </c>
    </row>
    <row r="619" spans="1:13" ht="12">
      <c r="A619" s="30">
        <v>12</v>
      </c>
      <c r="E619" s="30">
        <v>12</v>
      </c>
      <c r="G619" s="139"/>
      <c r="H619" s="121"/>
      <c r="I619" s="139"/>
      <c r="J619" s="121"/>
      <c r="K619" s="121"/>
      <c r="L619" s="296"/>
      <c r="M619" s="123"/>
    </row>
    <row r="620" spans="1:13" ht="12">
      <c r="A620" s="30">
        <v>13</v>
      </c>
      <c r="C620" s="31" t="s">
        <v>38</v>
      </c>
      <c r="E620" s="30">
        <v>13</v>
      </c>
      <c r="F620" s="32"/>
      <c r="G620" s="138"/>
      <c r="H620" s="1">
        <f>460579+3147+34041+100</f>
        <v>497867</v>
      </c>
      <c r="I620" s="138"/>
      <c r="J620" s="1">
        <f>536364+3225+156341+361</f>
        <v>696291</v>
      </c>
      <c r="K620" s="1"/>
      <c r="L620" s="296"/>
      <c r="M620" s="123">
        <f>417681+538+144453</f>
        <v>562672</v>
      </c>
    </row>
    <row r="621" spans="1:13" ht="12">
      <c r="A621" s="30">
        <v>14</v>
      </c>
      <c r="E621" s="30">
        <v>14</v>
      </c>
      <c r="F621" s="32"/>
      <c r="G621" s="138"/>
      <c r="H621" s="1"/>
      <c r="I621" s="138"/>
      <c r="J621" s="1"/>
      <c r="K621" s="1"/>
      <c r="L621" s="296"/>
      <c r="M621" s="123"/>
    </row>
    <row r="622" spans="1:13" ht="12">
      <c r="A622" s="30">
        <v>15</v>
      </c>
      <c r="C622" s="31" t="s">
        <v>30</v>
      </c>
      <c r="E622" s="30">
        <v>15</v>
      </c>
      <c r="F622" s="32"/>
      <c r="G622" s="138"/>
      <c r="H622" s="1">
        <f>361284-4</f>
        <v>361280</v>
      </c>
      <c r="I622" s="138"/>
      <c r="J622" s="1">
        <v>317288</v>
      </c>
      <c r="K622" s="1"/>
      <c r="L622" s="296"/>
      <c r="M622" s="123">
        <f>51367</f>
        <v>51367</v>
      </c>
    </row>
    <row r="623" spans="1:13" ht="12">
      <c r="A623" s="30">
        <v>16</v>
      </c>
      <c r="C623" s="31" t="s">
        <v>31</v>
      </c>
      <c r="E623" s="30">
        <v>16</v>
      </c>
      <c r="F623" s="32"/>
      <c r="G623" s="138"/>
      <c r="H623" s="1">
        <f>4358502+13389+95897+568311-523005+572815-13389-190515-1240137</f>
        <v>3641868</v>
      </c>
      <c r="I623" s="138"/>
      <c r="J623" s="1">
        <f>4100573+5553+85369+43679+131164-37312-150-63536-85369-485357</f>
        <v>3694614</v>
      </c>
      <c r="K623" s="1"/>
      <c r="L623" s="296"/>
      <c r="M623" s="123">
        <f>-84800+2959643+160000+8651709-28509-436821-7500000</f>
        <v>3721222</v>
      </c>
    </row>
    <row r="624" spans="1:13" ht="12">
      <c r="A624" s="30"/>
      <c r="C624" s="31"/>
      <c r="E624" s="30"/>
      <c r="F624" s="32"/>
      <c r="G624" s="138"/>
      <c r="H624" s="1"/>
      <c r="I624" s="138"/>
      <c r="J624" s="1"/>
      <c r="K624" s="1"/>
      <c r="L624" s="296"/>
      <c r="M624" s="123"/>
    </row>
    <row r="625" spans="1:13" ht="12">
      <c r="A625" s="30">
        <v>17</v>
      </c>
      <c r="C625" s="31" t="s">
        <v>32</v>
      </c>
      <c r="E625" s="30">
        <v>17</v>
      </c>
      <c r="F625" s="32"/>
      <c r="G625" s="138"/>
      <c r="H625" s="1">
        <f>51461-51461</f>
        <v>0</v>
      </c>
      <c r="I625" s="138"/>
      <c r="J625" s="1"/>
      <c r="K625" s="1"/>
      <c r="L625" s="296"/>
      <c r="M625" s="123">
        <f>71000-71000</f>
        <v>0</v>
      </c>
    </row>
    <row r="626" spans="1:13" ht="12">
      <c r="A626" s="30">
        <v>18</v>
      </c>
      <c r="C626" s="31" t="s">
        <v>40</v>
      </c>
      <c r="E626" s="30">
        <v>18</v>
      </c>
      <c r="F626" s="32"/>
      <c r="G626" s="138"/>
      <c r="H626" s="1">
        <f>2763456-1873463-494696</f>
        <v>395297</v>
      </c>
      <c r="I626" s="138"/>
      <c r="J626" s="1">
        <f>3040774-2200729</f>
        <v>840045</v>
      </c>
      <c r="K626" s="1"/>
      <c r="L626" s="296"/>
      <c r="M626" s="123">
        <f>2777592-1817040</f>
        <v>960552</v>
      </c>
    </row>
    <row r="627" spans="1:13" ht="12">
      <c r="A627" s="30">
        <v>19</v>
      </c>
      <c r="C627" s="31" t="s">
        <v>42</v>
      </c>
      <c r="E627" s="30">
        <v>19</v>
      </c>
      <c r="F627" s="32"/>
      <c r="G627" s="138"/>
      <c r="H627" s="1">
        <v>494696</v>
      </c>
      <c r="I627" s="138"/>
      <c r="J627" s="1">
        <v>485357</v>
      </c>
      <c r="K627" s="1"/>
      <c r="L627" s="296"/>
      <c r="M627" s="123">
        <v>436821</v>
      </c>
    </row>
    <row r="628" spans="1:13" ht="12">
      <c r="A628" s="30">
        <v>20</v>
      </c>
      <c r="C628" s="31" t="s">
        <v>103</v>
      </c>
      <c r="E628" s="30">
        <v>20</v>
      </c>
      <c r="F628" s="32"/>
      <c r="G628" s="138"/>
      <c r="H628" s="1">
        <v>-4167139</v>
      </c>
      <c r="I628" s="138"/>
      <c r="J628" s="1">
        <v>-4419968</v>
      </c>
      <c r="K628" s="1"/>
      <c r="L628" s="296"/>
      <c r="M628" s="123">
        <f>-4195310</f>
        <v>-4195310</v>
      </c>
    </row>
    <row r="629" spans="1:13" ht="12">
      <c r="A629" s="30">
        <v>21</v>
      </c>
      <c r="C629" s="31"/>
      <c r="E629" s="30">
        <v>21</v>
      </c>
      <c r="F629" s="32"/>
      <c r="G629" s="138"/>
      <c r="H629" s="1"/>
      <c r="I629" s="138"/>
      <c r="J629" s="1"/>
      <c r="K629" s="1"/>
      <c r="L629" s="296"/>
      <c r="M629" s="123"/>
    </row>
    <row r="630" spans="1:13" ht="12">
      <c r="A630" s="30">
        <v>22</v>
      </c>
      <c r="C630" s="31"/>
      <c r="E630" s="30">
        <v>22</v>
      </c>
      <c r="F630" s="32"/>
      <c r="G630" s="138"/>
      <c r="H630" s="1"/>
      <c r="I630" s="138"/>
      <c r="J630" s="1"/>
      <c r="K630" s="1"/>
      <c r="L630" s="296"/>
      <c r="M630" s="26"/>
    </row>
    <row r="631" spans="1:13" ht="12">
      <c r="A631" s="30">
        <v>23</v>
      </c>
      <c r="C631" s="31"/>
      <c r="E631" s="30">
        <v>23</v>
      </c>
      <c r="F631" s="32"/>
      <c r="G631" s="138"/>
      <c r="H631" s="1"/>
      <c r="I631" s="138"/>
      <c r="J631" s="1"/>
      <c r="K631" s="1"/>
      <c r="L631" s="296"/>
      <c r="M631" s="26"/>
    </row>
    <row r="632" spans="1:13" ht="12">
      <c r="A632" s="30">
        <v>24</v>
      </c>
      <c r="C632" s="31"/>
      <c r="E632" s="30">
        <v>24</v>
      </c>
      <c r="F632" s="32"/>
      <c r="G632" s="138"/>
      <c r="H632" s="1"/>
      <c r="I632" s="138"/>
      <c r="J632" s="1"/>
      <c r="K632" s="1"/>
      <c r="L632" s="296"/>
      <c r="M632" s="26"/>
    </row>
    <row r="633" spans="5:13" ht="12">
      <c r="E633" s="69"/>
      <c r="F633" s="109" t="s">
        <v>1</v>
      </c>
      <c r="G633" s="137" t="s">
        <v>1</v>
      </c>
      <c r="H633" s="42" t="s">
        <v>1</v>
      </c>
      <c r="I633" s="137" t="s">
        <v>1</v>
      </c>
      <c r="J633" s="42" t="s">
        <v>1</v>
      </c>
      <c r="K633" s="42"/>
      <c r="L633" s="297" t="s">
        <v>1</v>
      </c>
      <c r="M633" s="42" t="s">
        <v>1</v>
      </c>
    </row>
    <row r="634" spans="1:13" ht="15.75" customHeight="1">
      <c r="A634" s="30">
        <v>25</v>
      </c>
      <c r="C634" s="31" t="s">
        <v>226</v>
      </c>
      <c r="E634" s="30">
        <v>25</v>
      </c>
      <c r="G634" s="132">
        <f>SUM(G618:G631)</f>
        <v>186.44564480506523</v>
      </c>
      <c r="H634" s="121">
        <f>SUM(H618:H631)</f>
        <v>15979392</v>
      </c>
      <c r="I634" s="132">
        <f>SUM(I618:I631)</f>
        <v>201.60596440158878</v>
      </c>
      <c r="J634" s="121">
        <f>SUM(J618:J631)</f>
        <v>18797701</v>
      </c>
      <c r="K634" s="121"/>
      <c r="L634" s="301">
        <f>SUM(L618:L631)</f>
        <v>201.49</v>
      </c>
      <c r="M634" s="121">
        <f>SUM(M618:M631)</f>
        <v>18985524</v>
      </c>
    </row>
    <row r="635" spans="5:13" ht="12">
      <c r="E635" s="69"/>
      <c r="F635" s="109" t="s">
        <v>1</v>
      </c>
      <c r="G635" s="109"/>
      <c r="H635" s="109"/>
      <c r="I635" s="41"/>
      <c r="J635" s="42"/>
      <c r="K635" s="109"/>
      <c r="L635" s="41"/>
      <c r="M635" s="42"/>
    </row>
    <row r="636" ht="12">
      <c r="A636" s="31"/>
    </row>
    <row r="638" spans="1:13" s="65" customFormat="1" ht="12">
      <c r="A638" s="38" t="str">
        <f>$A$35</f>
        <v>Institution No.:  GFD</v>
      </c>
      <c r="E638" s="70"/>
      <c r="I638" s="71"/>
      <c r="J638" s="72"/>
      <c r="L638" s="71"/>
      <c r="M638" s="37" t="s">
        <v>41</v>
      </c>
    </row>
    <row r="639" spans="1:13" s="65" customFormat="1" ht="12">
      <c r="A639" s="414" t="s">
        <v>151</v>
      </c>
      <c r="B639" s="414"/>
      <c r="C639" s="414"/>
      <c r="D639" s="414"/>
      <c r="E639" s="414"/>
      <c r="F639" s="414"/>
      <c r="G639" s="414"/>
      <c r="H639" s="414"/>
      <c r="I639" s="414"/>
      <c r="J639" s="414"/>
      <c r="K639" s="414"/>
      <c r="L639" s="414"/>
      <c r="M639" s="414"/>
    </row>
    <row r="640" spans="1:13" ht="12">
      <c r="A640" s="38" t="s">
        <v>551</v>
      </c>
      <c r="C640" s="26" t="s">
        <v>552</v>
      </c>
      <c r="I640" s="124"/>
      <c r="J640" s="105"/>
      <c r="L640" s="36"/>
      <c r="M640" s="39" t="str">
        <f>$M$3</f>
        <v>Date: 10/1/2009</v>
      </c>
    </row>
    <row r="641" spans="1:13" ht="12">
      <c r="A641" s="40" t="s">
        <v>1</v>
      </c>
      <c r="B641" s="40" t="s">
        <v>1</v>
      </c>
      <c r="C641" s="40" t="s">
        <v>1</v>
      </c>
      <c r="D641" s="40" t="s">
        <v>1</v>
      </c>
      <c r="E641" s="40" t="s">
        <v>1</v>
      </c>
      <c r="F641" s="40" t="s">
        <v>1</v>
      </c>
      <c r="G641" s="40"/>
      <c r="H641" s="40"/>
      <c r="I641" s="41" t="s">
        <v>1</v>
      </c>
      <c r="J641" s="42" t="s">
        <v>1</v>
      </c>
      <c r="K641" s="40" t="s">
        <v>1</v>
      </c>
      <c r="L641" s="41" t="s">
        <v>1</v>
      </c>
      <c r="M641" s="42" t="s">
        <v>1</v>
      </c>
    </row>
    <row r="642" spans="1:13" ht="12">
      <c r="A642" s="43" t="s">
        <v>2</v>
      </c>
      <c r="E642" s="43" t="s">
        <v>2</v>
      </c>
      <c r="F642" s="44"/>
      <c r="G642" s="45"/>
      <c r="H642" s="46" t="s">
        <v>240</v>
      </c>
      <c r="I642" s="45"/>
      <c r="J642" s="46" t="s">
        <v>247</v>
      </c>
      <c r="K642" s="46"/>
      <c r="L642" s="296"/>
      <c r="M642" s="44" t="s">
        <v>576</v>
      </c>
    </row>
    <row r="643" spans="1:13" ht="12">
      <c r="A643" s="43" t="s">
        <v>4</v>
      </c>
      <c r="C643" s="47" t="s">
        <v>20</v>
      </c>
      <c r="E643" s="43" t="s">
        <v>4</v>
      </c>
      <c r="F643" s="44"/>
      <c r="G643" s="45" t="s">
        <v>6</v>
      </c>
      <c r="H643" s="46" t="s">
        <v>7</v>
      </c>
      <c r="I643" s="45" t="s">
        <v>6</v>
      </c>
      <c r="J643" s="46" t="s">
        <v>7</v>
      </c>
      <c r="K643" s="46"/>
      <c r="L643" s="299" t="s">
        <v>21</v>
      </c>
      <c r="M643" s="44" t="s">
        <v>8</v>
      </c>
    </row>
    <row r="644" spans="1:13" ht="12">
      <c r="A644" s="40" t="s">
        <v>1</v>
      </c>
      <c r="B644" s="40" t="s">
        <v>1</v>
      </c>
      <c r="C644" s="40" t="s">
        <v>1</v>
      </c>
      <c r="D644" s="40" t="s">
        <v>1</v>
      </c>
      <c r="E644" s="40" t="s">
        <v>1</v>
      </c>
      <c r="F644" s="40" t="s">
        <v>1</v>
      </c>
      <c r="G644" s="41" t="s">
        <v>1</v>
      </c>
      <c r="H644" s="42" t="s">
        <v>1</v>
      </c>
      <c r="I644" s="41" t="s">
        <v>1</v>
      </c>
      <c r="J644" s="42" t="s">
        <v>1</v>
      </c>
      <c r="K644" s="42"/>
      <c r="L644" s="297" t="s">
        <v>1</v>
      </c>
      <c r="M644" s="42" t="s">
        <v>1</v>
      </c>
    </row>
    <row r="645" spans="1:13" ht="12">
      <c r="A645" s="30">
        <v>1</v>
      </c>
      <c r="C645" s="31" t="s">
        <v>36</v>
      </c>
      <c r="E645" s="30">
        <v>1</v>
      </c>
      <c r="F645" s="32"/>
      <c r="G645" s="86">
        <f>H645/67365</f>
        <v>29.038848066503377</v>
      </c>
      <c r="H645" s="2">
        <f>4554+19005+8477+1597386+326780</f>
        <v>1956202</v>
      </c>
      <c r="I645" s="86">
        <f>J645/73811</f>
        <v>33.797875655390115</v>
      </c>
      <c r="J645" s="1">
        <f>6570+22090+4601+2039289+422105</f>
        <v>2494655</v>
      </c>
      <c r="K645" s="1"/>
      <c r="L645" s="296">
        <f>33.18</f>
        <v>33.18</v>
      </c>
      <c r="M645" s="123">
        <f>7564+2193604+546174-80868-217072</f>
        <v>2449402</v>
      </c>
    </row>
    <row r="646" spans="1:13" ht="12">
      <c r="A646" s="30">
        <v>2</v>
      </c>
      <c r="C646" s="31" t="s">
        <v>37</v>
      </c>
      <c r="E646" s="30">
        <v>2</v>
      </c>
      <c r="F646" s="32"/>
      <c r="G646" s="86"/>
      <c r="H646" s="2">
        <f>168+1402+54+386814+78021</f>
        <v>466459</v>
      </c>
      <c r="I646" s="86"/>
      <c r="J646" s="2">
        <f>1898+1100+91+516540+108931</f>
        <v>628560</v>
      </c>
      <c r="K646" s="2"/>
      <c r="L646" s="296"/>
      <c r="M646" s="123">
        <f>620891+166634-28555-57337</f>
        <v>701633</v>
      </c>
    </row>
    <row r="647" spans="1:13" ht="12">
      <c r="A647" s="30">
        <v>3</v>
      </c>
      <c r="E647" s="30">
        <v>3</v>
      </c>
      <c r="F647" s="32"/>
      <c r="G647" s="86"/>
      <c r="H647" s="2"/>
      <c r="I647" s="86"/>
      <c r="J647" s="2"/>
      <c r="K647" s="2"/>
      <c r="L647" s="296"/>
      <c r="M647" s="123"/>
    </row>
    <row r="648" spans="1:13" ht="12">
      <c r="A648" s="30">
        <v>4</v>
      </c>
      <c r="C648" s="31" t="s">
        <v>23</v>
      </c>
      <c r="E648" s="30">
        <v>4</v>
      </c>
      <c r="F648" s="32"/>
      <c r="G648" s="86">
        <f>SUM(G645:G647)</f>
        <v>29.038848066503377</v>
      </c>
      <c r="H648" s="2">
        <f>SUM(H645:H647)</f>
        <v>2422661</v>
      </c>
      <c r="I648" s="86">
        <f>SUM(I645:I647)</f>
        <v>33.797875655390115</v>
      </c>
      <c r="J648" s="2">
        <f>SUM(J645:J647)</f>
        <v>3123215</v>
      </c>
      <c r="K648" s="2"/>
      <c r="L648" s="253">
        <f>SUM(L645:L647)</f>
        <v>33.18</v>
      </c>
      <c r="M648" s="123">
        <f>SUM(M645:M647)</f>
        <v>3151035</v>
      </c>
    </row>
    <row r="649" spans="1:13" ht="12">
      <c r="A649" s="30">
        <v>5</v>
      </c>
      <c r="E649" s="30">
        <v>5</v>
      </c>
      <c r="F649" s="32"/>
      <c r="G649" s="86"/>
      <c r="H649" s="2"/>
      <c r="I649" s="86"/>
      <c r="J649" s="2"/>
      <c r="K649" s="2"/>
      <c r="L649" s="296"/>
      <c r="M649" s="123"/>
    </row>
    <row r="650" spans="1:13" ht="12">
      <c r="A650" s="30">
        <v>6</v>
      </c>
      <c r="E650" s="30">
        <v>6</v>
      </c>
      <c r="F650" s="32"/>
      <c r="G650" s="86"/>
      <c r="H650" s="2"/>
      <c r="I650" s="86"/>
      <c r="J650" s="2"/>
      <c r="K650" s="2"/>
      <c r="L650" s="296"/>
      <c r="M650" s="123"/>
    </row>
    <row r="651" spans="1:13" ht="12">
      <c r="A651" s="30">
        <v>7</v>
      </c>
      <c r="C651" s="31" t="s">
        <v>25</v>
      </c>
      <c r="E651" s="30">
        <v>7</v>
      </c>
      <c r="F651" s="32"/>
      <c r="G651" s="86">
        <f>H651/50451</f>
        <v>40.75948940556183</v>
      </c>
      <c r="H651" s="2">
        <f>1398144+658213</f>
        <v>2056357</v>
      </c>
      <c r="I651" s="86">
        <f>J651/51727</f>
        <v>42.21482011328707</v>
      </c>
      <c r="J651" s="1">
        <f>1622169+561477</f>
        <v>2183646</v>
      </c>
      <c r="K651" s="1"/>
      <c r="L651" s="296">
        <f>34.54</f>
        <v>34.54</v>
      </c>
      <c r="M651" s="123">
        <f>1418811+461340-93604</f>
        <v>1786547</v>
      </c>
    </row>
    <row r="652" spans="1:13" ht="12">
      <c r="A652" s="30">
        <v>8</v>
      </c>
      <c r="C652" s="31" t="s">
        <v>26</v>
      </c>
      <c r="E652" s="30">
        <v>8</v>
      </c>
      <c r="F652" s="32"/>
      <c r="G652" s="86"/>
      <c r="H652" s="2">
        <f>346585+145626</f>
        <v>492211</v>
      </c>
      <c r="I652" s="86"/>
      <c r="J652" s="2">
        <f>416518+133212</f>
        <v>549730</v>
      </c>
      <c r="K652" s="2"/>
      <c r="L652" s="296"/>
      <c r="M652" s="123">
        <f>379714+130658-27971</f>
        <v>482401</v>
      </c>
    </row>
    <row r="653" spans="1:13" ht="12">
      <c r="A653" s="30">
        <v>9</v>
      </c>
      <c r="C653" s="31" t="s">
        <v>27</v>
      </c>
      <c r="E653" s="30">
        <v>9</v>
      </c>
      <c r="F653" s="32"/>
      <c r="G653" s="86">
        <f>SUM(G651:G652)</f>
        <v>40.75948940556183</v>
      </c>
      <c r="H653" s="2">
        <f>SUM(H651:H652)</f>
        <v>2548568</v>
      </c>
      <c r="I653" s="86">
        <f>SUM(I651:I652)</f>
        <v>42.21482011328707</v>
      </c>
      <c r="J653" s="2">
        <f>SUM(J651:J652)</f>
        <v>2733376</v>
      </c>
      <c r="K653" s="2"/>
      <c r="L653" s="253">
        <f>SUM(L651:L652)</f>
        <v>34.54</v>
      </c>
      <c r="M653" s="123">
        <f>SUM(M651:M652)</f>
        <v>2268948</v>
      </c>
    </row>
    <row r="654" spans="1:13" ht="12">
      <c r="A654" s="30">
        <v>10</v>
      </c>
      <c r="E654" s="30">
        <v>10</v>
      </c>
      <c r="F654" s="32"/>
      <c r="G654" s="86"/>
      <c r="H654" s="2"/>
      <c r="I654" s="86"/>
      <c r="J654" s="2"/>
      <c r="K654" s="2"/>
      <c r="L654" s="296"/>
      <c r="M654" s="123"/>
    </row>
    <row r="655" spans="1:13" ht="12">
      <c r="A655" s="30">
        <v>11</v>
      </c>
      <c r="C655" s="31" t="s">
        <v>28</v>
      </c>
      <c r="E655" s="30">
        <v>11</v>
      </c>
      <c r="G655" s="83">
        <f>SUM(G653,G648)</f>
        <v>69.79833747206521</v>
      </c>
      <c r="H655" s="84">
        <f>SUM(H653,H648)</f>
        <v>4971229</v>
      </c>
      <c r="I655" s="83">
        <f>SUM(I653,I648)</f>
        <v>76.01269576867719</v>
      </c>
      <c r="J655" s="84">
        <f>SUM(J653,J648)</f>
        <v>5856591</v>
      </c>
      <c r="K655" s="84"/>
      <c r="L655" s="254">
        <f>SUM(L653,L648)</f>
        <v>67.72</v>
      </c>
      <c r="M655" s="84">
        <f>SUM(M653,M648)</f>
        <v>5419983</v>
      </c>
    </row>
    <row r="656" spans="1:13" ht="12">
      <c r="A656" s="30">
        <v>12</v>
      </c>
      <c r="E656" s="30">
        <v>12</v>
      </c>
      <c r="G656" s="83"/>
      <c r="H656" s="84"/>
      <c r="I656" s="83"/>
      <c r="J656" s="84"/>
      <c r="K656" s="84"/>
      <c r="L656" s="296"/>
      <c r="M656" s="123"/>
    </row>
    <row r="657" spans="1:13" ht="12">
      <c r="A657" s="30">
        <v>13</v>
      </c>
      <c r="C657" s="31" t="s">
        <v>38</v>
      </c>
      <c r="E657" s="30">
        <v>13</v>
      </c>
      <c r="F657" s="32"/>
      <c r="G657" s="86"/>
      <c r="H657" s="2">
        <f>167180+1920+8985+759</f>
        <v>178844</v>
      </c>
      <c r="I657" s="86"/>
      <c r="J657" s="2">
        <f>178261+1887+4236+94</f>
        <v>184478</v>
      </c>
      <c r="K657" s="2"/>
      <c r="L657" s="296"/>
      <c r="M657" s="123">
        <f>141735+911+5817+246</f>
        <v>148709</v>
      </c>
    </row>
    <row r="658" spans="1:13" ht="12">
      <c r="A658" s="30">
        <v>14</v>
      </c>
      <c r="E658" s="30">
        <v>14</v>
      </c>
      <c r="F658" s="32"/>
      <c r="G658" s="86"/>
      <c r="H658" s="2"/>
      <c r="I658" s="86"/>
      <c r="J658" s="2"/>
      <c r="K658" s="2"/>
      <c r="L658" s="296"/>
      <c r="M658" s="123"/>
    </row>
    <row r="659" spans="1:13" ht="12">
      <c r="A659" s="30">
        <v>15</v>
      </c>
      <c r="C659" s="31" t="s">
        <v>30</v>
      </c>
      <c r="E659" s="30">
        <v>15</v>
      </c>
      <c r="F659" s="32"/>
      <c r="G659" s="86"/>
      <c r="H659" s="2">
        <f>78953+1360-105</f>
        <v>80208</v>
      </c>
      <c r="I659" s="86"/>
      <c r="J659" s="2">
        <f>108007+1342</f>
        <v>109349</v>
      </c>
      <c r="K659" s="2"/>
      <c r="L659" s="296"/>
      <c r="M659" s="123"/>
    </row>
    <row r="660" spans="1:13" ht="12">
      <c r="A660" s="30">
        <v>16</v>
      </c>
      <c r="C660" s="31" t="s">
        <v>31</v>
      </c>
      <c r="E660" s="30">
        <v>16</v>
      </c>
      <c r="F660" s="32"/>
      <c r="G660" s="86"/>
      <c r="H660" s="2">
        <f>712433+24+105-359513+76069</f>
        <v>429118</v>
      </c>
      <c r="I660" s="86"/>
      <c r="J660" s="2">
        <f>5942+1108628-508364+134214-90</f>
        <v>740330</v>
      </c>
      <c r="K660" s="2"/>
      <c r="L660" s="296"/>
      <c r="M660" s="123">
        <f>808290+200037</f>
        <v>1008327</v>
      </c>
    </row>
    <row r="661" spans="1:13" ht="12">
      <c r="A661" s="30"/>
      <c r="C661" s="31"/>
      <c r="E661" s="30"/>
      <c r="F661" s="32"/>
      <c r="G661" s="86"/>
      <c r="H661" s="2"/>
      <c r="I661" s="86"/>
      <c r="J661" s="2"/>
      <c r="K661" s="2"/>
      <c r="L661" s="296"/>
      <c r="M661" s="123"/>
    </row>
    <row r="662" spans="1:13" ht="12">
      <c r="A662" s="30">
        <v>17</v>
      </c>
      <c r="C662" s="31" t="s">
        <v>32</v>
      </c>
      <c r="E662" s="30">
        <v>17</v>
      </c>
      <c r="F662" s="32"/>
      <c r="G662" s="86"/>
      <c r="H662" s="2"/>
      <c r="I662" s="86"/>
      <c r="J662" s="2"/>
      <c r="K662" s="2"/>
      <c r="L662" s="296"/>
      <c r="M662" s="123"/>
    </row>
    <row r="663" spans="1:13" ht="12">
      <c r="A663" s="30">
        <v>18</v>
      </c>
      <c r="E663" s="30">
        <v>18</v>
      </c>
      <c r="F663" s="32"/>
      <c r="G663" s="86"/>
      <c r="H663" s="2"/>
      <c r="I663" s="86"/>
      <c r="J663" s="2"/>
      <c r="K663" s="2"/>
      <c r="L663" s="296"/>
      <c r="M663" s="123"/>
    </row>
    <row r="664" spans="1:13" ht="12">
      <c r="A664" s="30">
        <v>19</v>
      </c>
      <c r="C664" s="31" t="s">
        <v>42</v>
      </c>
      <c r="E664" s="30">
        <v>19</v>
      </c>
      <c r="F664" s="32"/>
      <c r="G664" s="86"/>
      <c r="H664" s="2">
        <v>0</v>
      </c>
      <c r="I664" s="86"/>
      <c r="J664" s="2">
        <v>0</v>
      </c>
      <c r="K664" s="2"/>
      <c r="L664" s="296"/>
      <c r="M664" s="123"/>
    </row>
    <row r="665" spans="1:13" ht="12">
      <c r="A665" s="30">
        <v>20</v>
      </c>
      <c r="C665" s="31"/>
      <c r="E665" s="30">
        <v>20</v>
      </c>
      <c r="F665" s="32"/>
      <c r="G665" s="86"/>
      <c r="H665" s="2"/>
      <c r="I665" s="86"/>
      <c r="J665" s="2"/>
      <c r="K665" s="2"/>
      <c r="L665" s="296"/>
      <c r="M665" s="123"/>
    </row>
    <row r="666" spans="1:13" ht="12">
      <c r="A666" s="30">
        <v>21</v>
      </c>
      <c r="C666" s="31"/>
      <c r="E666" s="30">
        <v>21</v>
      </c>
      <c r="F666" s="32"/>
      <c r="G666" s="86"/>
      <c r="H666" s="2"/>
      <c r="I666" s="86"/>
      <c r="J666" s="2"/>
      <c r="K666" s="2"/>
      <c r="L666" s="296"/>
      <c r="M666" s="123"/>
    </row>
    <row r="667" spans="1:13" ht="12">
      <c r="A667" s="30">
        <v>22</v>
      </c>
      <c r="C667" s="31"/>
      <c r="E667" s="30">
        <v>22</v>
      </c>
      <c r="F667" s="32"/>
      <c r="G667" s="86"/>
      <c r="H667" s="2"/>
      <c r="I667" s="86"/>
      <c r="J667" s="2"/>
      <c r="K667" s="2"/>
      <c r="L667" s="296"/>
      <c r="M667" s="123"/>
    </row>
    <row r="668" spans="1:13" ht="12">
      <c r="A668" s="30">
        <v>23</v>
      </c>
      <c r="C668" s="31"/>
      <c r="E668" s="30">
        <v>23</v>
      </c>
      <c r="F668" s="32"/>
      <c r="G668" s="86"/>
      <c r="H668" s="2"/>
      <c r="I668" s="86"/>
      <c r="J668" s="2"/>
      <c r="K668" s="2"/>
      <c r="L668" s="296"/>
      <c r="M668" s="26"/>
    </row>
    <row r="669" spans="1:13" ht="12">
      <c r="A669" s="30">
        <v>24</v>
      </c>
      <c r="C669" s="31"/>
      <c r="E669" s="30">
        <v>24</v>
      </c>
      <c r="F669" s="32"/>
      <c r="G669" s="86"/>
      <c r="H669" s="2"/>
      <c r="I669" s="86"/>
      <c r="J669" s="2"/>
      <c r="K669" s="2"/>
      <c r="L669" s="296"/>
      <c r="M669" s="26"/>
    </row>
    <row r="670" spans="5:13" ht="12">
      <c r="E670" s="69"/>
      <c r="F670" s="109" t="s">
        <v>1</v>
      </c>
      <c r="G670" s="42" t="s">
        <v>1</v>
      </c>
      <c r="H670" s="42" t="s">
        <v>1</v>
      </c>
      <c r="I670" s="109" t="s">
        <v>1</v>
      </c>
      <c r="J670" s="42" t="s">
        <v>1</v>
      </c>
      <c r="K670" s="42"/>
      <c r="L670" s="297" t="s">
        <v>1</v>
      </c>
      <c r="M670" s="42" t="s">
        <v>1</v>
      </c>
    </row>
    <row r="671" spans="1:13" ht="15.75" customHeight="1">
      <c r="A671" s="30">
        <v>25</v>
      </c>
      <c r="C671" s="31" t="s">
        <v>227</v>
      </c>
      <c r="E671" s="30">
        <v>25</v>
      </c>
      <c r="G671" s="83">
        <f>SUM(G655:G669)</f>
        <v>69.79833747206521</v>
      </c>
      <c r="H671" s="121">
        <f>SUM(H655:H669)</f>
        <v>5659399</v>
      </c>
      <c r="I671" s="83">
        <f>SUM(I655:I669)</f>
        <v>76.01269576867719</v>
      </c>
      <c r="J671" s="121">
        <f>SUM(J655:J669)</f>
        <v>6890748</v>
      </c>
      <c r="K671" s="121"/>
      <c r="L671" s="301">
        <f>SUM(L655:L669)</f>
        <v>67.72</v>
      </c>
      <c r="M671" s="121">
        <f>SUM(M655:M669)</f>
        <v>6577019</v>
      </c>
    </row>
    <row r="672" spans="5:13" ht="12">
      <c r="E672" s="69"/>
      <c r="F672" s="109" t="s">
        <v>1</v>
      </c>
      <c r="G672" s="109"/>
      <c r="H672" s="109"/>
      <c r="I672" s="41" t="s">
        <v>1</v>
      </c>
      <c r="J672" s="42" t="s">
        <v>1</v>
      </c>
      <c r="K672" s="109" t="s">
        <v>1</v>
      </c>
      <c r="L672" s="41" t="s">
        <v>1</v>
      </c>
      <c r="M672" s="42" t="s">
        <v>1</v>
      </c>
    </row>
    <row r="674" ht="12">
      <c r="A674" s="31"/>
    </row>
    <row r="675" spans="1:13" s="65" customFormat="1" ht="12">
      <c r="A675" s="38" t="str">
        <f>$A$35</f>
        <v>Institution No.:  GFD</v>
      </c>
      <c r="E675" s="70"/>
      <c r="I675" s="71"/>
      <c r="J675" s="72"/>
      <c r="L675" s="71"/>
      <c r="M675" s="37" t="s">
        <v>43</v>
      </c>
    </row>
    <row r="676" spans="1:13" s="65" customFormat="1" ht="12">
      <c r="A676" s="414" t="s">
        <v>152</v>
      </c>
      <c r="B676" s="414"/>
      <c r="C676" s="414"/>
      <c r="D676" s="414"/>
      <c r="E676" s="414"/>
      <c r="F676" s="414"/>
      <c r="G676" s="414"/>
      <c r="H676" s="414"/>
      <c r="I676" s="414"/>
      <c r="J676" s="414"/>
      <c r="K676" s="414"/>
      <c r="L676" s="414"/>
      <c r="M676" s="414"/>
    </row>
    <row r="677" spans="1:13" ht="12">
      <c r="A677" s="38" t="s">
        <v>551</v>
      </c>
      <c r="C677" s="26" t="s">
        <v>552</v>
      </c>
      <c r="F677" s="113"/>
      <c r="G677" s="113"/>
      <c r="H677" s="113"/>
      <c r="I677" s="104"/>
      <c r="J677" s="74"/>
      <c r="L677" s="36"/>
      <c r="M677" s="39" t="str">
        <f>$M$3</f>
        <v>Date: 10/1/2009</v>
      </c>
    </row>
    <row r="678" spans="1:13" ht="12">
      <c r="A678" s="40" t="s">
        <v>1</v>
      </c>
      <c r="B678" s="40" t="s">
        <v>1</v>
      </c>
      <c r="C678" s="40" t="s">
        <v>1</v>
      </c>
      <c r="D678" s="40" t="s">
        <v>1</v>
      </c>
      <c r="E678" s="40" t="s">
        <v>1</v>
      </c>
      <c r="F678" s="40" t="s">
        <v>1</v>
      </c>
      <c r="G678" s="40"/>
      <c r="H678" s="40"/>
      <c r="I678" s="41" t="s">
        <v>1</v>
      </c>
      <c r="J678" s="42" t="s">
        <v>1</v>
      </c>
      <c r="K678" s="40" t="s">
        <v>1</v>
      </c>
      <c r="L678" s="41" t="s">
        <v>1</v>
      </c>
      <c r="M678" s="42" t="s">
        <v>1</v>
      </c>
    </row>
    <row r="679" spans="1:13" ht="12">
      <c r="A679" s="43" t="s">
        <v>2</v>
      </c>
      <c r="E679" s="43" t="s">
        <v>2</v>
      </c>
      <c r="F679" s="44"/>
      <c r="G679" s="45"/>
      <c r="H679" s="46" t="s">
        <v>240</v>
      </c>
      <c r="I679" s="45"/>
      <c r="J679" s="46" t="s">
        <v>247</v>
      </c>
      <c r="K679" s="46"/>
      <c r="L679" s="296"/>
      <c r="M679" s="44" t="s">
        <v>576</v>
      </c>
    </row>
    <row r="680" spans="1:13" ht="12">
      <c r="A680" s="43" t="s">
        <v>4</v>
      </c>
      <c r="C680" s="47" t="s">
        <v>20</v>
      </c>
      <c r="E680" s="43" t="s">
        <v>4</v>
      </c>
      <c r="F680" s="44"/>
      <c r="G680" s="45" t="s">
        <v>6</v>
      </c>
      <c r="H680" s="46" t="s">
        <v>7</v>
      </c>
      <c r="I680" s="45" t="s">
        <v>6</v>
      </c>
      <c r="J680" s="46" t="s">
        <v>7</v>
      </c>
      <c r="K680" s="46"/>
      <c r="L680" s="300" t="s">
        <v>21</v>
      </c>
      <c r="M680" s="44" t="s">
        <v>8</v>
      </c>
    </row>
    <row r="681" spans="1:13" ht="12">
      <c r="A681" s="40" t="s">
        <v>1</v>
      </c>
      <c r="B681" s="40" t="s">
        <v>1</v>
      </c>
      <c r="C681" s="40" t="s">
        <v>1</v>
      </c>
      <c r="D681" s="40" t="s">
        <v>1</v>
      </c>
      <c r="E681" s="40" t="s">
        <v>1</v>
      </c>
      <c r="F681" s="40" t="s">
        <v>1</v>
      </c>
      <c r="G681" s="41" t="s">
        <v>1</v>
      </c>
      <c r="H681" s="42" t="s">
        <v>1</v>
      </c>
      <c r="I681" s="41" t="s">
        <v>1</v>
      </c>
      <c r="J681" s="42" t="s">
        <v>1</v>
      </c>
      <c r="K681" s="42"/>
      <c r="L681" s="297" t="s">
        <v>1</v>
      </c>
      <c r="M681" s="42" t="s">
        <v>1</v>
      </c>
    </row>
    <row r="682" spans="1:13" ht="12">
      <c r="A682" s="30">
        <v>1</v>
      </c>
      <c r="C682" s="31" t="s">
        <v>36</v>
      </c>
      <c r="E682" s="30">
        <v>1</v>
      </c>
      <c r="F682" s="32"/>
      <c r="G682" s="125">
        <f>H682/97919</f>
        <v>40.66517223419357</v>
      </c>
      <c r="H682" s="1">
        <f>9467+770473+28326+210+2278872-17830-210-4483+19528+230+4910+892400</f>
        <v>3981893</v>
      </c>
      <c r="I682" s="125">
        <f>J682/102815</f>
        <v>53.1798570247532</v>
      </c>
      <c r="J682" s="107">
        <f>75917+1000+1026637+336508+3385+2634102+1390138</f>
        <v>5467687</v>
      </c>
      <c r="K682" s="107"/>
      <c r="L682" s="300">
        <f>47.02</f>
        <v>47.02</v>
      </c>
      <c r="M682" s="123">
        <f>238000+622533+2446925+1262599-24581-43705+332632</f>
        <v>4834403</v>
      </c>
    </row>
    <row r="683" spans="1:13" ht="12">
      <c r="A683" s="30">
        <v>2</v>
      </c>
      <c r="C683" s="31" t="s">
        <v>37</v>
      </c>
      <c r="E683" s="30">
        <v>2</v>
      </c>
      <c r="F683" s="32"/>
      <c r="G683" s="125"/>
      <c r="H683" s="1">
        <f>2673+168935+6508+16+427960-4315-16-1067+4726+18+1169+161237</f>
        <v>767844</v>
      </c>
      <c r="I683" s="125"/>
      <c r="J683" s="107">
        <f>19062+79+224837+66529+8+558283+262940</f>
        <v>1131738</v>
      </c>
      <c r="K683" s="107"/>
      <c r="L683" s="300"/>
      <c r="M683" s="123">
        <f>53615+138013+673+567480+297360-6764-13290</f>
        <v>1037087</v>
      </c>
    </row>
    <row r="684" spans="1:13" ht="12">
      <c r="A684" s="30">
        <v>3</v>
      </c>
      <c r="E684" s="30">
        <v>3</v>
      </c>
      <c r="F684" s="32"/>
      <c r="G684" s="125"/>
      <c r="H684" s="1"/>
      <c r="I684" s="125"/>
      <c r="J684" s="1"/>
      <c r="K684" s="1"/>
      <c r="L684" s="300"/>
      <c r="M684" s="123"/>
    </row>
    <row r="685" spans="1:13" ht="12">
      <c r="A685" s="30">
        <v>4</v>
      </c>
      <c r="C685" s="31" t="s">
        <v>23</v>
      </c>
      <c r="E685" s="30">
        <v>4</v>
      </c>
      <c r="F685" s="32"/>
      <c r="G685" s="125">
        <f>SUM(G682:G684)</f>
        <v>40.66517223419357</v>
      </c>
      <c r="H685" s="1">
        <f>SUM(H682:H684)</f>
        <v>4749737</v>
      </c>
      <c r="I685" s="125">
        <f>SUM(I682:I684)</f>
        <v>53.1798570247532</v>
      </c>
      <c r="J685" s="1">
        <f>SUM(J682:J684)</f>
        <v>6599425</v>
      </c>
      <c r="K685" s="1"/>
      <c r="L685" s="253">
        <f>SUM(L682:L684)</f>
        <v>47.02</v>
      </c>
      <c r="M685" s="123">
        <f>SUM(M682:M684)</f>
        <v>5871490</v>
      </c>
    </row>
    <row r="686" spans="1:13" ht="12">
      <c r="A686" s="30">
        <v>5</v>
      </c>
      <c r="E686" s="30">
        <v>5</v>
      </c>
      <c r="F686" s="32"/>
      <c r="G686" s="125"/>
      <c r="H686" s="1"/>
      <c r="I686" s="125"/>
      <c r="J686" s="1"/>
      <c r="K686" s="1"/>
      <c r="L686" s="300"/>
      <c r="M686" s="123"/>
    </row>
    <row r="687" spans="1:13" ht="12">
      <c r="A687" s="30">
        <v>6</v>
      </c>
      <c r="E687" s="30">
        <v>6</v>
      </c>
      <c r="F687" s="32"/>
      <c r="G687" s="125"/>
      <c r="H687" s="1"/>
      <c r="I687" s="125"/>
      <c r="J687" s="1"/>
      <c r="K687" s="1"/>
      <c r="L687" s="300"/>
      <c r="M687" s="123"/>
    </row>
    <row r="688" spans="1:13" ht="12">
      <c r="A688" s="30">
        <v>7</v>
      </c>
      <c r="C688" s="31" t="s">
        <v>25</v>
      </c>
      <c r="E688" s="30">
        <v>7</v>
      </c>
      <c r="F688" s="32"/>
      <c r="G688" s="125">
        <f>H688/58482</f>
        <v>51.82716049382716</v>
      </c>
      <c r="H688" s="1">
        <f>67015+1988377+975564</f>
        <v>3030956</v>
      </c>
      <c r="I688" s="125">
        <f>J688/61406</f>
        <v>53.67696967723024</v>
      </c>
      <c r="J688" s="107">
        <f>119168+2395157+1281763-500000</f>
        <v>3296088</v>
      </c>
      <c r="K688" s="107"/>
      <c r="L688" s="300">
        <f>51.22</f>
        <v>51.22</v>
      </c>
      <c r="M688" s="123">
        <f>81270+2251598+1035702-204884-18276</f>
        <v>3145410</v>
      </c>
    </row>
    <row r="689" spans="1:13" ht="12">
      <c r="A689" s="30">
        <v>8</v>
      </c>
      <c r="C689" s="31" t="s">
        <v>26</v>
      </c>
      <c r="E689" s="30">
        <v>8</v>
      </c>
      <c r="F689" s="32"/>
      <c r="G689" s="125"/>
      <c r="H689" s="1">
        <f>353839+461489+226862</f>
        <v>1042190</v>
      </c>
      <c r="I689" s="125"/>
      <c r="J689" s="107">
        <f>377567+578078+309112</f>
        <v>1264757</v>
      </c>
      <c r="K689" s="107"/>
      <c r="L689" s="300"/>
      <c r="M689" s="123">
        <f>22768+963616+235270-65330-6913</f>
        <v>1149411</v>
      </c>
    </row>
    <row r="690" spans="1:13" ht="12">
      <c r="A690" s="30">
        <v>9</v>
      </c>
      <c r="C690" s="31" t="s">
        <v>27</v>
      </c>
      <c r="E690" s="30">
        <v>9</v>
      </c>
      <c r="F690" s="32"/>
      <c r="G690" s="125">
        <f>SUM(G688:G689)</f>
        <v>51.82716049382716</v>
      </c>
      <c r="H690" s="1">
        <f>SUM(H688:H689)</f>
        <v>4073146</v>
      </c>
      <c r="I690" s="125">
        <f>SUM(I688:I689)</f>
        <v>53.67696967723024</v>
      </c>
      <c r="J690" s="1">
        <f>SUM(J688:J689)</f>
        <v>4560845</v>
      </c>
      <c r="K690" s="1"/>
      <c r="L690" s="253">
        <f>SUM(L688:L689)</f>
        <v>51.22</v>
      </c>
      <c r="M690" s="123">
        <f>SUM(M688:M689)</f>
        <v>4294821</v>
      </c>
    </row>
    <row r="691" spans="1:13" ht="12">
      <c r="A691" s="30">
        <v>10</v>
      </c>
      <c r="E691" s="30">
        <v>10</v>
      </c>
      <c r="F691" s="32"/>
      <c r="G691" s="125"/>
      <c r="H691" s="1"/>
      <c r="I691" s="125"/>
      <c r="J691" s="1"/>
      <c r="K691" s="1"/>
      <c r="L691" s="300"/>
      <c r="M691" s="123"/>
    </row>
    <row r="692" spans="1:13" ht="12">
      <c r="A692" s="30">
        <v>11</v>
      </c>
      <c r="C692" s="31" t="s">
        <v>28</v>
      </c>
      <c r="E692" s="30">
        <v>11</v>
      </c>
      <c r="F692" s="32"/>
      <c r="G692" s="125">
        <f>SUM(G690,G685)</f>
        <v>92.49233272802073</v>
      </c>
      <c r="H692" s="1">
        <f>SUM(H690,H685)</f>
        <v>8822883</v>
      </c>
      <c r="I692" s="125">
        <f>SUM(I690,I685)</f>
        <v>106.85682670198344</v>
      </c>
      <c r="J692" s="1">
        <f>SUM(J690,J685)</f>
        <v>11160270</v>
      </c>
      <c r="K692" s="1"/>
      <c r="L692" s="253">
        <f>SUM(L690,L685)</f>
        <v>98.24000000000001</v>
      </c>
      <c r="M692" s="1">
        <f>SUM(M690,M685)</f>
        <v>10166311</v>
      </c>
    </row>
    <row r="693" spans="1:13" ht="12">
      <c r="A693" s="30">
        <v>12</v>
      </c>
      <c r="E693" s="30">
        <v>12</v>
      </c>
      <c r="F693" s="32"/>
      <c r="G693" s="125"/>
      <c r="H693" s="1"/>
      <c r="I693" s="125"/>
      <c r="J693" s="1"/>
      <c r="K693" s="1"/>
      <c r="L693" s="296"/>
      <c r="M693" s="123"/>
    </row>
    <row r="694" spans="1:13" ht="12">
      <c r="A694" s="30">
        <v>13</v>
      </c>
      <c r="C694" s="31" t="s">
        <v>38</v>
      </c>
      <c r="E694" s="30">
        <v>13</v>
      </c>
      <c r="F694" s="32"/>
      <c r="G694" s="125"/>
      <c r="H694" s="1">
        <f>21819+242+43548+328+24603+114</f>
        <v>90654</v>
      </c>
      <c r="I694" s="125"/>
      <c r="J694" s="107">
        <f>9206+44+93253+325+44959+143</f>
        <v>147930</v>
      </c>
      <c r="K694" s="107"/>
      <c r="L694" s="296"/>
      <c r="M694" s="123">
        <f>13513+104+66661+82+30788+3563</f>
        <v>114711</v>
      </c>
    </row>
    <row r="695" spans="1:13" ht="12">
      <c r="A695" s="30">
        <v>14</v>
      </c>
      <c r="E695" s="30">
        <v>14</v>
      </c>
      <c r="F695" s="32"/>
      <c r="G695" s="125"/>
      <c r="H695" s="1"/>
      <c r="I695" s="125"/>
      <c r="J695" s="1"/>
      <c r="K695" s="1"/>
      <c r="L695" s="296"/>
      <c r="M695" s="123"/>
    </row>
    <row r="696" spans="1:13" ht="12">
      <c r="A696" s="30">
        <v>15</v>
      </c>
      <c r="C696" s="31" t="s">
        <v>30</v>
      </c>
      <c r="E696" s="30">
        <v>15</v>
      </c>
      <c r="F696" s="32"/>
      <c r="G696" s="125"/>
      <c r="H696" s="1">
        <f>29605+53304</f>
        <v>82909</v>
      </c>
      <c r="I696" s="125"/>
      <c r="J696" s="107">
        <f>29788+41246</f>
        <v>71034</v>
      </c>
      <c r="K696" s="107"/>
      <c r="L696" s="296"/>
      <c r="M696" s="123">
        <v>0</v>
      </c>
    </row>
    <row r="697" spans="1:13" ht="12">
      <c r="A697" s="30">
        <v>16</v>
      </c>
      <c r="C697" s="31" t="s">
        <v>31</v>
      </c>
      <c r="E697" s="30">
        <v>16</v>
      </c>
      <c r="F697" s="32"/>
      <c r="G697" s="125"/>
      <c r="H697" s="1">
        <f>1998799-2127117+2246989+1598091+16-24530-1801277+26669+1972827-539286-2280780</f>
        <v>1070401</v>
      </c>
      <c r="I697" s="125"/>
      <c r="J697" s="107">
        <f>2098371+500-2583745+4167+2612375+66+4270895-66659-500-3289055-539286-1000000-166917</f>
        <v>1340212</v>
      </c>
      <c r="K697" s="107"/>
      <c r="L697" s="296"/>
      <c r="M697" s="123">
        <f>473881+4579716+2308931-485357-2865282+363066-1000000-1000000</f>
        <v>2374955</v>
      </c>
    </row>
    <row r="698" spans="1:13" ht="12">
      <c r="A698" s="30">
        <v>17</v>
      </c>
      <c r="C698" s="31" t="s">
        <v>32</v>
      </c>
      <c r="E698" s="30">
        <v>17</v>
      </c>
      <c r="F698" s="32"/>
      <c r="G698" s="125"/>
      <c r="H698" s="1">
        <f>7175+226937-7175-226937</f>
        <v>0</v>
      </c>
      <c r="I698" s="125"/>
      <c r="J698" s="1"/>
      <c r="K698" s="1"/>
      <c r="L698" s="296"/>
      <c r="M698" s="123">
        <f>67104-67104</f>
        <v>0</v>
      </c>
    </row>
    <row r="699" spans="1:13" ht="12">
      <c r="A699" s="30">
        <v>18</v>
      </c>
      <c r="E699" s="30">
        <v>18</v>
      </c>
      <c r="F699" s="32"/>
      <c r="G699" s="125"/>
      <c r="H699" s="1"/>
      <c r="I699" s="125"/>
      <c r="J699" s="1"/>
      <c r="K699" s="1"/>
      <c r="L699" s="296"/>
      <c r="M699" s="123"/>
    </row>
    <row r="700" spans="1:13" ht="12">
      <c r="A700" s="30">
        <v>19</v>
      </c>
      <c r="C700" s="31" t="s">
        <v>42</v>
      </c>
      <c r="E700" s="30">
        <v>19</v>
      </c>
      <c r="F700" s="32"/>
      <c r="G700" s="125"/>
      <c r="H700" s="1">
        <v>539286</v>
      </c>
      <c r="I700" s="125"/>
      <c r="J700" s="1">
        <v>539286</v>
      </c>
      <c r="K700" s="1"/>
      <c r="L700" s="296"/>
      <c r="M700" s="123">
        <v>485357</v>
      </c>
    </row>
    <row r="701" spans="1:13" ht="12">
      <c r="A701" s="30">
        <v>20</v>
      </c>
      <c r="C701" s="31"/>
      <c r="E701" s="30">
        <v>20</v>
      </c>
      <c r="F701" s="32"/>
      <c r="G701" s="125"/>
      <c r="H701" s="1"/>
      <c r="I701" s="125"/>
      <c r="J701" s="1"/>
      <c r="K701" s="1"/>
      <c r="L701" s="296"/>
      <c r="M701" s="123"/>
    </row>
    <row r="702" spans="1:13" ht="12">
      <c r="A702" s="30">
        <v>21</v>
      </c>
      <c r="C702" s="31"/>
      <c r="E702" s="30">
        <v>21</v>
      </c>
      <c r="F702" s="32"/>
      <c r="G702" s="125"/>
      <c r="H702" s="1"/>
      <c r="I702" s="125"/>
      <c r="J702" s="1"/>
      <c r="K702" s="1"/>
      <c r="L702" s="296"/>
      <c r="M702" s="123"/>
    </row>
    <row r="703" spans="1:13" ht="12">
      <c r="A703" s="30">
        <v>22</v>
      </c>
      <c r="C703" s="31"/>
      <c r="E703" s="30">
        <v>22</v>
      </c>
      <c r="F703" s="32"/>
      <c r="G703" s="125"/>
      <c r="H703" s="1"/>
      <c r="I703" s="125"/>
      <c r="J703" s="1"/>
      <c r="K703" s="1"/>
      <c r="L703" s="296"/>
      <c r="M703" s="26"/>
    </row>
    <row r="704" spans="1:13" ht="12">
      <c r="A704" s="30">
        <v>23</v>
      </c>
      <c r="C704" s="31"/>
      <c r="E704" s="30">
        <v>23</v>
      </c>
      <c r="F704" s="32"/>
      <c r="G704" s="125"/>
      <c r="H704" s="1"/>
      <c r="I704" s="125"/>
      <c r="J704" s="1"/>
      <c r="K704" s="1"/>
      <c r="L704" s="296"/>
      <c r="M704" s="26"/>
    </row>
    <row r="705" spans="1:13" ht="12">
      <c r="A705" s="30">
        <v>24</v>
      </c>
      <c r="C705" s="31"/>
      <c r="E705" s="30">
        <v>24</v>
      </c>
      <c r="F705" s="32"/>
      <c r="G705" s="140"/>
      <c r="H705" s="119"/>
      <c r="I705" s="140"/>
      <c r="J705" s="119"/>
      <c r="K705" s="119"/>
      <c r="L705" s="296"/>
      <c r="M705" s="26"/>
    </row>
    <row r="706" spans="5:13" ht="12">
      <c r="E706" s="69"/>
      <c r="F706" s="109" t="s">
        <v>1</v>
      </c>
      <c r="G706" s="109" t="s">
        <v>1</v>
      </c>
      <c r="H706" s="42" t="s">
        <v>1</v>
      </c>
      <c r="I706" s="109" t="s">
        <v>1</v>
      </c>
      <c r="J706" s="42" t="s">
        <v>1</v>
      </c>
      <c r="K706" s="42"/>
      <c r="L706" s="297" t="s">
        <v>1</v>
      </c>
      <c r="M706" s="42" t="s">
        <v>1</v>
      </c>
    </row>
    <row r="707" spans="1:13" ht="15.75" customHeight="1">
      <c r="A707" s="30">
        <v>25</v>
      </c>
      <c r="C707" s="31" t="s">
        <v>228</v>
      </c>
      <c r="E707" s="30">
        <v>25</v>
      </c>
      <c r="G707" s="128">
        <f>SUM(G692:G705)</f>
        <v>92.49233272802073</v>
      </c>
      <c r="H707" s="121">
        <f>SUM(H692:H705)</f>
        <v>10606133</v>
      </c>
      <c r="I707" s="128">
        <f>SUM(I692:I705)</f>
        <v>106.85682670198344</v>
      </c>
      <c r="J707" s="121">
        <f>SUM(J692:J705)</f>
        <v>13258732</v>
      </c>
      <c r="K707" s="121"/>
      <c r="L707" s="301">
        <f>SUM(L692:L705)</f>
        <v>98.24000000000001</v>
      </c>
      <c r="M707" s="121">
        <f>SUM(M692:M705)</f>
        <v>13141334</v>
      </c>
    </row>
    <row r="708" spans="5:13" ht="12">
      <c r="E708" s="69"/>
      <c r="F708" s="109" t="s">
        <v>1</v>
      </c>
      <c r="G708" s="109"/>
      <c r="H708" s="109"/>
      <c r="I708" s="41"/>
      <c r="J708" s="42"/>
      <c r="K708" s="109"/>
      <c r="L708" s="41"/>
      <c r="M708" s="42"/>
    </row>
    <row r="709" ht="12">
      <c r="A709" s="31"/>
    </row>
    <row r="711" spans="1:13" s="65" customFormat="1" ht="12">
      <c r="A711" s="38" t="str">
        <f>$A$35</f>
        <v>Institution No.:  GFD</v>
      </c>
      <c r="E711" s="70"/>
      <c r="I711" s="71"/>
      <c r="J711" s="72"/>
      <c r="L711" s="71"/>
      <c r="M711" s="37" t="s">
        <v>44</v>
      </c>
    </row>
    <row r="712" spans="1:13" s="65" customFormat="1" ht="12">
      <c r="A712" s="414" t="s">
        <v>153</v>
      </c>
      <c r="B712" s="414"/>
      <c r="C712" s="414"/>
      <c r="D712" s="414"/>
      <c r="E712" s="414"/>
      <c r="F712" s="414"/>
      <c r="G712" s="414"/>
      <c r="H712" s="414"/>
      <c r="I712" s="414"/>
      <c r="J712" s="414"/>
      <c r="K712" s="414"/>
      <c r="L712" s="414"/>
      <c r="M712" s="414"/>
    </row>
    <row r="713" spans="1:13" ht="12">
      <c r="A713" s="38" t="s">
        <v>551</v>
      </c>
      <c r="C713" s="26" t="s">
        <v>552</v>
      </c>
      <c r="F713" s="113"/>
      <c r="G713" s="113"/>
      <c r="H713" s="113"/>
      <c r="I713" s="104"/>
      <c r="J713" s="105"/>
      <c r="L713" s="36"/>
      <c r="M713" s="39" t="str">
        <f>$M$3</f>
        <v>Date: 10/1/2009</v>
      </c>
    </row>
    <row r="714" spans="1:13" ht="12">
      <c r="A714" s="40" t="s">
        <v>1</v>
      </c>
      <c r="B714" s="40" t="s">
        <v>1</v>
      </c>
      <c r="C714" s="40" t="s">
        <v>1</v>
      </c>
      <c r="D714" s="40" t="s">
        <v>1</v>
      </c>
      <c r="E714" s="40" t="s">
        <v>1</v>
      </c>
      <c r="F714" s="40" t="s">
        <v>1</v>
      </c>
      <c r="G714" s="40"/>
      <c r="H714" s="40"/>
      <c r="I714" s="41" t="s">
        <v>1</v>
      </c>
      <c r="J714" s="42" t="s">
        <v>1</v>
      </c>
      <c r="K714" s="40" t="s">
        <v>1</v>
      </c>
      <c r="L714" s="41" t="s">
        <v>1</v>
      </c>
      <c r="M714" s="42" t="s">
        <v>1</v>
      </c>
    </row>
    <row r="715" spans="1:13" ht="12">
      <c r="A715" s="43" t="s">
        <v>2</v>
      </c>
      <c r="E715" s="43" t="s">
        <v>2</v>
      </c>
      <c r="F715" s="44"/>
      <c r="G715" s="45"/>
      <c r="H715" s="46" t="s">
        <v>240</v>
      </c>
      <c r="I715" s="45"/>
      <c r="J715" s="46" t="s">
        <v>247</v>
      </c>
      <c r="K715" s="46"/>
      <c r="L715" s="296"/>
      <c r="M715" s="44" t="s">
        <v>576</v>
      </c>
    </row>
    <row r="716" spans="1:13" ht="12">
      <c r="A716" s="43" t="s">
        <v>4</v>
      </c>
      <c r="C716" s="47" t="s">
        <v>20</v>
      </c>
      <c r="E716" s="43" t="s">
        <v>4</v>
      </c>
      <c r="F716" s="44"/>
      <c r="G716" s="45" t="s">
        <v>6</v>
      </c>
      <c r="H716" s="46" t="s">
        <v>7</v>
      </c>
      <c r="I716" s="45" t="s">
        <v>6</v>
      </c>
      <c r="J716" s="46" t="s">
        <v>7</v>
      </c>
      <c r="K716" s="46"/>
      <c r="L716" s="299" t="s">
        <v>21</v>
      </c>
      <c r="M716" s="44" t="s">
        <v>8</v>
      </c>
    </row>
    <row r="717" spans="1:13" ht="12">
      <c r="A717" s="40" t="s">
        <v>1</v>
      </c>
      <c r="B717" s="40" t="s">
        <v>1</v>
      </c>
      <c r="C717" s="40" t="s">
        <v>1</v>
      </c>
      <c r="D717" s="40" t="s">
        <v>1</v>
      </c>
      <c r="E717" s="40" t="s">
        <v>1</v>
      </c>
      <c r="F717" s="40" t="s">
        <v>1</v>
      </c>
      <c r="G717" s="41"/>
      <c r="H717" s="42"/>
      <c r="I717" s="41"/>
      <c r="J717" s="42"/>
      <c r="K717" s="40" t="s">
        <v>1</v>
      </c>
      <c r="L717" s="297" t="s">
        <v>1</v>
      </c>
      <c r="M717" s="42" t="s">
        <v>1</v>
      </c>
    </row>
    <row r="718" spans="1:13" ht="12">
      <c r="A718" s="30">
        <v>1</v>
      </c>
      <c r="C718" s="31" t="s">
        <v>36</v>
      </c>
      <c r="E718" s="30">
        <v>1</v>
      </c>
      <c r="F718" s="32"/>
      <c r="G718" s="125">
        <f>H718/58703</f>
        <v>2.7769790300325368</v>
      </c>
      <c r="H718" s="1">
        <f>30+162987</f>
        <v>163017</v>
      </c>
      <c r="I718" s="141">
        <f>J718/61630</f>
        <v>3.287246470874574</v>
      </c>
      <c r="J718" s="1">
        <f>316822-114229</f>
        <v>202593</v>
      </c>
      <c r="K718" s="1"/>
      <c r="L718" s="300">
        <f>3</f>
        <v>3</v>
      </c>
      <c r="M718" s="123">
        <f>299119-114229</f>
        <v>184890</v>
      </c>
    </row>
    <row r="719" spans="1:13" ht="12">
      <c r="A719" s="30">
        <v>2</v>
      </c>
      <c r="C719" s="31" t="s">
        <v>37</v>
      </c>
      <c r="E719" s="30">
        <v>2</v>
      </c>
      <c r="F719" s="32"/>
      <c r="G719" s="125"/>
      <c r="H719" s="1">
        <f>34753</f>
        <v>34753</v>
      </c>
      <c r="I719" s="141"/>
      <c r="J719" s="1">
        <f>73048-26000</f>
        <v>47048</v>
      </c>
      <c r="K719" s="1"/>
      <c r="L719" s="300"/>
      <c r="M719" s="123">
        <f>77039-28557</f>
        <v>48482</v>
      </c>
    </row>
    <row r="720" spans="1:13" ht="12">
      <c r="A720" s="30">
        <v>3</v>
      </c>
      <c r="E720" s="30">
        <v>3</v>
      </c>
      <c r="F720" s="32"/>
      <c r="G720" s="125"/>
      <c r="H720" s="1"/>
      <c r="I720" s="141"/>
      <c r="J720" s="1"/>
      <c r="K720" s="1"/>
      <c r="L720" s="300"/>
      <c r="M720" s="26"/>
    </row>
    <row r="721" spans="1:13" ht="12">
      <c r="A721" s="30">
        <v>4</v>
      </c>
      <c r="C721" s="31" t="s">
        <v>23</v>
      </c>
      <c r="E721" s="30">
        <v>4</v>
      </c>
      <c r="F721" s="32"/>
      <c r="G721" s="125">
        <f>SUM(G718:G720)</f>
        <v>2.7769790300325368</v>
      </c>
      <c r="H721" s="1">
        <f>SUM(H718:H720)</f>
        <v>197770</v>
      </c>
      <c r="I721" s="141">
        <f>SUM(I718:I720)</f>
        <v>3.287246470874574</v>
      </c>
      <c r="J721" s="1">
        <f>SUM(J718:J720)</f>
        <v>249641</v>
      </c>
      <c r="K721" s="1"/>
      <c r="L721" s="253">
        <f>SUM(L718:L720)</f>
        <v>3</v>
      </c>
      <c r="M721" s="1">
        <f>SUM(M718:M720)</f>
        <v>233372</v>
      </c>
    </row>
    <row r="722" spans="1:13" ht="12">
      <c r="A722" s="30">
        <v>5</v>
      </c>
      <c r="E722" s="30">
        <v>5</v>
      </c>
      <c r="F722" s="32"/>
      <c r="G722" s="125"/>
      <c r="H722" s="1"/>
      <c r="I722" s="141"/>
      <c r="J722" s="1"/>
      <c r="K722" s="1"/>
      <c r="L722" s="300"/>
      <c r="M722" s="26"/>
    </row>
    <row r="723" spans="1:13" ht="12">
      <c r="A723" s="30">
        <v>6</v>
      </c>
      <c r="E723" s="30">
        <v>6</v>
      </c>
      <c r="F723" s="32"/>
      <c r="G723" s="125"/>
      <c r="H723" s="1"/>
      <c r="I723" s="141"/>
      <c r="J723" s="1"/>
      <c r="K723" s="1"/>
      <c r="L723" s="300"/>
      <c r="M723" s="26"/>
    </row>
    <row r="724" spans="1:13" ht="12">
      <c r="A724" s="30">
        <v>7</v>
      </c>
      <c r="C724" s="31" t="s">
        <v>25</v>
      </c>
      <c r="E724" s="30">
        <v>7</v>
      </c>
      <c r="F724" s="255"/>
      <c r="G724" s="125">
        <f>H724/52034</f>
        <v>14.65236191720798</v>
      </c>
      <c r="H724" s="1">
        <f>762421</f>
        <v>762421</v>
      </c>
      <c r="I724" s="141">
        <f>J724/62407</f>
        <v>18.361161408175366</v>
      </c>
      <c r="J724" s="1">
        <f>1145865</f>
        <v>1145865</v>
      </c>
      <c r="K724" s="1"/>
      <c r="L724" s="300">
        <f>16.72</f>
        <v>16.72</v>
      </c>
      <c r="M724" s="123">
        <f>1113087-51148-18594</f>
        <v>1043345</v>
      </c>
    </row>
    <row r="725" spans="1:13" ht="12">
      <c r="A725" s="30">
        <v>8</v>
      </c>
      <c r="C725" s="31" t="s">
        <v>26</v>
      </c>
      <c r="E725" s="30">
        <v>8</v>
      </c>
      <c r="F725" s="32"/>
      <c r="G725" s="125"/>
      <c r="H725" s="1">
        <f>180390</f>
        <v>180390</v>
      </c>
      <c r="I725" s="141"/>
      <c r="J725" s="1">
        <f>291809</f>
        <v>291809</v>
      </c>
      <c r="K725" s="1"/>
      <c r="L725" s="300"/>
      <c r="M725" s="123">
        <f>323135-15576-10815</f>
        <v>296744</v>
      </c>
    </row>
    <row r="726" spans="1:13" ht="12">
      <c r="A726" s="30">
        <v>9</v>
      </c>
      <c r="C726" s="31" t="s">
        <v>27</v>
      </c>
      <c r="E726" s="30">
        <v>9</v>
      </c>
      <c r="F726" s="32"/>
      <c r="G726" s="125">
        <f>SUM(G724:G725)</f>
        <v>14.65236191720798</v>
      </c>
      <c r="H726" s="1">
        <f>SUM(H724:H725)</f>
        <v>942811</v>
      </c>
      <c r="I726" s="141">
        <f>SUM(I724:I725)</f>
        <v>18.361161408175366</v>
      </c>
      <c r="J726" s="1">
        <f>SUM(J724:J725)</f>
        <v>1437674</v>
      </c>
      <c r="K726" s="1"/>
      <c r="L726" s="253">
        <f>SUM(L724:L725)</f>
        <v>16.72</v>
      </c>
      <c r="M726" s="1">
        <f>SUM(M724:M725)</f>
        <v>1340089</v>
      </c>
    </row>
    <row r="727" spans="1:13" ht="12">
      <c r="A727" s="30">
        <v>10</v>
      </c>
      <c r="E727" s="30">
        <v>10</v>
      </c>
      <c r="F727" s="32"/>
      <c r="G727" s="125"/>
      <c r="H727" s="1"/>
      <c r="I727" s="141"/>
      <c r="J727" s="1"/>
      <c r="K727" s="1"/>
      <c r="L727" s="300"/>
      <c r="M727" s="26"/>
    </row>
    <row r="728" spans="1:13" ht="12">
      <c r="A728" s="30">
        <v>11</v>
      </c>
      <c r="C728" s="31" t="s">
        <v>28</v>
      </c>
      <c r="E728" s="30">
        <v>11</v>
      </c>
      <c r="G728" s="128">
        <f>SUM(G726,G721)</f>
        <v>17.429340947240515</v>
      </c>
      <c r="H728" s="121">
        <f>SUM(H726,H721)</f>
        <v>1140581</v>
      </c>
      <c r="I728" s="142">
        <f>SUM(I726,I721)</f>
        <v>21.64840787904994</v>
      </c>
      <c r="J728" s="121">
        <f>SUM(J726,J721)</f>
        <v>1687315</v>
      </c>
      <c r="K728" s="121"/>
      <c r="L728" s="254">
        <f>SUM(L726,L721)</f>
        <v>19.72</v>
      </c>
      <c r="M728" s="121">
        <f>SUM(M726,M721)</f>
        <v>1573461</v>
      </c>
    </row>
    <row r="729" spans="1:13" ht="12">
      <c r="A729" s="30">
        <v>12</v>
      </c>
      <c r="E729" s="30">
        <v>12</v>
      </c>
      <c r="G729" s="128"/>
      <c r="H729" s="121"/>
      <c r="I729" s="142"/>
      <c r="J729" s="121"/>
      <c r="K729" s="121"/>
      <c r="L729" s="296"/>
      <c r="M729" s="26"/>
    </row>
    <row r="730" spans="1:13" ht="12">
      <c r="A730" s="30">
        <v>13</v>
      </c>
      <c r="C730" s="31" t="s">
        <v>38</v>
      </c>
      <c r="E730" s="30">
        <v>13</v>
      </c>
      <c r="F730" s="32"/>
      <c r="G730" s="125"/>
      <c r="H730" s="1">
        <f>110+6+5615+52</f>
        <v>5783</v>
      </c>
      <c r="I730" s="141"/>
      <c r="J730" s="1">
        <f>41526+423</f>
        <v>41949</v>
      </c>
      <c r="K730" s="1"/>
      <c r="L730" s="296"/>
      <c r="M730" s="123">
        <v>5932</v>
      </c>
    </row>
    <row r="731" spans="1:13" ht="12">
      <c r="A731" s="30">
        <v>14</v>
      </c>
      <c r="C731" s="31" t="s">
        <v>46</v>
      </c>
      <c r="E731" s="30">
        <v>14</v>
      </c>
      <c r="F731" s="32"/>
      <c r="G731" s="125"/>
      <c r="H731" s="1"/>
      <c r="I731" s="141"/>
      <c r="J731" s="1">
        <v>0</v>
      </c>
      <c r="K731" s="1"/>
      <c r="L731" s="296"/>
      <c r="M731" s="123"/>
    </row>
    <row r="732" spans="1:13" ht="12">
      <c r="A732" s="30">
        <v>15</v>
      </c>
      <c r="C732" s="31" t="s">
        <v>30</v>
      </c>
      <c r="E732" s="30">
        <v>15</v>
      </c>
      <c r="F732" s="32"/>
      <c r="G732" s="125"/>
      <c r="H732" s="1">
        <f>2710</f>
        <v>2710</v>
      </c>
      <c r="I732" s="141"/>
      <c r="J732" s="1">
        <v>5162</v>
      </c>
      <c r="K732" s="1"/>
      <c r="L732" s="296"/>
      <c r="M732" s="123"/>
    </row>
    <row r="733" spans="1:13" ht="12">
      <c r="A733" s="30">
        <v>16</v>
      </c>
      <c r="C733" s="31" t="s">
        <v>45</v>
      </c>
      <c r="E733" s="30">
        <v>16</v>
      </c>
      <c r="F733" s="32"/>
      <c r="G733" s="125"/>
      <c r="H733" s="1">
        <f>612840-1132299+54318+1132299-1240137+1240137</f>
        <v>667158</v>
      </c>
      <c r="I733" s="141"/>
      <c r="J733" s="1">
        <f>835872</f>
        <v>835872</v>
      </c>
      <c r="K733" s="1"/>
      <c r="L733" s="296"/>
      <c r="M733" s="123">
        <v>959637</v>
      </c>
    </row>
    <row r="734" spans="1:13" ht="12">
      <c r="A734" s="30">
        <v>17</v>
      </c>
      <c r="C734" s="31" t="s">
        <v>31</v>
      </c>
      <c r="E734" s="30">
        <v>17</v>
      </c>
      <c r="F734" s="32"/>
      <c r="G734" s="125"/>
      <c r="H734" s="1">
        <f>4295670-221174-304038+732316+304077-802060-333036+21066-4233950-435600</f>
        <v>-976729</v>
      </c>
      <c r="I734" s="141"/>
      <c r="J734" s="1">
        <f>277+1342373-446748-448426-2811+4647710-4570713-1309394</f>
        <v>-787732</v>
      </c>
      <c r="K734" s="1"/>
      <c r="L734" s="296"/>
      <c r="M734" s="123">
        <f>5560181-219263-4113642-500000-1300000</f>
        <v>-572724</v>
      </c>
    </row>
    <row r="735" spans="1:13" ht="12">
      <c r="A735" s="30">
        <v>18</v>
      </c>
      <c r="C735" s="31" t="s">
        <v>32</v>
      </c>
      <c r="E735" s="30">
        <v>18</v>
      </c>
      <c r="F735" s="32"/>
      <c r="G735" s="125"/>
      <c r="H735" s="1">
        <f>11216-11216</f>
        <v>0</v>
      </c>
      <c r="I735" s="141"/>
      <c r="J735" s="1"/>
      <c r="K735" s="1"/>
      <c r="L735" s="296"/>
      <c r="M735" s="26"/>
    </row>
    <row r="736" spans="1:13" ht="12">
      <c r="A736" s="30">
        <v>19</v>
      </c>
      <c r="C736" s="31" t="s">
        <v>42</v>
      </c>
      <c r="E736" s="30">
        <v>19</v>
      </c>
      <c r="F736" s="32"/>
      <c r="G736" s="125"/>
      <c r="H736" s="1">
        <v>4233950</v>
      </c>
      <c r="I736" s="141"/>
      <c r="J736" s="1">
        <v>4570713</v>
      </c>
      <c r="K736" s="1"/>
      <c r="L736" s="296"/>
      <c r="M736" s="256">
        <v>4113642</v>
      </c>
    </row>
    <row r="737" spans="1:13" ht="12">
      <c r="A737" s="30">
        <v>20</v>
      </c>
      <c r="C737" s="31"/>
      <c r="E737" s="30">
        <v>20</v>
      </c>
      <c r="F737" s="32"/>
      <c r="G737" s="125"/>
      <c r="H737" s="1"/>
      <c r="I737" s="141"/>
      <c r="J737" s="1"/>
      <c r="K737" s="1"/>
      <c r="L737" s="296"/>
      <c r="M737" s="26"/>
    </row>
    <row r="738" spans="1:13" ht="12">
      <c r="A738" s="30">
        <v>21</v>
      </c>
      <c r="C738" s="31"/>
      <c r="E738" s="30">
        <v>21</v>
      </c>
      <c r="F738" s="32"/>
      <c r="G738" s="125"/>
      <c r="H738" s="1"/>
      <c r="I738" s="141"/>
      <c r="J738" s="1"/>
      <c r="K738" s="1"/>
      <c r="L738" s="296"/>
      <c r="M738" s="26"/>
    </row>
    <row r="739" spans="1:13" ht="12">
      <c r="A739" s="30">
        <v>22</v>
      </c>
      <c r="C739" s="31"/>
      <c r="E739" s="30">
        <v>22</v>
      </c>
      <c r="F739" s="32"/>
      <c r="G739" s="125"/>
      <c r="H739" s="1"/>
      <c r="I739" s="141"/>
      <c r="J739" s="1"/>
      <c r="K739" s="1"/>
      <c r="L739" s="296"/>
      <c r="M739" s="26"/>
    </row>
    <row r="740" spans="1:13" ht="12">
      <c r="A740" s="30">
        <v>23</v>
      </c>
      <c r="C740" s="31"/>
      <c r="E740" s="30">
        <v>23</v>
      </c>
      <c r="F740" s="32"/>
      <c r="G740" s="125"/>
      <c r="H740" s="1"/>
      <c r="I740" s="141"/>
      <c r="J740" s="1"/>
      <c r="K740" s="1"/>
      <c r="L740" s="296"/>
      <c r="M740" s="26"/>
    </row>
    <row r="741" spans="1:13" ht="12">
      <c r="A741" s="30">
        <v>24</v>
      </c>
      <c r="C741" s="31"/>
      <c r="E741" s="30">
        <v>24</v>
      </c>
      <c r="F741" s="32"/>
      <c r="G741" s="140"/>
      <c r="H741" s="119"/>
      <c r="I741" s="143"/>
      <c r="J741" s="119"/>
      <c r="K741" s="119"/>
      <c r="L741" s="296"/>
      <c r="M741" s="26"/>
    </row>
    <row r="742" spans="5:13" ht="12">
      <c r="E742" s="69"/>
      <c r="F742" s="109" t="s">
        <v>1</v>
      </c>
      <c r="G742" s="109" t="s">
        <v>1</v>
      </c>
      <c r="H742" s="42" t="s">
        <v>1</v>
      </c>
      <c r="I742" s="144" t="s">
        <v>1</v>
      </c>
      <c r="J742" s="42" t="s">
        <v>1</v>
      </c>
      <c r="K742" s="42"/>
      <c r="L742" s="297" t="s">
        <v>1</v>
      </c>
      <c r="M742" s="42" t="s">
        <v>1</v>
      </c>
    </row>
    <row r="743" spans="1:13" ht="15.75" customHeight="1">
      <c r="A743" s="30">
        <v>25</v>
      </c>
      <c r="C743" s="145" t="s">
        <v>232</v>
      </c>
      <c r="E743" s="30">
        <v>25</v>
      </c>
      <c r="G743" s="128">
        <f>SUM(G728:G741)</f>
        <v>17.429340947240515</v>
      </c>
      <c r="H743" s="121">
        <f>SUM(H728:H741)</f>
        <v>5073453</v>
      </c>
      <c r="I743" s="142">
        <f>SUM(I728:I741)</f>
        <v>21.64840787904994</v>
      </c>
      <c r="J743" s="121">
        <f>SUM(J728:J741)</f>
        <v>6353279</v>
      </c>
      <c r="K743" s="121"/>
      <c r="L743" s="301">
        <f>SUM(L728:L741)</f>
        <v>19.72</v>
      </c>
      <c r="M743" s="121">
        <f>SUM(M728:M741)</f>
        <v>6079948</v>
      </c>
    </row>
    <row r="744" spans="4:13" ht="12">
      <c r="D744" s="100"/>
      <c r="F744" s="109" t="s">
        <v>1</v>
      </c>
      <c r="G744" s="41"/>
      <c r="H744" s="42"/>
      <c r="I744" s="144"/>
      <c r="J744" s="42"/>
      <c r="K744" s="42"/>
      <c r="L744" s="297" t="s">
        <v>1</v>
      </c>
      <c r="M744" s="42" t="s">
        <v>1</v>
      </c>
    </row>
    <row r="745" spans="4:13" ht="12">
      <c r="D745" s="100"/>
      <c r="F745" s="109"/>
      <c r="G745" s="50"/>
      <c r="H745" s="50"/>
      <c r="I745" s="50"/>
      <c r="J745" s="50"/>
      <c r="K745" s="50"/>
      <c r="L745" s="296"/>
      <c r="M745" s="26"/>
    </row>
    <row r="746" spans="1:13" ht="12">
      <c r="A746" s="30">
        <v>26</v>
      </c>
      <c r="C746" s="31" t="s">
        <v>47</v>
      </c>
      <c r="E746" s="30">
        <v>26</v>
      </c>
      <c r="F746" s="32"/>
      <c r="G746" s="50"/>
      <c r="H746" s="131"/>
      <c r="I746" s="50"/>
      <c r="J746" s="131"/>
      <c r="K746" s="131"/>
      <c r="L746" s="296"/>
      <c r="M746" s="26"/>
    </row>
    <row r="747" spans="1:13" ht="12">
      <c r="A747" s="30">
        <v>27</v>
      </c>
      <c r="C747" s="31" t="s">
        <v>48</v>
      </c>
      <c r="E747" s="30">
        <v>27</v>
      </c>
      <c r="F747" s="32"/>
      <c r="G747" s="2"/>
      <c r="H747" s="2">
        <f>302149-68775</f>
        <v>233374</v>
      </c>
      <c r="I747" s="2"/>
      <c r="J747" s="2">
        <v>338374</v>
      </c>
      <c r="K747" s="2"/>
      <c r="L747" s="296"/>
      <c r="M747" s="2">
        <f>+J757</f>
        <v>443374</v>
      </c>
    </row>
    <row r="748" spans="1:13" ht="12">
      <c r="A748" s="30">
        <v>28</v>
      </c>
      <c r="C748" s="31" t="s">
        <v>49</v>
      </c>
      <c r="E748" s="30">
        <v>28</v>
      </c>
      <c r="F748" s="32"/>
      <c r="G748" s="2"/>
      <c r="H748" s="2">
        <v>0</v>
      </c>
      <c r="I748" s="2"/>
      <c r="J748" s="2">
        <v>0</v>
      </c>
      <c r="K748" s="2"/>
      <c r="L748" s="296"/>
      <c r="M748" s="26"/>
    </row>
    <row r="749" spans="1:13" ht="12">
      <c r="A749" s="30">
        <v>29</v>
      </c>
      <c r="C749" s="32" t="s">
        <v>498</v>
      </c>
      <c r="E749" s="30">
        <v>29</v>
      </c>
      <c r="F749" s="32"/>
      <c r="G749" s="2"/>
      <c r="H749" s="2">
        <v>105000</v>
      </c>
      <c r="I749" s="2"/>
      <c r="J749" s="2">
        <v>105000</v>
      </c>
      <c r="K749" s="2"/>
      <c r="L749" s="296"/>
      <c r="M749" s="26"/>
    </row>
    <row r="750" spans="1:13" ht="12">
      <c r="A750" s="30">
        <v>30</v>
      </c>
      <c r="C750" s="32"/>
      <c r="E750" s="30">
        <v>30</v>
      </c>
      <c r="F750" s="32"/>
      <c r="G750" s="2"/>
      <c r="H750" s="2"/>
      <c r="I750" s="2"/>
      <c r="J750" s="2"/>
      <c r="K750" s="2"/>
      <c r="L750" s="296"/>
      <c r="M750" s="26"/>
    </row>
    <row r="751" spans="1:13" ht="12">
      <c r="A751" s="30">
        <v>31</v>
      </c>
      <c r="C751" s="32"/>
      <c r="E751" s="30">
        <v>31</v>
      </c>
      <c r="F751" s="32"/>
      <c r="G751" s="2"/>
      <c r="H751" s="2"/>
      <c r="I751" s="2"/>
      <c r="J751" s="2"/>
      <c r="K751" s="2"/>
      <c r="L751" s="296"/>
      <c r="M751" s="26"/>
    </row>
    <row r="752" spans="1:13" ht="12">
      <c r="A752" s="30">
        <v>32</v>
      </c>
      <c r="C752" s="32"/>
      <c r="E752" s="30">
        <v>32</v>
      </c>
      <c r="G752" s="2"/>
      <c r="H752" s="84"/>
      <c r="I752" s="2"/>
      <c r="J752" s="84"/>
      <c r="K752" s="84"/>
      <c r="L752" s="296"/>
      <c r="M752" s="26"/>
    </row>
    <row r="753" spans="1:13" ht="12">
      <c r="A753" s="30">
        <v>33</v>
      </c>
      <c r="C753" s="31" t="s">
        <v>50</v>
      </c>
      <c r="E753" s="30">
        <v>33</v>
      </c>
      <c r="F753" s="32"/>
      <c r="G753" s="2"/>
      <c r="H753" s="2">
        <v>0</v>
      </c>
      <c r="I753" s="2"/>
      <c r="J753" s="2">
        <v>0</v>
      </c>
      <c r="K753" s="2"/>
      <c r="L753" s="296"/>
      <c r="M753" s="26"/>
    </row>
    <row r="754" spans="1:13" ht="12">
      <c r="A754" s="30">
        <v>34</v>
      </c>
      <c r="C754" s="32"/>
      <c r="E754" s="30">
        <v>34</v>
      </c>
      <c r="F754" s="32"/>
      <c r="G754" s="2"/>
      <c r="H754" s="2"/>
      <c r="I754" s="2"/>
      <c r="J754" s="2"/>
      <c r="K754" s="2"/>
      <c r="L754" s="296"/>
      <c r="M754" s="26"/>
    </row>
    <row r="755" spans="1:13" ht="12">
      <c r="A755" s="30">
        <v>35</v>
      </c>
      <c r="C755" s="32"/>
      <c r="E755" s="30">
        <v>35</v>
      </c>
      <c r="F755" s="32"/>
      <c r="G755" s="2"/>
      <c r="H755" s="2"/>
      <c r="I755" s="2"/>
      <c r="J755" s="2"/>
      <c r="K755" s="2"/>
      <c r="L755" s="296"/>
      <c r="M755" s="26"/>
    </row>
    <row r="756" spans="1:13" ht="12">
      <c r="A756" s="30">
        <v>36</v>
      </c>
      <c r="C756" s="32"/>
      <c r="E756" s="30">
        <v>36</v>
      </c>
      <c r="F756" s="32"/>
      <c r="G756" s="2"/>
      <c r="H756" s="2"/>
      <c r="I756" s="2"/>
      <c r="J756" s="2"/>
      <c r="K756" s="2"/>
      <c r="L756" s="296"/>
      <c r="M756" s="26"/>
    </row>
    <row r="757" spans="1:13" ht="12">
      <c r="A757" s="30">
        <f>(A756+1)</f>
        <v>37</v>
      </c>
      <c r="C757" s="31" t="s">
        <v>51</v>
      </c>
      <c r="E757" s="30">
        <f>(E756+1)</f>
        <v>37</v>
      </c>
      <c r="G757" s="81"/>
      <c r="H757" s="84">
        <f>(SUM(H747:H752))-(SUM(H753:H756))</f>
        <v>338374</v>
      </c>
      <c r="I757" s="81"/>
      <c r="J757" s="84">
        <f>(SUM(J747:J752))-(SUM(J753:J756))</f>
        <v>443374</v>
      </c>
      <c r="K757" s="84"/>
      <c r="L757" s="296"/>
      <c r="M757" s="84">
        <f>(SUM(M747:M752))-(SUM(M753:M756))</f>
        <v>443374</v>
      </c>
    </row>
    <row r="758" spans="1:13" ht="12">
      <c r="A758" s="30">
        <f>(A757+1)</f>
        <v>38</v>
      </c>
      <c r="E758" s="30">
        <f>(E757+1)</f>
        <v>38</v>
      </c>
      <c r="F758" s="32"/>
      <c r="G758" s="81"/>
      <c r="H758" s="2"/>
      <c r="I758" s="81"/>
      <c r="J758" s="2"/>
      <c r="K758" s="2"/>
      <c r="L758" s="296"/>
      <c r="M758" s="26"/>
    </row>
    <row r="759" spans="1:13" ht="12">
      <c r="A759" s="30">
        <f>(A758+1)</f>
        <v>39</v>
      </c>
      <c r="C759" s="31" t="s">
        <v>52</v>
      </c>
      <c r="E759" s="30">
        <f>(E758+1)</f>
        <v>39</v>
      </c>
      <c r="F759" s="32"/>
      <c r="G759" s="2"/>
      <c r="H759" s="2"/>
      <c r="I759" s="2"/>
      <c r="J759" s="2"/>
      <c r="K759" s="2"/>
      <c r="L759" s="296"/>
      <c r="M759" s="26"/>
    </row>
    <row r="760" spans="8:13" ht="12">
      <c r="H760" s="84"/>
      <c r="I760" s="81"/>
      <c r="J760" s="84"/>
      <c r="K760" s="81"/>
      <c r="L760" s="81"/>
      <c r="M760" s="81"/>
    </row>
    <row r="761" ht="12">
      <c r="A761" s="31"/>
    </row>
    <row r="762" spans="1:13" s="65" customFormat="1" ht="12">
      <c r="A762" s="38" t="str">
        <f>$A$35</f>
        <v>Institution No.:  GFD</v>
      </c>
      <c r="E762" s="70"/>
      <c r="I762" s="71"/>
      <c r="J762" s="72"/>
      <c r="L762" s="71"/>
      <c r="M762" s="37" t="s">
        <v>53</v>
      </c>
    </row>
    <row r="763" spans="1:13" s="65" customFormat="1" ht="12">
      <c r="A763" s="414" t="s">
        <v>154</v>
      </c>
      <c r="B763" s="414"/>
      <c r="C763" s="414"/>
      <c r="D763" s="414"/>
      <c r="E763" s="414"/>
      <c r="F763" s="414"/>
      <c r="G763" s="414"/>
      <c r="H763" s="414"/>
      <c r="I763" s="414"/>
      <c r="J763" s="414"/>
      <c r="K763" s="414"/>
      <c r="L763" s="414"/>
      <c r="M763" s="414"/>
    </row>
    <row r="764" spans="1:13" ht="12">
      <c r="A764" s="38" t="s">
        <v>551</v>
      </c>
      <c r="C764" s="26" t="s">
        <v>552</v>
      </c>
      <c r="F764" s="113"/>
      <c r="G764" s="113"/>
      <c r="H764" s="113"/>
      <c r="I764" s="104"/>
      <c r="J764" s="105"/>
      <c r="L764" s="36"/>
      <c r="M764" s="39" t="str">
        <f>$M$3</f>
        <v>Date: 10/1/2009</v>
      </c>
    </row>
    <row r="765" spans="1:13" ht="12">
      <c r="A765" s="40" t="s">
        <v>1</v>
      </c>
      <c r="B765" s="40" t="s">
        <v>1</v>
      </c>
      <c r="C765" s="40" t="s">
        <v>1</v>
      </c>
      <c r="D765" s="40" t="s">
        <v>1</v>
      </c>
      <c r="E765" s="40" t="s">
        <v>1</v>
      </c>
      <c r="F765" s="40" t="s">
        <v>1</v>
      </c>
      <c r="G765" s="40"/>
      <c r="H765" s="40"/>
      <c r="I765" s="41" t="s">
        <v>1</v>
      </c>
      <c r="J765" s="42" t="s">
        <v>1</v>
      </c>
      <c r="K765" s="40" t="s">
        <v>1</v>
      </c>
      <c r="L765" s="41" t="s">
        <v>1</v>
      </c>
      <c r="M765" s="42" t="s">
        <v>1</v>
      </c>
    </row>
    <row r="766" spans="1:13" ht="12">
      <c r="A766" s="43" t="s">
        <v>2</v>
      </c>
      <c r="E766" s="43" t="s">
        <v>2</v>
      </c>
      <c r="F766" s="44"/>
      <c r="G766" s="45"/>
      <c r="H766" s="46" t="s">
        <v>240</v>
      </c>
      <c r="I766" s="45"/>
      <c r="J766" s="46" t="s">
        <v>247</v>
      </c>
      <c r="K766" s="46"/>
      <c r="L766" s="296"/>
      <c r="M766" s="44" t="s">
        <v>576</v>
      </c>
    </row>
    <row r="767" spans="1:13" ht="12">
      <c r="A767" s="43" t="s">
        <v>4</v>
      </c>
      <c r="C767" s="47" t="s">
        <v>20</v>
      </c>
      <c r="E767" s="43" t="s">
        <v>4</v>
      </c>
      <c r="G767" s="36"/>
      <c r="H767" s="46" t="s">
        <v>7</v>
      </c>
      <c r="I767" s="36"/>
      <c r="J767" s="46" t="s">
        <v>7</v>
      </c>
      <c r="K767" s="46"/>
      <c r="L767" s="296"/>
      <c r="M767" s="44" t="s">
        <v>8</v>
      </c>
    </row>
    <row r="768" spans="1:13" ht="12">
      <c r="A768" s="40" t="s">
        <v>1</v>
      </c>
      <c r="B768" s="40" t="s">
        <v>1</v>
      </c>
      <c r="C768" s="40" t="s">
        <v>1</v>
      </c>
      <c r="D768" s="40" t="s">
        <v>1</v>
      </c>
      <c r="E768" s="40" t="s">
        <v>1</v>
      </c>
      <c r="F768" s="40" t="s">
        <v>1</v>
      </c>
      <c r="G768" s="41" t="s">
        <v>1</v>
      </c>
      <c r="H768" s="42" t="s">
        <v>1</v>
      </c>
      <c r="I768" s="41" t="s">
        <v>1</v>
      </c>
      <c r="J768" s="42" t="s">
        <v>1</v>
      </c>
      <c r="K768" s="41" t="s">
        <v>1</v>
      </c>
      <c r="L768" s="297" t="s">
        <v>1</v>
      </c>
      <c r="M768" s="42" t="s">
        <v>1</v>
      </c>
    </row>
    <row r="769" spans="1:13" ht="12">
      <c r="A769" s="30">
        <v>1</v>
      </c>
      <c r="C769" s="31" t="s">
        <v>54</v>
      </c>
      <c r="E769" s="30">
        <v>1</v>
      </c>
      <c r="F769" s="32"/>
      <c r="G769" s="1"/>
      <c r="H769" s="1">
        <f>-9428271-123404+15150522+13389+242693+6452+105</f>
        <v>5861486</v>
      </c>
      <c r="I769" s="1"/>
      <c r="J769" s="1">
        <f>420306+85369+500+289914+5502337</f>
        <v>6298426</v>
      </c>
      <c r="K769" s="1"/>
      <c r="L769" s="296"/>
      <c r="M769" s="123">
        <f>1346208+5896108</f>
        <v>7242316</v>
      </c>
    </row>
    <row r="770" spans="1:13" ht="12">
      <c r="A770" s="30">
        <f aca="true" t="shared" si="11" ref="A770:A787">(A769+1)</f>
        <v>2</v>
      </c>
      <c r="C770" s="32"/>
      <c r="E770" s="30">
        <f aca="true" t="shared" si="12" ref="E770:E787">(E769+1)</f>
        <v>2</v>
      </c>
      <c r="F770" s="32"/>
      <c r="G770" s="32"/>
      <c r="H770" s="32"/>
      <c r="I770" s="33"/>
      <c r="J770" s="34"/>
      <c r="K770" s="32"/>
      <c r="L770" s="33"/>
      <c r="M770" s="34"/>
    </row>
    <row r="771" spans="1:13" ht="12">
      <c r="A771" s="30">
        <f t="shared" si="11"/>
        <v>3</v>
      </c>
      <c r="C771" s="32"/>
      <c r="E771" s="30">
        <f t="shared" si="12"/>
        <v>3</v>
      </c>
      <c r="F771" s="32"/>
      <c r="G771" s="32"/>
      <c r="H771" s="32"/>
      <c r="I771" s="33"/>
      <c r="J771" s="34"/>
      <c r="K771" s="32"/>
      <c r="L771" s="33"/>
      <c r="M771" s="34"/>
    </row>
    <row r="772" spans="1:13" ht="12">
      <c r="A772" s="30">
        <f t="shared" si="11"/>
        <v>4</v>
      </c>
      <c r="C772" s="32"/>
      <c r="E772" s="30">
        <f t="shared" si="12"/>
        <v>4</v>
      </c>
      <c r="F772" s="32"/>
      <c r="G772" s="32"/>
      <c r="H772" s="32"/>
      <c r="I772" s="33"/>
      <c r="J772" s="34"/>
      <c r="K772" s="32"/>
      <c r="L772" s="33"/>
      <c r="M772" s="34"/>
    </row>
    <row r="773" spans="1:13" ht="12">
      <c r="A773" s="30">
        <f t="shared" si="11"/>
        <v>5</v>
      </c>
      <c r="C773" s="32"/>
      <c r="E773" s="30">
        <f t="shared" si="12"/>
        <v>5</v>
      </c>
      <c r="F773" s="32"/>
      <c r="G773" s="32"/>
      <c r="H773" s="32"/>
      <c r="I773" s="33"/>
      <c r="J773" s="34"/>
      <c r="K773" s="32"/>
      <c r="L773" s="33"/>
      <c r="M773" s="34"/>
    </row>
    <row r="774" spans="1:13" ht="12">
      <c r="A774" s="30">
        <f t="shared" si="11"/>
        <v>6</v>
      </c>
      <c r="C774" s="32"/>
      <c r="E774" s="30">
        <f t="shared" si="12"/>
        <v>6</v>
      </c>
      <c r="F774" s="32"/>
      <c r="G774" s="32"/>
      <c r="H774" s="32"/>
      <c r="I774" s="33"/>
      <c r="J774" s="34"/>
      <c r="K774" s="32"/>
      <c r="L774" s="33"/>
      <c r="M774" s="34"/>
    </row>
    <row r="775" spans="1:13" ht="12">
      <c r="A775" s="30">
        <f t="shared" si="11"/>
        <v>7</v>
      </c>
      <c r="C775" s="32"/>
      <c r="E775" s="30">
        <f t="shared" si="12"/>
        <v>7</v>
      </c>
      <c r="F775" s="32"/>
      <c r="G775" s="32"/>
      <c r="H775" s="32"/>
      <c r="I775" s="33"/>
      <c r="J775" s="34"/>
      <c r="K775" s="32"/>
      <c r="L775" s="33"/>
      <c r="M775" s="34"/>
    </row>
    <row r="776" spans="1:13" ht="12">
      <c r="A776" s="30">
        <f t="shared" si="11"/>
        <v>8</v>
      </c>
      <c r="C776" s="32"/>
      <c r="E776" s="30">
        <f t="shared" si="12"/>
        <v>8</v>
      </c>
      <c r="F776" s="32"/>
      <c r="G776" s="32"/>
      <c r="H776" s="32"/>
      <c r="I776" s="33"/>
      <c r="J776" s="34"/>
      <c r="K776" s="32"/>
      <c r="L776" s="33"/>
      <c r="M776" s="34"/>
    </row>
    <row r="777" spans="1:13" ht="12">
      <c r="A777" s="30">
        <f t="shared" si="11"/>
        <v>9</v>
      </c>
      <c r="C777" s="32"/>
      <c r="E777" s="30">
        <f t="shared" si="12"/>
        <v>9</v>
      </c>
      <c r="F777" s="32"/>
      <c r="G777" s="32"/>
      <c r="H777" s="32"/>
      <c r="I777" s="33"/>
      <c r="J777" s="34"/>
      <c r="K777" s="32"/>
      <c r="L777" s="33"/>
      <c r="M777" s="34"/>
    </row>
    <row r="778" spans="1:13" ht="12">
      <c r="A778" s="30">
        <f t="shared" si="11"/>
        <v>10</v>
      </c>
      <c r="C778" s="32"/>
      <c r="E778" s="30">
        <f t="shared" si="12"/>
        <v>10</v>
      </c>
      <c r="F778" s="32"/>
      <c r="G778" s="32"/>
      <c r="H778" s="32"/>
      <c r="I778" s="33"/>
      <c r="J778" s="34"/>
      <c r="K778" s="32"/>
      <c r="L778" s="33"/>
      <c r="M778" s="34"/>
    </row>
    <row r="779" spans="1:13" ht="12">
      <c r="A779" s="30">
        <f t="shared" si="11"/>
        <v>11</v>
      </c>
      <c r="C779" s="32"/>
      <c r="E779" s="30">
        <f t="shared" si="12"/>
        <v>11</v>
      </c>
      <c r="I779" s="33"/>
      <c r="J779" s="34"/>
      <c r="K779" s="32"/>
      <c r="L779" s="33"/>
      <c r="M779" s="34"/>
    </row>
    <row r="780" spans="1:13" ht="12">
      <c r="A780" s="30">
        <f t="shared" si="11"/>
        <v>12</v>
      </c>
      <c r="C780" s="32"/>
      <c r="E780" s="30">
        <f t="shared" si="12"/>
        <v>12</v>
      </c>
      <c r="I780" s="33"/>
      <c r="J780" s="34"/>
      <c r="K780" s="32"/>
      <c r="L780" s="33"/>
      <c r="M780" s="34"/>
    </row>
    <row r="781" spans="1:13" ht="12">
      <c r="A781" s="30">
        <f t="shared" si="11"/>
        <v>13</v>
      </c>
      <c r="C781" s="32"/>
      <c r="E781" s="30">
        <f t="shared" si="12"/>
        <v>13</v>
      </c>
      <c r="F781" s="32"/>
      <c r="G781" s="32"/>
      <c r="H781" s="32"/>
      <c r="I781" s="33"/>
      <c r="J781" s="34"/>
      <c r="K781" s="32"/>
      <c r="L781" s="33"/>
      <c r="M781" s="34"/>
    </row>
    <row r="782" spans="1:13" ht="12">
      <c r="A782" s="30">
        <f t="shared" si="11"/>
        <v>14</v>
      </c>
      <c r="C782" s="32"/>
      <c r="E782" s="30">
        <f t="shared" si="12"/>
        <v>14</v>
      </c>
      <c r="F782" s="32"/>
      <c r="G782" s="32"/>
      <c r="H782" s="32"/>
      <c r="I782" s="33"/>
      <c r="J782" s="34"/>
      <c r="K782" s="32"/>
      <c r="L782" s="33"/>
      <c r="M782" s="34"/>
    </row>
    <row r="783" spans="1:13" ht="12">
      <c r="A783" s="30">
        <f t="shared" si="11"/>
        <v>15</v>
      </c>
      <c r="C783" s="32"/>
      <c r="E783" s="30">
        <f t="shared" si="12"/>
        <v>15</v>
      </c>
      <c r="F783" s="32"/>
      <c r="G783" s="32"/>
      <c r="H783" s="32"/>
      <c r="I783" s="33"/>
      <c r="J783" s="34"/>
      <c r="K783" s="32"/>
      <c r="L783" s="33"/>
      <c r="M783" s="34"/>
    </row>
    <row r="784" spans="1:13" ht="12">
      <c r="A784" s="30">
        <f t="shared" si="11"/>
        <v>16</v>
      </c>
      <c r="C784" s="32"/>
      <c r="E784" s="30">
        <f t="shared" si="12"/>
        <v>16</v>
      </c>
      <c r="F784" s="32"/>
      <c r="G784" s="32"/>
      <c r="H784" s="32"/>
      <c r="I784" s="33"/>
      <c r="J784" s="34"/>
      <c r="K784" s="32"/>
      <c r="L784" s="33"/>
      <c r="M784" s="34"/>
    </row>
    <row r="785" spans="1:13" ht="12">
      <c r="A785" s="30">
        <f t="shared" si="11"/>
        <v>17</v>
      </c>
      <c r="C785" s="32"/>
      <c r="E785" s="30">
        <f t="shared" si="12"/>
        <v>17</v>
      </c>
      <c r="F785" s="32"/>
      <c r="G785" s="32"/>
      <c r="H785" s="32"/>
      <c r="I785" s="33"/>
      <c r="J785" s="34"/>
      <c r="K785" s="32"/>
      <c r="L785" s="33"/>
      <c r="M785" s="34"/>
    </row>
    <row r="786" spans="1:13" ht="12">
      <c r="A786" s="30">
        <f t="shared" si="11"/>
        <v>18</v>
      </c>
      <c r="C786" s="32"/>
      <c r="E786" s="30">
        <f t="shared" si="12"/>
        <v>18</v>
      </c>
      <c r="F786" s="32"/>
      <c r="G786" s="32"/>
      <c r="H786" s="32"/>
      <c r="I786" s="33"/>
      <c r="J786" s="34"/>
      <c r="K786" s="32"/>
      <c r="L786" s="33"/>
      <c r="M786" s="34"/>
    </row>
    <row r="787" spans="1:13" ht="12">
      <c r="A787" s="30">
        <f t="shared" si="11"/>
        <v>19</v>
      </c>
      <c r="C787" s="32"/>
      <c r="E787" s="30">
        <f t="shared" si="12"/>
        <v>19</v>
      </c>
      <c r="F787" s="32"/>
      <c r="G787" s="32"/>
      <c r="H787" s="32"/>
      <c r="I787" s="33"/>
      <c r="J787" s="34"/>
      <c r="K787" s="32"/>
      <c r="L787" s="33"/>
      <c r="M787" s="34"/>
    </row>
    <row r="788" spans="1:13" ht="12">
      <c r="A788" s="30">
        <v>20</v>
      </c>
      <c r="E788" s="30">
        <v>20</v>
      </c>
      <c r="F788" s="109"/>
      <c r="G788" s="109"/>
      <c r="H788" s="109"/>
      <c r="I788" s="41"/>
      <c r="J788" s="42"/>
      <c r="K788" s="109"/>
      <c r="L788" s="41"/>
      <c r="M788" s="42"/>
    </row>
    <row r="789" spans="1:13" ht="12">
      <c r="A789" s="30">
        <v>21</v>
      </c>
      <c r="E789" s="30">
        <v>21</v>
      </c>
      <c r="F789" s="109"/>
      <c r="G789" s="109"/>
      <c r="H789" s="109"/>
      <c r="I789" s="41"/>
      <c r="J789" s="74"/>
      <c r="K789" s="109"/>
      <c r="L789" s="41"/>
      <c r="M789" s="74"/>
    </row>
    <row r="790" spans="1:13" ht="12">
      <c r="A790" s="30">
        <v>22</v>
      </c>
      <c r="E790" s="30">
        <v>22</v>
      </c>
      <c r="I790" s="36"/>
      <c r="J790" s="74"/>
      <c r="L790" s="36"/>
      <c r="M790" s="74"/>
    </row>
    <row r="791" spans="1:13" ht="12">
      <c r="A791" s="30">
        <v>23</v>
      </c>
      <c r="D791" s="100"/>
      <c r="E791" s="30">
        <v>23</v>
      </c>
      <c r="J791" s="74"/>
      <c r="M791" s="74"/>
    </row>
    <row r="792" spans="1:13" ht="12">
      <c r="A792" s="30">
        <v>24</v>
      </c>
      <c r="D792" s="100"/>
      <c r="E792" s="30">
        <v>24</v>
      </c>
      <c r="J792" s="74"/>
      <c r="M792" s="74"/>
    </row>
    <row r="793" spans="6:13" ht="12">
      <c r="F793" s="109" t="s">
        <v>1</v>
      </c>
      <c r="G793" s="109"/>
      <c r="H793" s="109"/>
      <c r="I793" s="41" t="s">
        <v>1</v>
      </c>
      <c r="J793" s="42"/>
      <c r="K793" s="109"/>
      <c r="L793" s="41"/>
      <c r="M793" s="42"/>
    </row>
    <row r="794" spans="1:13" ht="15.75" customHeight="1">
      <c r="A794" s="30">
        <v>25</v>
      </c>
      <c r="C794" s="31" t="s">
        <v>229</v>
      </c>
      <c r="E794" s="30">
        <v>25</v>
      </c>
      <c r="H794" s="121">
        <f>SUM(H769:H792)</f>
        <v>5861486</v>
      </c>
      <c r="I794" s="122"/>
      <c r="J794" s="121">
        <f>SUM(J769:J792)</f>
        <v>6298426</v>
      </c>
      <c r="K794" s="121"/>
      <c r="L794" s="122"/>
      <c r="M794" s="121">
        <f>SUM(M769:M792)</f>
        <v>7242316</v>
      </c>
    </row>
    <row r="795" spans="4:13" ht="12">
      <c r="D795" s="100"/>
      <c r="F795" s="109" t="s">
        <v>1</v>
      </c>
      <c r="G795" s="109"/>
      <c r="H795" s="109"/>
      <c r="I795" s="41" t="s">
        <v>1</v>
      </c>
      <c r="J795" s="42"/>
      <c r="K795" s="109"/>
      <c r="L795" s="41"/>
      <c r="M795" s="42"/>
    </row>
    <row r="796" spans="6:13" ht="12">
      <c r="F796" s="109"/>
      <c r="G796" s="109"/>
      <c r="H796" s="109"/>
      <c r="I796" s="41"/>
      <c r="J796" s="42"/>
      <c r="K796" s="109"/>
      <c r="L796" s="41"/>
      <c r="M796" s="42"/>
    </row>
    <row r="797" spans="9:13" ht="12">
      <c r="I797" s="36"/>
      <c r="J797" s="74"/>
      <c r="L797" s="36"/>
      <c r="M797" s="74"/>
    </row>
    <row r="798" spans="5:13" s="4" customFormat="1" ht="12">
      <c r="E798" s="4">
        <v>26</v>
      </c>
      <c r="I798" s="10"/>
      <c r="J798" s="11"/>
      <c r="L798" s="10"/>
      <c r="M798" s="11"/>
    </row>
    <row r="799" ht="12">
      <c r="A799" s="31"/>
    </row>
    <row r="801" spans="1:13" s="65" customFormat="1" ht="12">
      <c r="A801" s="38" t="str">
        <f>$A$35</f>
        <v>Institution No.:  GFD</v>
      </c>
      <c r="E801" s="70"/>
      <c r="I801" s="71"/>
      <c r="J801" s="72"/>
      <c r="L801" s="71"/>
      <c r="M801" s="37" t="s">
        <v>55</v>
      </c>
    </row>
    <row r="802" spans="1:13" s="65" customFormat="1" ht="12">
      <c r="A802" s="414" t="s">
        <v>155</v>
      </c>
      <c r="B802" s="414"/>
      <c r="C802" s="414"/>
      <c r="D802" s="414"/>
      <c r="E802" s="414"/>
      <c r="F802" s="414"/>
      <c r="G802" s="414"/>
      <c r="H802" s="414"/>
      <c r="I802" s="414"/>
      <c r="J802" s="414"/>
      <c r="K802" s="414"/>
      <c r="L802" s="414"/>
      <c r="M802" s="414"/>
    </row>
    <row r="803" spans="1:13" ht="12">
      <c r="A803" s="38" t="s">
        <v>551</v>
      </c>
      <c r="C803" s="26" t="s">
        <v>552</v>
      </c>
      <c r="I803" s="146"/>
      <c r="J803" s="74"/>
      <c r="L803" s="36"/>
      <c r="M803" s="39" t="str">
        <f>$M$3</f>
        <v>Date: 10/1/2009</v>
      </c>
    </row>
    <row r="804" spans="1:13" ht="12">
      <c r="A804" s="40" t="s">
        <v>1</v>
      </c>
      <c r="B804" s="40" t="s">
        <v>1</v>
      </c>
      <c r="C804" s="40" t="s">
        <v>1</v>
      </c>
      <c r="D804" s="40" t="s">
        <v>1</v>
      </c>
      <c r="E804" s="40" t="s">
        <v>1</v>
      </c>
      <c r="F804" s="40" t="s">
        <v>1</v>
      </c>
      <c r="G804" s="40"/>
      <c r="H804" s="40"/>
      <c r="I804" s="41" t="s">
        <v>1</v>
      </c>
      <c r="J804" s="42" t="s">
        <v>1</v>
      </c>
      <c r="K804" s="40" t="s">
        <v>1</v>
      </c>
      <c r="L804" s="41" t="s">
        <v>1</v>
      </c>
      <c r="M804" s="42" t="s">
        <v>1</v>
      </c>
    </row>
    <row r="805" spans="1:13" ht="12">
      <c r="A805" s="43" t="s">
        <v>2</v>
      </c>
      <c r="E805" s="43" t="s">
        <v>2</v>
      </c>
      <c r="F805" s="44"/>
      <c r="G805" s="45"/>
      <c r="H805" s="44" t="s">
        <v>238</v>
      </c>
      <c r="I805" s="45"/>
      <c r="J805" s="46" t="s">
        <v>240</v>
      </c>
      <c r="K805" s="44"/>
      <c r="L805" s="45"/>
      <c r="M805" s="46" t="s">
        <v>247</v>
      </c>
    </row>
    <row r="806" spans="1:13" ht="12">
      <c r="A806" s="43" t="s">
        <v>4</v>
      </c>
      <c r="C806" s="47" t="s">
        <v>20</v>
      </c>
      <c r="E806" s="43" t="s">
        <v>4</v>
      </c>
      <c r="F806" s="44"/>
      <c r="G806" s="45" t="s">
        <v>21</v>
      </c>
      <c r="H806" s="46" t="s">
        <v>7</v>
      </c>
      <c r="I806" s="45" t="s">
        <v>21</v>
      </c>
      <c r="J806" s="46" t="s">
        <v>7</v>
      </c>
      <c r="K806" s="44"/>
      <c r="L806" s="45" t="s">
        <v>21</v>
      </c>
      <c r="M806" s="46" t="s">
        <v>8</v>
      </c>
    </row>
    <row r="807" spans="1:13" ht="12">
      <c r="A807" s="40" t="s">
        <v>1</v>
      </c>
      <c r="B807" s="40" t="s">
        <v>1</v>
      </c>
      <c r="C807" s="40" t="s">
        <v>1</v>
      </c>
      <c r="D807" s="40" t="s">
        <v>1</v>
      </c>
      <c r="E807" s="40" t="s">
        <v>1</v>
      </c>
      <c r="F807" s="40" t="s">
        <v>1</v>
      </c>
      <c r="G807" s="40"/>
      <c r="H807" s="40"/>
      <c r="I807" s="41" t="s">
        <v>1</v>
      </c>
      <c r="J807" s="42" t="s">
        <v>1</v>
      </c>
      <c r="K807" s="40" t="s">
        <v>1</v>
      </c>
      <c r="L807" s="41" t="s">
        <v>1</v>
      </c>
      <c r="M807" s="42" t="s">
        <v>1</v>
      </c>
    </row>
    <row r="808" spans="1:13" ht="12">
      <c r="A808" s="30">
        <v>1</v>
      </c>
      <c r="C808" s="31" t="s">
        <v>36</v>
      </c>
      <c r="E808" s="30">
        <v>1</v>
      </c>
      <c r="F808" s="32"/>
      <c r="G808" s="126">
        <v>0</v>
      </c>
      <c r="H808" s="1">
        <v>0</v>
      </c>
      <c r="I808" s="126">
        <v>0</v>
      </c>
      <c r="J808" s="1">
        <v>0</v>
      </c>
      <c r="K808" s="131"/>
      <c r="L808" s="126">
        <v>0</v>
      </c>
      <c r="M808" s="1">
        <v>0</v>
      </c>
    </row>
    <row r="809" spans="1:13" ht="12">
      <c r="A809" s="30">
        <v>2</v>
      </c>
      <c r="C809" s="31" t="s">
        <v>37</v>
      </c>
      <c r="E809" s="30">
        <v>2</v>
      </c>
      <c r="F809" s="32"/>
      <c r="G809" s="126"/>
      <c r="H809" s="1">
        <v>0</v>
      </c>
      <c r="I809" s="126"/>
      <c r="J809" s="1">
        <v>0</v>
      </c>
      <c r="K809" s="131"/>
      <c r="L809" s="126"/>
      <c r="M809" s="1">
        <v>0</v>
      </c>
    </row>
    <row r="810" spans="1:13" ht="12">
      <c r="A810" s="30">
        <v>3</v>
      </c>
      <c r="E810" s="30">
        <v>3</v>
      </c>
      <c r="F810" s="32"/>
      <c r="G810" s="126"/>
      <c r="H810" s="1"/>
      <c r="I810" s="126"/>
      <c r="J810" s="1"/>
      <c r="K810" s="131"/>
      <c r="L810" s="126"/>
      <c r="M810" s="1"/>
    </row>
    <row r="811" spans="1:13" ht="12">
      <c r="A811" s="30">
        <v>4</v>
      </c>
      <c r="C811" s="31" t="s">
        <v>23</v>
      </c>
      <c r="E811" s="30">
        <v>4</v>
      </c>
      <c r="F811" s="32"/>
      <c r="G811" s="126">
        <v>0</v>
      </c>
      <c r="H811" s="1">
        <f>SUM(H808:H810)</f>
        <v>0</v>
      </c>
      <c r="I811" s="126">
        <v>0</v>
      </c>
      <c r="J811" s="1">
        <f>SUM(J808:J810)</f>
        <v>0</v>
      </c>
      <c r="K811" s="49"/>
      <c r="L811" s="126">
        <v>0</v>
      </c>
      <c r="M811" s="1">
        <f>SUM(M808:M810)</f>
        <v>0</v>
      </c>
    </row>
    <row r="812" spans="1:13" ht="12">
      <c r="A812" s="30">
        <v>5</v>
      </c>
      <c r="E812" s="30">
        <v>5</v>
      </c>
      <c r="F812" s="32"/>
      <c r="G812" s="126"/>
      <c r="H812" s="1"/>
      <c r="I812" s="126"/>
      <c r="J812" s="1"/>
      <c r="K812" s="49"/>
      <c r="L812" s="126"/>
      <c r="M812" s="1"/>
    </row>
    <row r="813" spans="1:13" ht="12">
      <c r="A813" s="30">
        <v>6</v>
      </c>
      <c r="E813" s="30">
        <v>6</v>
      </c>
      <c r="F813" s="32"/>
      <c r="G813" s="126"/>
      <c r="H813" s="1"/>
      <c r="I813" s="126"/>
      <c r="J813" s="1"/>
      <c r="K813" s="49"/>
      <c r="L813" s="126"/>
      <c r="M813" s="1"/>
    </row>
    <row r="814" spans="1:13" ht="12">
      <c r="A814" s="30">
        <v>7</v>
      </c>
      <c r="C814" s="31" t="s">
        <v>25</v>
      </c>
      <c r="E814" s="30">
        <v>7</v>
      </c>
      <c r="F814" s="32"/>
      <c r="G814" s="126">
        <v>0</v>
      </c>
      <c r="H814" s="1">
        <v>0</v>
      </c>
      <c r="I814" s="126">
        <v>0</v>
      </c>
      <c r="J814" s="1">
        <v>0</v>
      </c>
      <c r="K814" s="131"/>
      <c r="L814" s="126">
        <v>0</v>
      </c>
      <c r="M814" s="1">
        <v>0</v>
      </c>
    </row>
    <row r="815" spans="1:13" ht="12">
      <c r="A815" s="30">
        <v>8</v>
      </c>
      <c r="C815" s="31" t="s">
        <v>26</v>
      </c>
      <c r="E815" s="30">
        <v>8</v>
      </c>
      <c r="F815" s="32"/>
      <c r="G815" s="126"/>
      <c r="H815" s="1">
        <v>0</v>
      </c>
      <c r="I815" s="126"/>
      <c r="J815" s="1">
        <v>0</v>
      </c>
      <c r="K815" s="131"/>
      <c r="L815" s="126"/>
      <c r="M815" s="1">
        <v>0</v>
      </c>
    </row>
    <row r="816" spans="1:13" ht="12">
      <c r="A816" s="30">
        <v>9</v>
      </c>
      <c r="C816" s="31" t="s">
        <v>27</v>
      </c>
      <c r="E816" s="30">
        <v>9</v>
      </c>
      <c r="F816" s="32"/>
      <c r="G816" s="126">
        <v>0</v>
      </c>
      <c r="H816" s="1">
        <f>SUM(H814:H815)</f>
        <v>0</v>
      </c>
      <c r="I816" s="126">
        <v>0</v>
      </c>
      <c r="J816" s="1">
        <f>SUM(J814:J815)</f>
        <v>0</v>
      </c>
      <c r="K816" s="49"/>
      <c r="L816" s="126">
        <v>0</v>
      </c>
      <c r="M816" s="1">
        <f>SUM(M814:M815)</f>
        <v>0</v>
      </c>
    </row>
    <row r="817" spans="1:13" ht="12">
      <c r="A817" s="30">
        <v>10</v>
      </c>
      <c r="E817" s="30">
        <v>10</v>
      </c>
      <c r="F817" s="32"/>
      <c r="G817" s="126"/>
      <c r="H817" s="1"/>
      <c r="I817" s="126"/>
      <c r="J817" s="1"/>
      <c r="K817" s="49"/>
      <c r="L817" s="126"/>
      <c r="M817" s="1"/>
    </row>
    <row r="818" spans="1:13" ht="12">
      <c r="A818" s="30">
        <v>11</v>
      </c>
      <c r="C818" s="31" t="s">
        <v>28</v>
      </c>
      <c r="E818" s="30">
        <v>11</v>
      </c>
      <c r="F818" s="32"/>
      <c r="G818" s="126">
        <v>0</v>
      </c>
      <c r="H818" s="1">
        <f>SUM(H816,H811)</f>
        <v>0</v>
      </c>
      <c r="I818" s="126">
        <v>0</v>
      </c>
      <c r="J818" s="1">
        <f>SUM(J816,J811)</f>
        <v>0</v>
      </c>
      <c r="K818" s="49"/>
      <c r="L818" s="126">
        <v>0</v>
      </c>
      <c r="M818" s="1">
        <f>SUM(M816,M811)</f>
        <v>0</v>
      </c>
    </row>
    <row r="819" spans="1:13" ht="12">
      <c r="A819" s="30">
        <v>12</v>
      </c>
      <c r="E819" s="30">
        <v>12</v>
      </c>
      <c r="F819" s="32"/>
      <c r="G819" s="126"/>
      <c r="H819" s="1"/>
      <c r="I819" s="126"/>
      <c r="J819" s="1"/>
      <c r="K819" s="49"/>
      <c r="L819" s="126"/>
      <c r="M819" s="1"/>
    </row>
    <row r="820" spans="1:13" ht="12">
      <c r="A820" s="30">
        <v>13</v>
      </c>
      <c r="C820" s="31" t="s">
        <v>38</v>
      </c>
      <c r="E820" s="30">
        <v>13</v>
      </c>
      <c r="F820" s="32"/>
      <c r="G820" s="126"/>
      <c r="H820" s="1">
        <v>0</v>
      </c>
      <c r="I820" s="126"/>
      <c r="J820" s="1">
        <v>0</v>
      </c>
      <c r="K820" s="131"/>
      <c r="L820" s="126"/>
      <c r="M820" s="1">
        <v>0</v>
      </c>
    </row>
    <row r="821" spans="1:13" ht="12">
      <c r="A821" s="30">
        <v>14</v>
      </c>
      <c r="E821" s="30">
        <v>14</v>
      </c>
      <c r="F821" s="32"/>
      <c r="G821" s="126"/>
      <c r="H821" s="1"/>
      <c r="I821" s="126"/>
      <c r="J821" s="1"/>
      <c r="K821" s="131"/>
      <c r="L821" s="126"/>
      <c r="M821" s="1"/>
    </row>
    <row r="822" spans="1:13" ht="12">
      <c r="A822" s="30">
        <v>15</v>
      </c>
      <c r="C822" s="31" t="s">
        <v>30</v>
      </c>
      <c r="E822" s="30">
        <v>15</v>
      </c>
      <c r="F822" s="32"/>
      <c r="G822" s="126"/>
      <c r="H822" s="1">
        <v>0</v>
      </c>
      <c r="I822" s="126"/>
      <c r="J822" s="1">
        <v>0</v>
      </c>
      <c r="K822" s="131"/>
      <c r="L822" s="126"/>
      <c r="M822" s="1">
        <v>0</v>
      </c>
    </row>
    <row r="823" spans="1:13" ht="12">
      <c r="A823" s="30">
        <v>16</v>
      </c>
      <c r="C823" s="31" t="s">
        <v>31</v>
      </c>
      <c r="E823" s="30">
        <v>16</v>
      </c>
      <c r="F823" s="32"/>
      <c r="G823" s="126"/>
      <c r="H823" s="1">
        <v>0</v>
      </c>
      <c r="I823" s="126"/>
      <c r="J823" s="1">
        <v>0</v>
      </c>
      <c r="K823" s="131"/>
      <c r="L823" s="126"/>
      <c r="M823" s="1">
        <f>303820-303820</f>
        <v>0</v>
      </c>
    </row>
    <row r="824" spans="1:13" ht="12">
      <c r="A824" s="30">
        <v>17</v>
      </c>
      <c r="C824" s="31" t="s">
        <v>32</v>
      </c>
      <c r="E824" s="30">
        <v>17</v>
      </c>
      <c r="F824" s="32"/>
      <c r="G824" s="126"/>
      <c r="H824" s="1">
        <v>0</v>
      </c>
      <c r="I824" s="126"/>
      <c r="J824" s="1">
        <v>0</v>
      </c>
      <c r="K824" s="131"/>
      <c r="L824" s="126"/>
      <c r="M824" s="1">
        <v>0</v>
      </c>
    </row>
    <row r="825" spans="1:13" ht="12">
      <c r="A825" s="30">
        <v>18</v>
      </c>
      <c r="C825" s="31"/>
      <c r="E825" s="30">
        <v>18</v>
      </c>
      <c r="F825" s="32"/>
      <c r="G825" s="126"/>
      <c r="H825" s="1"/>
      <c r="I825" s="126"/>
      <c r="J825" s="1"/>
      <c r="K825" s="131"/>
      <c r="L825" s="126"/>
      <c r="M825" s="1"/>
    </row>
    <row r="826" spans="1:13" ht="12">
      <c r="A826" s="30">
        <v>19</v>
      </c>
      <c r="C826" s="31"/>
      <c r="E826" s="30">
        <v>19</v>
      </c>
      <c r="F826" s="32"/>
      <c r="G826" s="126"/>
      <c r="H826" s="1"/>
      <c r="I826" s="126"/>
      <c r="J826" s="1"/>
      <c r="K826" s="131"/>
      <c r="L826" s="126"/>
      <c r="M826" s="1"/>
    </row>
    <row r="827" spans="1:13" ht="12">
      <c r="A827" s="30">
        <v>20</v>
      </c>
      <c r="C827" s="31"/>
      <c r="E827" s="30">
        <v>20</v>
      </c>
      <c r="F827" s="32"/>
      <c r="G827" s="126"/>
      <c r="H827" s="1"/>
      <c r="I827" s="126"/>
      <c r="J827" s="1"/>
      <c r="K827" s="131"/>
      <c r="L827" s="126"/>
      <c r="M827" s="1"/>
    </row>
    <row r="828" spans="1:13" ht="12">
      <c r="A828" s="30">
        <v>21</v>
      </c>
      <c r="C828" s="31"/>
      <c r="E828" s="30">
        <v>21</v>
      </c>
      <c r="F828" s="32"/>
      <c r="G828" s="126"/>
      <c r="H828" s="1"/>
      <c r="I828" s="126"/>
      <c r="J828" s="1"/>
      <c r="K828" s="131"/>
      <c r="L828" s="126"/>
      <c r="M828" s="1"/>
    </row>
    <row r="829" spans="1:13" ht="12">
      <c r="A829" s="30">
        <v>22</v>
      </c>
      <c r="C829" s="31"/>
      <c r="E829" s="30">
        <v>22</v>
      </c>
      <c r="F829" s="32"/>
      <c r="G829" s="126"/>
      <c r="H829" s="1"/>
      <c r="I829" s="126"/>
      <c r="J829" s="1"/>
      <c r="K829" s="131"/>
      <c r="L829" s="126"/>
      <c r="M829" s="1"/>
    </row>
    <row r="830" spans="1:13" ht="12">
      <c r="A830" s="30">
        <v>23</v>
      </c>
      <c r="C830" s="31"/>
      <c r="E830" s="30">
        <v>23</v>
      </c>
      <c r="F830" s="32"/>
      <c r="G830" s="126"/>
      <c r="H830" s="1"/>
      <c r="I830" s="126"/>
      <c r="J830" s="1"/>
      <c r="K830" s="131"/>
      <c r="L830" s="126"/>
      <c r="M830" s="1"/>
    </row>
    <row r="831" spans="1:13" ht="12">
      <c r="A831" s="30">
        <v>24</v>
      </c>
      <c r="C831" s="31"/>
      <c r="E831" s="30">
        <v>24</v>
      </c>
      <c r="F831" s="32"/>
      <c r="G831" s="90"/>
      <c r="H831" s="119"/>
      <c r="I831" s="90"/>
      <c r="J831" s="119"/>
      <c r="K831" s="32"/>
      <c r="L831" s="90"/>
      <c r="M831" s="119"/>
    </row>
    <row r="832" spans="1:13" ht="12">
      <c r="A832" s="40" t="s">
        <v>1</v>
      </c>
      <c r="B832" s="40" t="s">
        <v>1</v>
      </c>
      <c r="C832" s="40" t="s">
        <v>1</v>
      </c>
      <c r="D832" s="40" t="s">
        <v>1</v>
      </c>
      <c r="E832" s="40" t="s">
        <v>1</v>
      </c>
      <c r="F832" s="40" t="s">
        <v>1</v>
      </c>
      <c r="G832" s="40"/>
      <c r="H832" s="40"/>
      <c r="I832" s="41" t="s">
        <v>1</v>
      </c>
      <c r="J832" s="42" t="s">
        <v>1</v>
      </c>
      <c r="K832" s="40" t="s">
        <v>1</v>
      </c>
      <c r="L832" s="41" t="s">
        <v>1</v>
      </c>
      <c r="M832" s="42" t="s">
        <v>1</v>
      </c>
    </row>
    <row r="833" spans="1:13" ht="15.75" customHeight="1">
      <c r="A833" s="30">
        <v>25</v>
      </c>
      <c r="C833" s="31" t="s">
        <v>230</v>
      </c>
      <c r="E833" s="30">
        <v>25</v>
      </c>
      <c r="G833" s="129">
        <f>SUM(G818:G831)</f>
        <v>0</v>
      </c>
      <c r="H833" s="121">
        <f>SUM(H818:H831)</f>
        <v>0</v>
      </c>
      <c r="I833" s="129">
        <f>SUM(I818:I831)</f>
        <v>0</v>
      </c>
      <c r="J833" s="121">
        <f>SUM(J818:J831)</f>
        <v>0</v>
      </c>
      <c r="K833" s="44"/>
      <c r="L833" s="129">
        <f>SUM(L818:L831)</f>
        <v>0</v>
      </c>
      <c r="M833" s="121">
        <f>SUM(M818:M831)</f>
        <v>0</v>
      </c>
    </row>
    <row r="834" spans="5:13" ht="12">
      <c r="E834" s="69"/>
      <c r="F834" s="109" t="s">
        <v>1</v>
      </c>
      <c r="G834" s="109"/>
      <c r="H834" s="109"/>
      <c r="I834" s="41"/>
      <c r="J834" s="42"/>
      <c r="K834" s="109"/>
      <c r="L834" s="41"/>
      <c r="M834" s="42"/>
    </row>
    <row r="836" spans="1:13" ht="12">
      <c r="A836" s="31"/>
      <c r="J836" s="74"/>
      <c r="M836" s="74"/>
    </row>
    <row r="837" spans="1:13" s="65" customFormat="1" ht="12">
      <c r="A837" s="38" t="str">
        <f>$A$35</f>
        <v>Institution No.:  GFD</v>
      </c>
      <c r="E837" s="70"/>
      <c r="I837" s="71"/>
      <c r="J837" s="72"/>
      <c r="L837" s="71"/>
      <c r="M837" s="37" t="s">
        <v>56</v>
      </c>
    </row>
    <row r="838" spans="1:13" s="65" customFormat="1" ht="12">
      <c r="A838" s="416" t="s">
        <v>57</v>
      </c>
      <c r="B838" s="416"/>
      <c r="C838" s="416"/>
      <c r="D838" s="416"/>
      <c r="E838" s="416"/>
      <c r="F838" s="416"/>
      <c r="G838" s="416"/>
      <c r="H838" s="416"/>
      <c r="I838" s="416"/>
      <c r="J838" s="416"/>
      <c r="K838" s="416"/>
      <c r="L838" s="416"/>
      <c r="M838" s="416"/>
    </row>
    <row r="839" spans="1:13" ht="12">
      <c r="A839" s="38" t="s">
        <v>551</v>
      </c>
      <c r="C839" s="26" t="s">
        <v>552</v>
      </c>
      <c r="J839" s="148"/>
      <c r="L839" s="36"/>
      <c r="M839" s="39" t="str">
        <f>$M$3</f>
        <v>Date: 10/1/2009</v>
      </c>
    </row>
    <row r="840" spans="1:13" ht="12">
      <c r="A840" s="40" t="s">
        <v>1</v>
      </c>
      <c r="B840" s="40" t="s">
        <v>1</v>
      </c>
      <c r="C840" s="40" t="s">
        <v>1</v>
      </c>
      <c r="D840" s="40" t="s">
        <v>1</v>
      </c>
      <c r="E840" s="40" t="s">
        <v>1</v>
      </c>
      <c r="F840" s="40" t="s">
        <v>1</v>
      </c>
      <c r="G840" s="40"/>
      <c r="H840" s="40"/>
      <c r="I840" s="41" t="s">
        <v>1</v>
      </c>
      <c r="J840" s="42" t="s">
        <v>1</v>
      </c>
      <c r="K840" s="40" t="s">
        <v>1</v>
      </c>
      <c r="L840" s="41" t="s">
        <v>1</v>
      </c>
      <c r="M840" s="42" t="s">
        <v>1</v>
      </c>
    </row>
    <row r="841" spans="1:13" ht="12">
      <c r="A841" s="43" t="s">
        <v>2</v>
      </c>
      <c r="E841" s="43" t="s">
        <v>2</v>
      </c>
      <c r="F841" s="44"/>
      <c r="G841" s="45"/>
      <c r="H841" s="46" t="s">
        <v>240</v>
      </c>
      <c r="I841" s="45"/>
      <c r="J841" s="46" t="s">
        <v>247</v>
      </c>
      <c r="K841" s="46"/>
      <c r="L841" s="296"/>
      <c r="M841" s="44" t="s">
        <v>576</v>
      </c>
    </row>
    <row r="842" spans="1:13" ht="12">
      <c r="A842" s="43" t="s">
        <v>4</v>
      </c>
      <c r="C842" s="47" t="s">
        <v>20</v>
      </c>
      <c r="E842" s="43" t="s">
        <v>4</v>
      </c>
      <c r="F842" s="44"/>
      <c r="G842" s="45"/>
      <c r="H842" s="46" t="s">
        <v>7</v>
      </c>
      <c r="I842" s="45"/>
      <c r="J842" s="46" t="s">
        <v>7</v>
      </c>
      <c r="K842" s="46"/>
      <c r="L842" s="296"/>
      <c r="M842" s="44" t="s">
        <v>8</v>
      </c>
    </row>
    <row r="843" spans="1:13" ht="12">
      <c r="A843" s="40" t="s">
        <v>1</v>
      </c>
      <c r="B843" s="40" t="s">
        <v>1</v>
      </c>
      <c r="C843" s="40" t="s">
        <v>1</v>
      </c>
      <c r="D843" s="40" t="s">
        <v>1</v>
      </c>
      <c r="E843" s="40" t="s">
        <v>1</v>
      </c>
      <c r="F843" s="40" t="s">
        <v>1</v>
      </c>
      <c r="G843" s="41" t="s">
        <v>1</v>
      </c>
      <c r="H843" s="42" t="s">
        <v>1</v>
      </c>
      <c r="I843" s="41" t="s">
        <v>1</v>
      </c>
      <c r="J843" s="42" t="s">
        <v>1</v>
      </c>
      <c r="K843" s="42" t="s">
        <v>1</v>
      </c>
      <c r="L843" s="297" t="s">
        <v>1</v>
      </c>
      <c r="M843" s="42" t="s">
        <v>1</v>
      </c>
    </row>
    <row r="844" spans="1:13" ht="12">
      <c r="A844" s="114">
        <v>1</v>
      </c>
      <c r="C844" s="26" t="s">
        <v>58</v>
      </c>
      <c r="E844" s="114">
        <v>1</v>
      </c>
      <c r="F844" s="32"/>
      <c r="G844" s="1"/>
      <c r="H844" s="1">
        <f>24173+2890+1406438+497585-1406438+1540385-496632+543930</f>
        <v>2112331</v>
      </c>
      <c r="I844" s="1"/>
      <c r="J844" s="1">
        <f>22061+3928411</f>
        <v>3950472</v>
      </c>
      <c r="K844" s="1"/>
      <c r="L844" s="296"/>
      <c r="M844" s="256">
        <f>3750392+500000</f>
        <v>4250392</v>
      </c>
    </row>
    <row r="845" spans="1:13" ht="12">
      <c r="A845" s="114">
        <v>2</v>
      </c>
      <c r="E845" s="114">
        <v>2</v>
      </c>
      <c r="F845" s="32"/>
      <c r="G845" s="1"/>
      <c r="H845" s="1"/>
      <c r="I845" s="1"/>
      <c r="J845" s="1">
        <v>0</v>
      </c>
      <c r="K845" s="1"/>
      <c r="L845" s="296"/>
      <c r="M845" s="256"/>
    </row>
    <row r="846" spans="1:13" ht="12">
      <c r="A846" s="114">
        <v>3</v>
      </c>
      <c r="C846" s="32"/>
      <c r="E846" s="114">
        <v>3</v>
      </c>
      <c r="F846" s="32"/>
      <c r="G846" s="1"/>
      <c r="H846" s="1">
        <v>0</v>
      </c>
      <c r="I846" s="1"/>
      <c r="J846" s="1">
        <v>0</v>
      </c>
      <c r="K846" s="1"/>
      <c r="L846" s="296"/>
      <c r="M846" s="256"/>
    </row>
    <row r="847" spans="1:13" ht="12">
      <c r="A847" s="114">
        <v>4</v>
      </c>
      <c r="C847" s="32"/>
      <c r="E847" s="114">
        <v>4</v>
      </c>
      <c r="F847" s="32"/>
      <c r="G847" s="1"/>
      <c r="H847" s="1">
        <v>0</v>
      </c>
      <c r="I847" s="1"/>
      <c r="J847" s="1">
        <v>0</v>
      </c>
      <c r="K847" s="1"/>
      <c r="L847" s="296"/>
      <c r="M847" s="256"/>
    </row>
    <row r="848" spans="1:13" ht="12">
      <c r="A848" s="114">
        <v>5</v>
      </c>
      <c r="C848" s="31"/>
      <c r="E848" s="114">
        <v>5</v>
      </c>
      <c r="F848" s="32"/>
      <c r="G848" s="1"/>
      <c r="H848" s="1">
        <v>0</v>
      </c>
      <c r="I848" s="1"/>
      <c r="J848" s="1">
        <v>0</v>
      </c>
      <c r="K848" s="1"/>
      <c r="L848" s="296"/>
      <c r="M848" s="256"/>
    </row>
    <row r="849" spans="1:13" ht="12">
      <c r="A849" s="114">
        <v>6</v>
      </c>
      <c r="C849" s="32"/>
      <c r="E849" s="114">
        <v>6</v>
      </c>
      <c r="F849" s="32"/>
      <c r="G849" s="1"/>
      <c r="H849" s="1">
        <v>0</v>
      </c>
      <c r="I849" s="1"/>
      <c r="J849" s="1">
        <v>0</v>
      </c>
      <c r="K849" s="1"/>
      <c r="L849" s="296"/>
      <c r="M849" s="256"/>
    </row>
    <row r="850" spans="1:13" ht="12">
      <c r="A850" s="114">
        <v>7</v>
      </c>
      <c r="C850" s="32"/>
      <c r="E850" s="114">
        <v>7</v>
      </c>
      <c r="F850" s="32"/>
      <c r="G850" s="1"/>
      <c r="H850" s="1">
        <v>0</v>
      </c>
      <c r="I850" s="1"/>
      <c r="J850" s="1">
        <v>0</v>
      </c>
      <c r="K850" s="1"/>
      <c r="L850" s="296"/>
      <c r="M850" s="256"/>
    </row>
    <row r="851" spans="1:13" ht="12">
      <c r="A851" s="114">
        <v>8</v>
      </c>
      <c r="E851" s="114">
        <v>8</v>
      </c>
      <c r="F851" s="32"/>
      <c r="G851" s="1"/>
      <c r="H851" s="1">
        <v>0</v>
      </c>
      <c r="I851" s="1"/>
      <c r="J851" s="1">
        <v>0</v>
      </c>
      <c r="K851" s="1"/>
      <c r="L851" s="296"/>
      <c r="M851" s="256"/>
    </row>
    <row r="852" spans="1:13" ht="12">
      <c r="A852" s="114">
        <v>9</v>
      </c>
      <c r="E852" s="114">
        <v>9</v>
      </c>
      <c r="F852" s="32"/>
      <c r="G852" s="1"/>
      <c r="H852" s="1">
        <v>0</v>
      </c>
      <c r="I852" s="1"/>
      <c r="J852" s="1">
        <v>0</v>
      </c>
      <c r="K852" s="1"/>
      <c r="L852" s="296"/>
      <c r="M852" s="256"/>
    </row>
    <row r="853" spans="1:13" ht="12">
      <c r="A853" s="117"/>
      <c r="E853" s="117"/>
      <c r="F853" s="109" t="s">
        <v>1</v>
      </c>
      <c r="G853" s="137" t="s">
        <v>1</v>
      </c>
      <c r="H853" s="137"/>
      <c r="I853" s="137"/>
      <c r="J853" s="137"/>
      <c r="K853" s="137"/>
      <c r="L853" s="297"/>
      <c r="M853" s="176"/>
    </row>
    <row r="854" spans="1:13" ht="12">
      <c r="A854" s="114">
        <v>10</v>
      </c>
      <c r="C854" s="26" t="s">
        <v>86</v>
      </c>
      <c r="E854" s="114">
        <v>10</v>
      </c>
      <c r="G854" s="122"/>
      <c r="H854" s="1">
        <f>SUM(H844:H852)</f>
        <v>2112331</v>
      </c>
      <c r="I854" s="122"/>
      <c r="J854" s="1">
        <f>SUM(J844:J852)</f>
        <v>3950472</v>
      </c>
      <c r="K854" s="1"/>
      <c r="L854" s="296"/>
      <c r="M854" s="298">
        <f>SUM(M844:M852)</f>
        <v>4250392</v>
      </c>
    </row>
    <row r="855" spans="1:13" ht="12">
      <c r="A855" s="114"/>
      <c r="E855" s="114"/>
      <c r="F855" s="109" t="s">
        <v>1</v>
      </c>
      <c r="G855" s="137" t="s">
        <v>1</v>
      </c>
      <c r="H855" s="137"/>
      <c r="I855" s="137"/>
      <c r="J855" s="137"/>
      <c r="K855" s="137"/>
      <c r="L855" s="297"/>
      <c r="M855" s="176"/>
    </row>
    <row r="856" spans="1:13" ht="12">
      <c r="A856" s="114">
        <v>11</v>
      </c>
      <c r="C856" s="32"/>
      <c r="E856" s="114">
        <v>11</v>
      </c>
      <c r="F856" s="32"/>
      <c r="G856" s="1"/>
      <c r="H856" s="1"/>
      <c r="I856" s="1"/>
      <c r="J856" s="1"/>
      <c r="K856" s="1"/>
      <c r="L856" s="296"/>
      <c r="M856" s="256"/>
    </row>
    <row r="857" spans="1:13" ht="12">
      <c r="A857" s="114">
        <v>12</v>
      </c>
      <c r="C857" s="31" t="s">
        <v>157</v>
      </c>
      <c r="E857" s="114">
        <v>12</v>
      </c>
      <c r="F857" s="32"/>
      <c r="G857" s="1"/>
      <c r="H857" s="1">
        <f>12104700-1104748-5157282+34935+568714-39721+2192+123404+619950+30794+4239105+4891+511023+39133+174504-4137203+4531222-396691+434471+173</f>
        <v>12583566</v>
      </c>
      <c r="I857" s="1"/>
      <c r="J857" s="107">
        <f>1645661+488647+231932+57983+1000000+1309394+500000+140229</f>
        <v>5373846</v>
      </c>
      <c r="K857" s="107"/>
      <c r="L857" s="296"/>
      <c r="M857" s="256">
        <f>-5910243+340812+883517+394550+131005+114229+28557+724461+209827+1300000+7500000+1000000+1000000+1300000+200000-332632-2</f>
        <v>8884081</v>
      </c>
    </row>
    <row r="858" spans="1:13" ht="12">
      <c r="A858" s="114">
        <v>13</v>
      </c>
      <c r="C858" s="32" t="s">
        <v>499</v>
      </c>
      <c r="E858" s="114">
        <v>13</v>
      </c>
      <c r="F858" s="32"/>
      <c r="G858" s="1"/>
      <c r="H858" s="1">
        <f>1924924+7175+226937+199626+11216</f>
        <v>2369878</v>
      </c>
      <c r="I858" s="1"/>
      <c r="J858" s="1">
        <v>2684885</v>
      </c>
      <c r="K858" s="1"/>
      <c r="L858" s="296"/>
      <c r="M858" s="256">
        <f>1817040+71000+67104</f>
        <v>1955144</v>
      </c>
    </row>
    <row r="859" spans="1:13" ht="12">
      <c r="A859" s="114">
        <v>14</v>
      </c>
      <c r="E859" s="114">
        <v>14</v>
      </c>
      <c r="F859" s="32"/>
      <c r="G859" s="1"/>
      <c r="H859" s="1"/>
      <c r="I859" s="1"/>
      <c r="J859" s="1">
        <v>0</v>
      </c>
      <c r="K859" s="1"/>
      <c r="L859" s="296"/>
      <c r="M859" s="256"/>
    </row>
    <row r="860" spans="1:13" ht="12">
      <c r="A860" s="114">
        <v>15</v>
      </c>
      <c r="E860" s="114">
        <v>15</v>
      </c>
      <c r="F860" s="32"/>
      <c r="G860" s="1"/>
      <c r="H860" s="1"/>
      <c r="I860" s="1"/>
      <c r="J860" s="1">
        <v>0</v>
      </c>
      <c r="K860" s="1"/>
      <c r="L860" s="296"/>
      <c r="M860" s="256"/>
    </row>
    <row r="861" spans="1:13" ht="12">
      <c r="A861" s="114">
        <v>16</v>
      </c>
      <c r="E861" s="114">
        <v>16</v>
      </c>
      <c r="F861" s="32"/>
      <c r="G861" s="1"/>
      <c r="H861" s="1">
        <v>0</v>
      </c>
      <c r="I861" s="1"/>
      <c r="J861" s="1">
        <v>0</v>
      </c>
      <c r="K861" s="1"/>
      <c r="L861" s="296"/>
      <c r="M861" s="256"/>
    </row>
    <row r="862" spans="1:13" ht="12">
      <c r="A862" s="114">
        <v>17</v>
      </c>
      <c r="C862" s="115"/>
      <c r="D862" s="116"/>
      <c r="E862" s="114">
        <v>17</v>
      </c>
      <c r="F862" s="32"/>
      <c r="G862" s="1"/>
      <c r="H862" s="1">
        <v>0</v>
      </c>
      <c r="I862" s="1"/>
      <c r="J862" s="1">
        <v>0</v>
      </c>
      <c r="K862" s="1"/>
      <c r="L862" s="296"/>
      <c r="M862" s="256"/>
    </row>
    <row r="863" spans="1:13" ht="12">
      <c r="A863" s="114">
        <v>18</v>
      </c>
      <c r="C863" s="116"/>
      <c r="D863" s="116"/>
      <c r="E863" s="114">
        <v>18</v>
      </c>
      <c r="F863" s="32"/>
      <c r="G863" s="1"/>
      <c r="H863" s="1">
        <v>0</v>
      </c>
      <c r="I863" s="1"/>
      <c r="J863" s="1">
        <v>0</v>
      </c>
      <c r="K863" s="1"/>
      <c r="L863" s="296"/>
      <c r="M863" s="256"/>
    </row>
    <row r="864" spans="1:13" ht="12">
      <c r="A864" s="114"/>
      <c r="C864" s="149"/>
      <c r="D864" s="116"/>
      <c r="E864" s="114"/>
      <c r="F864" s="109" t="s">
        <v>1</v>
      </c>
      <c r="G864" s="41" t="s">
        <v>1</v>
      </c>
      <c r="H864" s="42"/>
      <c r="I864" s="41"/>
      <c r="J864" s="42"/>
      <c r="K864" s="42"/>
      <c r="L864" s="297"/>
      <c r="M864" s="176"/>
    </row>
    <row r="865" spans="1:13" ht="12">
      <c r="A865" s="114">
        <v>19</v>
      </c>
      <c r="C865" s="26" t="s">
        <v>158</v>
      </c>
      <c r="D865" s="116"/>
      <c r="E865" s="114">
        <v>19</v>
      </c>
      <c r="G865" s="121"/>
      <c r="H865" s="121">
        <f>SUM(H856:H863)</f>
        <v>14953444</v>
      </c>
      <c r="I865" s="1"/>
      <c r="J865" s="121">
        <f>SUM(J856:J863)</f>
        <v>8058731</v>
      </c>
      <c r="K865" s="121"/>
      <c r="L865" s="296"/>
      <c r="M865" s="286">
        <f>SUM(M856:M863)</f>
        <v>10839225</v>
      </c>
    </row>
    <row r="866" spans="1:13" ht="12">
      <c r="A866" s="114"/>
      <c r="C866" s="149"/>
      <c r="D866" s="116"/>
      <c r="E866" s="114"/>
      <c r="F866" s="109" t="s">
        <v>1</v>
      </c>
      <c r="G866" s="41" t="s">
        <v>1</v>
      </c>
      <c r="H866" s="42"/>
      <c r="I866" s="41"/>
      <c r="J866" s="42"/>
      <c r="K866" s="42"/>
      <c r="L866" s="297"/>
      <c r="M866" s="176"/>
    </row>
    <row r="867" spans="1:13" ht="12">
      <c r="A867" s="114"/>
      <c r="C867" s="116"/>
      <c r="D867" s="116"/>
      <c r="E867" s="114"/>
      <c r="G867" s="27"/>
      <c r="H867" s="34"/>
      <c r="K867" s="28"/>
      <c r="L867" s="296"/>
      <c r="M867" s="256"/>
    </row>
    <row r="868" spans="1:13" ht="15.75" customHeight="1">
      <c r="A868" s="114">
        <v>20</v>
      </c>
      <c r="C868" s="31" t="s">
        <v>231</v>
      </c>
      <c r="E868" s="114">
        <v>20</v>
      </c>
      <c r="G868" s="122"/>
      <c r="H868" s="121">
        <f>SUM(H854,H865)</f>
        <v>17065775</v>
      </c>
      <c r="I868" s="122"/>
      <c r="J868" s="121">
        <f>SUM(J854,J865)</f>
        <v>12009203</v>
      </c>
      <c r="K868" s="121"/>
      <c r="L868" s="296"/>
      <c r="M868" s="121">
        <f>SUM(M854,M865)</f>
        <v>15089617</v>
      </c>
    </row>
    <row r="869" spans="3:13" ht="15.75" customHeight="1">
      <c r="C869" s="52" t="s">
        <v>87</v>
      </c>
      <c r="E869" s="69"/>
      <c r="F869" s="109" t="s">
        <v>1</v>
      </c>
      <c r="G869" s="41" t="s">
        <v>1</v>
      </c>
      <c r="H869" s="42"/>
      <c r="I869" s="41"/>
      <c r="J869" s="42"/>
      <c r="K869" s="42"/>
      <c r="L869" s="297"/>
      <c r="M869" s="137"/>
    </row>
    <row r="870" ht="12">
      <c r="C870" s="31" t="s">
        <v>0</v>
      </c>
    </row>
    <row r="871" ht="12">
      <c r="D871" s="44"/>
    </row>
    <row r="872" spans="1:13" s="65" customFormat="1" ht="12">
      <c r="A872" s="38" t="str">
        <f>$A$35</f>
        <v>Institution No.:  GFD</v>
      </c>
      <c r="D872" s="147"/>
      <c r="F872" s="70"/>
      <c r="G872" s="70"/>
      <c r="H872" s="70"/>
      <c r="I872" s="71"/>
      <c r="J872" s="72"/>
      <c r="L872" s="150"/>
      <c r="M872" s="112" t="s">
        <v>98</v>
      </c>
    </row>
    <row r="873" spans="1:13" s="65" customFormat="1" ht="12.75" customHeight="1">
      <c r="A873" s="399" t="s">
        <v>156</v>
      </c>
      <c r="B873" s="399"/>
      <c r="C873" s="399"/>
      <c r="D873" s="399"/>
      <c r="E873" s="399"/>
      <c r="F873" s="399"/>
      <c r="G873" s="399"/>
      <c r="H873" s="399"/>
      <c r="I873" s="399"/>
      <c r="J873" s="399"/>
      <c r="K873" s="399"/>
      <c r="L873" s="399"/>
      <c r="M873" s="399"/>
    </row>
    <row r="874" spans="1:13" ht="12">
      <c r="A874" s="38" t="str">
        <f>$A$41</f>
        <v>-</v>
      </c>
      <c r="D874" s="418"/>
      <c r="E874" s="418"/>
      <c r="F874" s="418"/>
      <c r="G874" s="151"/>
      <c r="H874" s="151"/>
      <c r="M874" s="39" t="str">
        <f>$M$3</f>
        <v>Date: 10/1/2009</v>
      </c>
    </row>
    <row r="875" spans="1:13" ht="12">
      <c r="A875" s="40" t="s">
        <v>1</v>
      </c>
      <c r="B875" s="40" t="s">
        <v>1</v>
      </c>
      <c r="C875" s="40" t="s">
        <v>1</v>
      </c>
      <c r="D875" s="40" t="s">
        <v>1</v>
      </c>
      <c r="E875" s="40" t="s">
        <v>1</v>
      </c>
      <c r="F875" s="40" t="s">
        <v>1</v>
      </c>
      <c r="G875" s="40"/>
      <c r="H875" s="40"/>
      <c r="I875" s="41" t="s">
        <v>1</v>
      </c>
      <c r="J875" s="42" t="s">
        <v>1</v>
      </c>
      <c r="K875" s="40" t="s">
        <v>1</v>
      </c>
      <c r="L875" s="41" t="s">
        <v>1</v>
      </c>
      <c r="M875" s="42" t="s">
        <v>1</v>
      </c>
    </row>
    <row r="876" spans="1:13" ht="12">
      <c r="A876" s="43" t="s">
        <v>2</v>
      </c>
      <c r="D876" s="44"/>
      <c r="E876" s="43" t="s">
        <v>2</v>
      </c>
      <c r="F876" s="44"/>
      <c r="G876" s="405" t="s">
        <v>595</v>
      </c>
      <c r="H876" s="405"/>
      <c r="I876" s="405" t="s">
        <v>596</v>
      </c>
      <c r="J876" s="405"/>
      <c r="K876" s="44"/>
      <c r="L876" s="405" t="s">
        <v>597</v>
      </c>
      <c r="M876" s="405"/>
    </row>
    <row r="877" spans="1:13" ht="12">
      <c r="A877" s="43" t="s">
        <v>4</v>
      </c>
      <c r="C877" s="31" t="s">
        <v>99</v>
      </c>
      <c r="D877" s="44" t="s">
        <v>100</v>
      </c>
      <c r="E877" s="43" t="s">
        <v>4</v>
      </c>
      <c r="F877" s="44"/>
      <c r="G877" s="45" t="s">
        <v>91</v>
      </c>
      <c r="H877" s="46" t="s">
        <v>92</v>
      </c>
      <c r="I877" s="45" t="s">
        <v>91</v>
      </c>
      <c r="J877" s="46" t="s">
        <v>92</v>
      </c>
      <c r="K877" s="44"/>
      <c r="L877" s="45" t="s">
        <v>91</v>
      </c>
      <c r="M877" s="46" t="s">
        <v>92</v>
      </c>
    </row>
    <row r="878" spans="3:13" ht="12">
      <c r="C878" s="26" t="s">
        <v>101</v>
      </c>
      <c r="D878" s="44" t="s">
        <v>102</v>
      </c>
      <c r="E878" s="44"/>
      <c r="F878" s="44"/>
      <c r="G878" s="45" t="s">
        <v>93</v>
      </c>
      <c r="H878" s="46"/>
      <c r="I878" s="45" t="s">
        <v>93</v>
      </c>
      <c r="J878" s="46"/>
      <c r="K878" s="44"/>
      <c r="L878" s="45" t="s">
        <v>93</v>
      </c>
      <c r="M878" s="46"/>
    </row>
    <row r="879" spans="1:13" ht="12">
      <c r="A879" s="40" t="s">
        <v>1</v>
      </c>
      <c r="B879" s="40" t="s">
        <v>1</v>
      </c>
      <c r="C879" s="40" t="s">
        <v>1</v>
      </c>
      <c r="D879" s="40" t="s">
        <v>1</v>
      </c>
      <c r="E879" s="40" t="s">
        <v>1</v>
      </c>
      <c r="F879" s="133" t="s">
        <v>195</v>
      </c>
      <c r="I879" s="41" t="s">
        <v>1</v>
      </c>
      <c r="J879" s="42" t="s">
        <v>1</v>
      </c>
      <c r="K879" s="40" t="s">
        <v>1</v>
      </c>
      <c r="L879" s="41" t="s">
        <v>1</v>
      </c>
      <c r="M879" s="42" t="s">
        <v>1</v>
      </c>
    </row>
    <row r="880" spans="1:13" ht="12">
      <c r="A880" s="40"/>
      <c r="B880" s="40"/>
      <c r="D880" s="47"/>
      <c r="E880" s="40"/>
      <c r="I880" s="41"/>
      <c r="J880" s="42"/>
      <c r="K880" s="109"/>
      <c r="L880" s="41"/>
      <c r="M880" s="42"/>
    </row>
    <row r="881" spans="1:13" ht="12">
      <c r="A881" s="30">
        <v>1</v>
      </c>
      <c r="C881" s="152" t="s">
        <v>95</v>
      </c>
      <c r="D881" s="153"/>
      <c r="E881" s="30">
        <v>1</v>
      </c>
      <c r="F881" s="154"/>
      <c r="G881" s="123"/>
      <c r="H881" s="123"/>
      <c r="I881" s="123"/>
      <c r="J881" s="123"/>
      <c r="K881" s="123"/>
      <c r="L881" s="123"/>
      <c r="M881" s="123"/>
    </row>
    <row r="882" spans="1:13" ht="12">
      <c r="A882" s="30">
        <f aca="true" t="shared" si="13" ref="A882:A904">(A881+1)</f>
        <v>2</v>
      </c>
      <c r="C882" s="152" t="s">
        <v>95</v>
      </c>
      <c r="D882" s="153"/>
      <c r="E882" s="30">
        <v>1</v>
      </c>
      <c r="F882" s="154"/>
      <c r="G882" s="123"/>
      <c r="H882" s="123"/>
      <c r="I882" s="123"/>
      <c r="J882" s="123"/>
      <c r="L882" s="123"/>
      <c r="M882" s="123"/>
    </row>
    <row r="883" spans="1:13" ht="24">
      <c r="A883" s="30">
        <f t="shared" si="13"/>
        <v>3</v>
      </c>
      <c r="C883" s="278" t="s">
        <v>556</v>
      </c>
      <c r="D883" s="153"/>
      <c r="E883" s="30">
        <f aca="true" t="shared" si="14" ref="E883:E904">(E882+1)</f>
        <v>2</v>
      </c>
      <c r="F883" s="154"/>
      <c r="G883" s="123"/>
      <c r="H883" s="123">
        <v>36500000</v>
      </c>
      <c r="I883" s="123"/>
      <c r="J883" s="123">
        <v>39550000</v>
      </c>
      <c r="L883" s="123"/>
      <c r="M883" s="123"/>
    </row>
    <row r="884" spans="1:13" ht="12">
      <c r="A884" s="30">
        <f t="shared" si="13"/>
        <v>4</v>
      </c>
      <c r="C884" s="278" t="s">
        <v>557</v>
      </c>
      <c r="D884" s="153"/>
      <c r="E884" s="30">
        <f t="shared" si="14"/>
        <v>3</v>
      </c>
      <c r="F884" s="154"/>
      <c r="G884" s="123"/>
      <c r="H884" s="123"/>
      <c r="I884" s="123">
        <v>63619180</v>
      </c>
      <c r="J884" s="123">
        <v>22227526</v>
      </c>
      <c r="L884" s="123"/>
      <c r="M884" s="123"/>
    </row>
    <row r="885" spans="1:13" ht="12">
      <c r="A885" s="30">
        <f t="shared" si="13"/>
        <v>5</v>
      </c>
      <c r="C885" s="279" t="s">
        <v>565</v>
      </c>
      <c r="E885" s="30">
        <f t="shared" si="14"/>
        <v>4</v>
      </c>
      <c r="F885" s="154"/>
      <c r="G885" s="123"/>
      <c r="H885" s="123">
        <v>17100000</v>
      </c>
      <c r="K885" s="123"/>
      <c r="L885" s="123"/>
      <c r="M885" s="123"/>
    </row>
    <row r="886" spans="1:13" ht="12">
      <c r="A886" s="30">
        <f t="shared" si="13"/>
        <v>6</v>
      </c>
      <c r="C886" s="116"/>
      <c r="D886" s="155"/>
      <c r="E886" s="30">
        <f t="shared" si="14"/>
        <v>5</v>
      </c>
      <c r="F886" s="154"/>
      <c r="G886" s="123"/>
      <c r="H886" s="123"/>
      <c r="I886" s="123"/>
      <c r="J886" s="123"/>
      <c r="K886" s="123"/>
      <c r="L886" s="123"/>
      <c r="M886" s="123"/>
    </row>
    <row r="887" spans="1:13" ht="12">
      <c r="A887" s="30">
        <f t="shared" si="13"/>
        <v>7</v>
      </c>
      <c r="C887" s="116"/>
      <c r="D887" s="155"/>
      <c r="E887" s="30">
        <f t="shared" si="14"/>
        <v>6</v>
      </c>
      <c r="F887" s="154"/>
      <c r="G887" s="123"/>
      <c r="H887" s="123"/>
      <c r="I887" s="123"/>
      <c r="J887" s="123"/>
      <c r="K887" s="123"/>
      <c r="L887" s="123"/>
      <c r="M887" s="123"/>
    </row>
    <row r="888" spans="1:13" ht="12">
      <c r="A888" s="295">
        <f t="shared" si="13"/>
        <v>8</v>
      </c>
      <c r="C888" s="116"/>
      <c r="D888" s="153"/>
      <c r="E888" s="30">
        <f t="shared" si="14"/>
        <v>7</v>
      </c>
      <c r="F888" s="154"/>
      <c r="G888" s="123"/>
      <c r="H888" s="123"/>
      <c r="I888" s="123"/>
      <c r="J888" s="123"/>
      <c r="K888" s="123"/>
      <c r="L888" s="123"/>
      <c r="M888" s="123"/>
    </row>
    <row r="889" spans="1:13" ht="12">
      <c r="A889" s="30">
        <f t="shared" si="13"/>
        <v>9</v>
      </c>
      <c r="C889" s="116"/>
      <c r="D889" s="156"/>
      <c r="E889" s="30">
        <f t="shared" si="14"/>
        <v>8</v>
      </c>
      <c r="F889" s="154"/>
      <c r="G889" s="123"/>
      <c r="H889" s="123"/>
      <c r="I889" s="123"/>
      <c r="J889" s="123"/>
      <c r="K889" s="123"/>
      <c r="L889" s="123"/>
      <c r="M889" s="123"/>
    </row>
    <row r="890" spans="1:13" ht="12">
      <c r="A890" s="30">
        <f t="shared" si="13"/>
        <v>10</v>
      </c>
      <c r="C890" s="116"/>
      <c r="D890" s="155"/>
      <c r="E890" s="30">
        <f t="shared" si="14"/>
        <v>9</v>
      </c>
      <c r="F890" s="154"/>
      <c r="G890" s="123"/>
      <c r="H890" s="123"/>
      <c r="I890" s="123"/>
      <c r="J890" s="123"/>
      <c r="K890" s="123"/>
      <c r="L890" s="123"/>
      <c r="M890" s="123"/>
    </row>
    <row r="891" spans="1:13" ht="12">
      <c r="A891" s="30">
        <f t="shared" si="13"/>
        <v>11</v>
      </c>
      <c r="C891" s="116"/>
      <c r="D891" s="155"/>
      <c r="E891" s="30">
        <f t="shared" si="14"/>
        <v>10</v>
      </c>
      <c r="F891" s="154"/>
      <c r="G891" s="123"/>
      <c r="H891" s="123"/>
      <c r="I891" s="123"/>
      <c r="J891" s="123"/>
      <c r="K891" s="123"/>
      <c r="L891" s="123"/>
      <c r="M891" s="123"/>
    </row>
    <row r="892" spans="1:13" ht="12">
      <c r="A892" s="30">
        <f t="shared" si="13"/>
        <v>12</v>
      </c>
      <c r="C892" s="116"/>
      <c r="D892" s="153"/>
      <c r="E892" s="30">
        <f t="shared" si="14"/>
        <v>11</v>
      </c>
      <c r="F892" s="154"/>
      <c r="G892" s="123"/>
      <c r="H892" s="123"/>
      <c r="I892" s="123"/>
      <c r="J892" s="123"/>
      <c r="K892" s="123"/>
      <c r="L892" s="123"/>
      <c r="M892" s="123"/>
    </row>
    <row r="893" spans="1:13" ht="12">
      <c r="A893" s="30">
        <f t="shared" si="13"/>
        <v>13</v>
      </c>
      <c r="C893" s="115"/>
      <c r="D893" s="156"/>
      <c r="E893" s="30">
        <f t="shared" si="14"/>
        <v>12</v>
      </c>
      <c r="F893" s="154"/>
      <c r="G893" s="123"/>
      <c r="H893" s="123"/>
      <c r="I893" s="123"/>
      <c r="J893" s="123"/>
      <c r="K893" s="123"/>
      <c r="L893" s="123"/>
      <c r="M893" s="123"/>
    </row>
    <row r="894" spans="1:13" ht="12">
      <c r="A894" s="30">
        <f t="shared" si="13"/>
        <v>14</v>
      </c>
      <c r="C894" s="116"/>
      <c r="D894" s="156"/>
      <c r="E894" s="30">
        <f t="shared" si="14"/>
        <v>13</v>
      </c>
      <c r="F894" s="154"/>
      <c r="G894" s="123"/>
      <c r="H894" s="123"/>
      <c r="I894" s="123"/>
      <c r="J894" s="123"/>
      <c r="K894" s="123"/>
      <c r="L894" s="123"/>
      <c r="M894" s="123"/>
    </row>
    <row r="895" spans="1:13" ht="12">
      <c r="A895" s="30">
        <f t="shared" si="13"/>
        <v>15</v>
      </c>
      <c r="C895" s="116"/>
      <c r="D895" s="153"/>
      <c r="E895" s="30">
        <f t="shared" si="14"/>
        <v>14</v>
      </c>
      <c r="F895" s="154"/>
      <c r="G895" s="119"/>
      <c r="H895" s="119"/>
      <c r="I895" s="123"/>
      <c r="J895" s="123"/>
      <c r="K895" s="123"/>
      <c r="L895" s="123"/>
      <c r="M895" s="123"/>
    </row>
    <row r="896" spans="1:13" ht="12">
      <c r="A896" s="30">
        <f t="shared" si="13"/>
        <v>16</v>
      </c>
      <c r="C896" s="116"/>
      <c r="D896" s="156"/>
      <c r="E896" s="30">
        <f t="shared" si="14"/>
        <v>15</v>
      </c>
      <c r="F896" s="154"/>
      <c r="G896" s="119"/>
      <c r="H896" s="119"/>
      <c r="I896" s="123"/>
      <c r="J896" s="123"/>
      <c r="K896" s="119"/>
      <c r="L896" s="119"/>
      <c r="M896" s="119"/>
    </row>
    <row r="897" spans="1:13" ht="12">
      <c r="A897" s="30">
        <f t="shared" si="13"/>
        <v>17</v>
      </c>
      <c r="C897" s="149"/>
      <c r="D897" s="155"/>
      <c r="E897" s="30">
        <f t="shared" si="14"/>
        <v>16</v>
      </c>
      <c r="F897" s="154"/>
      <c r="G897" s="119"/>
      <c r="H897" s="119"/>
      <c r="I897" s="119"/>
      <c r="J897" s="119"/>
      <c r="K897" s="119"/>
      <c r="L897" s="119"/>
      <c r="M897" s="119"/>
    </row>
    <row r="898" spans="1:13" ht="12">
      <c r="A898" s="30">
        <f t="shared" si="13"/>
        <v>18</v>
      </c>
      <c r="C898" s="149" t="s">
        <v>96</v>
      </c>
      <c r="D898" s="155"/>
      <c r="E898" s="30">
        <f t="shared" si="14"/>
        <v>17</v>
      </c>
      <c r="F898" s="154"/>
      <c r="G898" s="119"/>
      <c r="H898" s="119"/>
      <c r="I898" s="119"/>
      <c r="J898" s="119"/>
      <c r="K898" s="119"/>
      <c r="L898" s="119"/>
      <c r="M898" s="119"/>
    </row>
    <row r="899" spans="1:13" ht="12">
      <c r="A899" s="30">
        <f t="shared" si="13"/>
        <v>19</v>
      </c>
      <c r="C899" s="280" t="s">
        <v>554</v>
      </c>
      <c r="D899" s="155"/>
      <c r="E899" s="30">
        <f t="shared" si="14"/>
        <v>18</v>
      </c>
      <c r="F899" s="154"/>
      <c r="G899" s="119"/>
      <c r="H899" s="119"/>
      <c r="I899" s="119">
        <v>810260</v>
      </c>
      <c r="J899" s="119"/>
      <c r="K899" s="123"/>
      <c r="L899" s="123"/>
      <c r="M899" s="123"/>
    </row>
    <row r="900" spans="1:13" ht="12">
      <c r="A900" s="30">
        <f t="shared" si="13"/>
        <v>20</v>
      </c>
      <c r="C900" s="233" t="s">
        <v>555</v>
      </c>
      <c r="D900" s="155"/>
      <c r="E900" s="30">
        <f t="shared" si="14"/>
        <v>19</v>
      </c>
      <c r="F900" s="154"/>
      <c r="G900" s="123"/>
      <c r="H900" s="123"/>
      <c r="I900" s="123">
        <v>949467</v>
      </c>
      <c r="J900" s="123"/>
      <c r="K900" s="119"/>
      <c r="L900" s="123">
        <v>1078986</v>
      </c>
      <c r="M900" s="123"/>
    </row>
    <row r="901" spans="1:13" ht="12">
      <c r="A901" s="30">
        <f t="shared" si="13"/>
        <v>21</v>
      </c>
      <c r="C901" s="281" t="s">
        <v>564</v>
      </c>
      <c r="D901" s="155"/>
      <c r="E901" s="30">
        <f t="shared" si="14"/>
        <v>20</v>
      </c>
      <c r="F901" s="154"/>
      <c r="G901" s="119">
        <v>738255</v>
      </c>
      <c r="H901" s="119"/>
      <c r="I901" s="123"/>
      <c r="J901" s="123"/>
      <c r="K901" s="123"/>
      <c r="L901" s="123"/>
      <c r="M901" s="123"/>
    </row>
    <row r="902" spans="1:13" ht="12">
      <c r="A902" s="30">
        <f t="shared" si="13"/>
        <v>22</v>
      </c>
      <c r="C902" s="32"/>
      <c r="D902" s="155"/>
      <c r="E902" s="30">
        <f t="shared" si="14"/>
        <v>21</v>
      </c>
      <c r="G902" s="123"/>
      <c r="H902" s="123"/>
      <c r="I902" s="123"/>
      <c r="J902" s="123"/>
      <c r="K902" s="123"/>
      <c r="L902" s="123"/>
      <c r="M902" s="123"/>
    </row>
    <row r="903" spans="1:13" ht="12">
      <c r="A903" s="30">
        <f t="shared" si="13"/>
        <v>23</v>
      </c>
      <c r="D903" s="155"/>
      <c r="E903" s="30">
        <f t="shared" si="14"/>
        <v>22</v>
      </c>
      <c r="F903" s="154"/>
      <c r="G903" s="123"/>
      <c r="H903" s="123"/>
      <c r="I903" s="123"/>
      <c r="J903" s="123"/>
      <c r="K903" s="123"/>
      <c r="L903" s="123"/>
      <c r="M903" s="123"/>
    </row>
    <row r="904" spans="1:13" ht="12">
      <c r="A904" s="30">
        <f t="shared" si="13"/>
        <v>24</v>
      </c>
      <c r="D904" s="155"/>
      <c r="E904" s="30">
        <f t="shared" si="14"/>
        <v>23</v>
      </c>
      <c r="F904" s="154"/>
      <c r="G904" s="123"/>
      <c r="H904" s="123"/>
      <c r="I904" s="123"/>
      <c r="J904" s="123"/>
      <c r="K904" s="119"/>
      <c r="L904" s="119"/>
      <c r="M904" s="123"/>
    </row>
    <row r="905" spans="1:13" ht="12">
      <c r="A905" s="26">
        <v>25</v>
      </c>
      <c r="D905" s="155"/>
      <c r="E905" s="26">
        <v>25</v>
      </c>
      <c r="F905" s="154"/>
      <c r="G905" s="123"/>
      <c r="H905" s="123"/>
      <c r="I905" s="121"/>
      <c r="J905" s="121"/>
      <c r="K905" s="119"/>
      <c r="L905" s="123"/>
      <c r="M905" s="123"/>
    </row>
    <row r="906" spans="3:13" ht="12">
      <c r="C906" s="32"/>
      <c r="D906" s="155"/>
      <c r="I906" s="33"/>
      <c r="J906" s="34"/>
      <c r="K906" s="157"/>
      <c r="L906" s="33"/>
      <c r="M906" s="34"/>
    </row>
    <row r="907" spans="4:13" ht="12" customHeight="1">
      <c r="D907" s="156"/>
      <c r="E907" s="158"/>
      <c r="F907" s="40" t="s">
        <v>1</v>
      </c>
      <c r="G907" s="40"/>
      <c r="H907" s="40"/>
      <c r="I907" s="41" t="s">
        <v>1</v>
      </c>
      <c r="J907" s="42" t="s">
        <v>1</v>
      </c>
      <c r="K907" s="159" t="s">
        <v>1</v>
      </c>
      <c r="L907" s="41" t="s">
        <v>1</v>
      </c>
      <c r="M907" s="42" t="s">
        <v>1</v>
      </c>
    </row>
    <row r="908" spans="1:13" ht="12" customHeight="1">
      <c r="A908" s="30">
        <v>26</v>
      </c>
      <c r="C908" s="31" t="s">
        <v>97</v>
      </c>
      <c r="D908" s="153"/>
      <c r="E908" s="30">
        <v>26</v>
      </c>
      <c r="G908" s="121">
        <f>SUM(G880:G906)</f>
        <v>738255</v>
      </c>
      <c r="H908" s="121">
        <f>SUM(H880:H906)</f>
        <v>53600000</v>
      </c>
      <c r="I908" s="121">
        <f>SUM(I880:I906)</f>
        <v>65378907</v>
      </c>
      <c r="J908" s="121">
        <f>SUM(J880:J906)</f>
        <v>61777526</v>
      </c>
      <c r="K908" s="121"/>
      <c r="L908" s="121">
        <f>SUM(L880:L906)</f>
        <v>1078986</v>
      </c>
      <c r="M908" s="121">
        <f>SUM(M880:M906)</f>
        <v>0</v>
      </c>
    </row>
    <row r="909" spans="4:13" ht="12" customHeight="1">
      <c r="D909" s="156"/>
      <c r="E909" s="158"/>
      <c r="F909" s="40" t="s">
        <v>1</v>
      </c>
      <c r="G909" s="40"/>
      <c r="H909" s="40"/>
      <c r="I909" s="41" t="s">
        <v>1</v>
      </c>
      <c r="J909" s="42" t="s">
        <v>1</v>
      </c>
      <c r="K909" s="159" t="s">
        <v>1</v>
      </c>
      <c r="L909" s="41" t="s">
        <v>1</v>
      </c>
      <c r="M909" s="42" t="s">
        <v>1</v>
      </c>
    </row>
    <row r="910" spans="4:13" ht="12" customHeight="1">
      <c r="D910" s="156"/>
      <c r="E910" s="109"/>
      <c r="F910" s="69"/>
      <c r="G910" s="69"/>
      <c r="H910" s="69"/>
      <c r="I910" s="41"/>
      <c r="J910" s="42"/>
      <c r="K910" s="159"/>
      <c r="L910" s="41"/>
      <c r="M910" s="42"/>
    </row>
    <row r="911" spans="4:13" ht="12" customHeight="1">
      <c r="D911" s="156"/>
      <c r="E911" s="109"/>
      <c r="F911" s="69"/>
      <c r="G911" s="69"/>
      <c r="H911" s="69"/>
      <c r="I911" s="41"/>
      <c r="J911" s="42"/>
      <c r="K911" s="159"/>
      <c r="L911" s="41"/>
      <c r="M911" s="42"/>
    </row>
    <row r="912" spans="4:13" ht="12" customHeight="1">
      <c r="D912" s="156"/>
      <c r="E912" s="109"/>
      <c r="F912" s="69"/>
      <c r="G912" s="69"/>
      <c r="H912" s="69"/>
      <c r="I912" s="41"/>
      <c r="J912" s="42"/>
      <c r="K912" s="159"/>
      <c r="L912" s="41"/>
      <c r="M912" s="42"/>
    </row>
    <row r="913" spans="4:13" ht="12" customHeight="1">
      <c r="D913" s="156"/>
      <c r="E913" s="109"/>
      <c r="F913" s="69"/>
      <c r="G913" s="69"/>
      <c r="H913" s="69"/>
      <c r="I913" s="41"/>
      <c r="J913" s="42"/>
      <c r="K913" s="159"/>
      <c r="L913" s="41"/>
      <c r="M913" s="42"/>
    </row>
    <row r="914" spans="4:13" ht="12" customHeight="1">
      <c r="D914" s="156"/>
      <c r="E914" s="109"/>
      <c r="F914" s="69"/>
      <c r="G914" s="69"/>
      <c r="H914" s="69"/>
      <c r="I914" s="41"/>
      <c r="J914" s="42"/>
      <c r="K914" s="159"/>
      <c r="L914" s="41"/>
      <c r="M914" s="42"/>
    </row>
    <row r="915" spans="4:13" ht="12" customHeight="1">
      <c r="D915" s="156"/>
      <c r="E915" s="109"/>
      <c r="F915" s="69"/>
      <c r="G915" s="69"/>
      <c r="H915" s="69"/>
      <c r="I915" s="41"/>
      <c r="J915" s="42"/>
      <c r="K915" s="159"/>
      <c r="L915" s="41"/>
      <c r="M915" s="42"/>
    </row>
    <row r="916" spans="4:13" ht="12" customHeight="1">
      <c r="D916" s="156"/>
      <c r="E916" s="109"/>
      <c r="F916" s="69"/>
      <c r="G916" s="69"/>
      <c r="H916" s="69"/>
      <c r="I916" s="41"/>
      <c r="J916" s="42"/>
      <c r="K916" s="159"/>
      <c r="L916" s="41"/>
      <c r="M916" s="42"/>
    </row>
    <row r="917" spans="4:13" ht="12" customHeight="1">
      <c r="D917" s="156"/>
      <c r="E917" s="109"/>
      <c r="F917" s="69"/>
      <c r="G917" s="69"/>
      <c r="H917" s="69"/>
      <c r="I917" s="41"/>
      <c r="J917" s="42"/>
      <c r="K917" s="159"/>
      <c r="L917" s="41"/>
      <c r="M917" s="42"/>
    </row>
    <row r="918" spans="4:13" ht="12" customHeight="1">
      <c r="D918" s="156"/>
      <c r="E918" s="109"/>
      <c r="F918" s="69"/>
      <c r="G918" s="69"/>
      <c r="H918" s="69"/>
      <c r="I918" s="41"/>
      <c r="J918" s="42"/>
      <c r="K918" s="159"/>
      <c r="L918" s="41"/>
      <c r="M918" s="42"/>
    </row>
    <row r="919" spans="4:13" ht="12" customHeight="1">
      <c r="D919" s="156"/>
      <c r="E919" s="109"/>
      <c r="F919" s="69"/>
      <c r="G919" s="69"/>
      <c r="H919" s="69"/>
      <c r="I919" s="41"/>
      <c r="J919" s="42"/>
      <c r="K919" s="159"/>
      <c r="L919" s="41"/>
      <c r="M919" s="42"/>
    </row>
    <row r="920" spans="4:13" ht="12" customHeight="1">
      <c r="D920" s="156"/>
      <c r="E920" s="109"/>
      <c r="F920" s="69"/>
      <c r="G920" s="69"/>
      <c r="H920" s="69"/>
      <c r="I920" s="41"/>
      <c r="J920" s="42"/>
      <c r="K920" s="159"/>
      <c r="L920" s="41"/>
      <c r="M920" s="42"/>
    </row>
    <row r="921" spans="4:13" ht="12" customHeight="1">
      <c r="D921" s="156"/>
      <c r="E921" s="109"/>
      <c r="F921" s="69"/>
      <c r="G921" s="69"/>
      <c r="H921" s="69"/>
      <c r="I921" s="41"/>
      <c r="J921" s="42"/>
      <c r="K921" s="159"/>
      <c r="L921" s="41"/>
      <c r="M921" s="42"/>
    </row>
    <row r="922" spans="4:13" ht="12" customHeight="1">
      <c r="D922" s="156"/>
      <c r="E922" s="109"/>
      <c r="F922" s="69"/>
      <c r="G922" s="69"/>
      <c r="H922" s="69"/>
      <c r="I922" s="41"/>
      <c r="J922" s="42"/>
      <c r="K922" s="159"/>
      <c r="L922" s="41"/>
      <c r="M922" s="42"/>
    </row>
    <row r="923" spans="4:13" ht="12" customHeight="1">
      <c r="D923" s="156"/>
      <c r="E923" s="109"/>
      <c r="F923" s="69"/>
      <c r="G923" s="69"/>
      <c r="H923" s="69"/>
      <c r="I923" s="41"/>
      <c r="J923" s="42"/>
      <c r="K923" s="159"/>
      <c r="L923" s="41"/>
      <c r="M923" s="42"/>
    </row>
    <row r="924" spans="4:13" ht="12" customHeight="1">
      <c r="D924" s="156"/>
      <c r="E924" s="109"/>
      <c r="F924" s="69"/>
      <c r="G924" s="69"/>
      <c r="H924" s="69"/>
      <c r="I924" s="41"/>
      <c r="J924" s="42"/>
      <c r="K924" s="159"/>
      <c r="L924" s="41"/>
      <c r="M924" s="42"/>
    </row>
    <row r="925" spans="4:13" ht="12" customHeight="1">
      <c r="D925" s="156"/>
      <c r="E925" s="109"/>
      <c r="F925" s="69"/>
      <c r="G925" s="69"/>
      <c r="H925" s="69"/>
      <c r="I925" s="41"/>
      <c r="J925" s="42"/>
      <c r="K925" s="159"/>
      <c r="L925" s="41"/>
      <c r="M925" s="42"/>
    </row>
    <row r="926" spans="4:13" ht="12" customHeight="1">
      <c r="D926" s="156"/>
      <c r="E926" s="109"/>
      <c r="F926" s="69"/>
      <c r="G926" s="69"/>
      <c r="H926" s="69"/>
      <c r="I926" s="41"/>
      <c r="J926" s="42"/>
      <c r="K926" s="159"/>
      <c r="L926" s="41"/>
      <c r="M926" s="42"/>
    </row>
    <row r="927" spans="4:13" ht="12" customHeight="1">
      <c r="D927" s="156"/>
      <c r="E927" s="109"/>
      <c r="F927" s="69"/>
      <c r="G927" s="69"/>
      <c r="H927" s="69"/>
      <c r="I927" s="41"/>
      <c r="J927" s="42"/>
      <c r="K927" s="159"/>
      <c r="L927" s="41"/>
      <c r="M927" s="42"/>
    </row>
    <row r="928" spans="4:13" ht="12" customHeight="1">
      <c r="D928" s="156"/>
      <c r="E928" s="109"/>
      <c r="F928" s="69"/>
      <c r="G928" s="69"/>
      <c r="H928" s="69"/>
      <c r="I928" s="41"/>
      <c r="J928" s="42"/>
      <c r="K928" s="159"/>
      <c r="L928" s="41"/>
      <c r="M928" s="42"/>
    </row>
    <row r="929" spans="4:13" ht="12" customHeight="1">
      <c r="D929" s="156"/>
      <c r="E929" s="109"/>
      <c r="F929" s="69"/>
      <c r="G929" s="69"/>
      <c r="H929" s="69"/>
      <c r="I929" s="41"/>
      <c r="J929" s="42"/>
      <c r="K929" s="159"/>
      <c r="L929" s="41"/>
      <c r="M929" s="42"/>
    </row>
    <row r="930" spans="4:13" ht="12" customHeight="1">
      <c r="D930" s="156"/>
      <c r="E930" s="109"/>
      <c r="F930" s="69"/>
      <c r="G930" s="69"/>
      <c r="H930" s="69"/>
      <c r="I930" s="41"/>
      <c r="J930" s="42"/>
      <c r="K930" s="159"/>
      <c r="L930" s="41"/>
      <c r="M930" s="42"/>
    </row>
    <row r="931" spans="4:13" ht="12" customHeight="1">
      <c r="D931" s="156"/>
      <c r="E931" s="109"/>
      <c r="F931" s="69"/>
      <c r="G931" s="69"/>
      <c r="H931" s="69"/>
      <c r="I931" s="41"/>
      <c r="J931" s="42"/>
      <c r="K931" s="159"/>
      <c r="L931" s="41"/>
      <c r="M931" s="42"/>
    </row>
    <row r="932" spans="4:13" ht="12" customHeight="1">
      <c r="D932" s="156"/>
      <c r="E932" s="109"/>
      <c r="F932" s="69"/>
      <c r="G932" s="69"/>
      <c r="H932" s="69"/>
      <c r="I932" s="41"/>
      <c r="J932" s="42"/>
      <c r="K932" s="159"/>
      <c r="L932" s="41"/>
      <c r="M932" s="42"/>
    </row>
    <row r="933" spans="4:13" ht="12" customHeight="1">
      <c r="D933" s="156"/>
      <c r="E933" s="109"/>
      <c r="F933" s="69"/>
      <c r="G933" s="69"/>
      <c r="H933" s="69"/>
      <c r="I933" s="41"/>
      <c r="J933" s="42"/>
      <c r="K933" s="159"/>
      <c r="L933" s="41"/>
      <c r="M933" s="42"/>
    </row>
    <row r="934" spans="4:13" ht="12" customHeight="1">
      <c r="D934" s="156"/>
      <c r="E934" s="109"/>
      <c r="F934" s="69"/>
      <c r="G934" s="69"/>
      <c r="H934" s="69"/>
      <c r="I934" s="41"/>
      <c r="J934" s="42"/>
      <c r="K934" s="159"/>
      <c r="L934" s="41"/>
      <c r="M934" s="42"/>
    </row>
    <row r="935" spans="4:13" ht="12" customHeight="1">
      <c r="D935" s="156"/>
      <c r="E935" s="109"/>
      <c r="F935" s="69"/>
      <c r="G935" s="69"/>
      <c r="H935" s="69"/>
      <c r="I935" s="41"/>
      <c r="J935" s="42"/>
      <c r="K935" s="159"/>
      <c r="L935" s="41"/>
      <c r="M935" s="42"/>
    </row>
    <row r="936" spans="4:13" ht="12" customHeight="1">
      <c r="D936" s="156"/>
      <c r="E936" s="109"/>
      <c r="F936" s="69"/>
      <c r="G936" s="69"/>
      <c r="H936" s="69"/>
      <c r="I936" s="41"/>
      <c r="J936" s="42"/>
      <c r="K936" s="159"/>
      <c r="L936" s="41"/>
      <c r="M936" s="42"/>
    </row>
    <row r="937" spans="4:13" ht="12" customHeight="1">
      <c r="D937" s="156"/>
      <c r="E937" s="109"/>
      <c r="F937" s="69"/>
      <c r="G937" s="69"/>
      <c r="H937" s="69"/>
      <c r="I937" s="41"/>
      <c r="J937" s="42"/>
      <c r="K937" s="159"/>
      <c r="L937" s="41"/>
      <c r="M937" s="42"/>
    </row>
    <row r="938" spans="4:13" ht="12" customHeight="1">
      <c r="D938" s="156"/>
      <c r="E938" s="109"/>
      <c r="F938" s="69"/>
      <c r="G938" s="69"/>
      <c r="H938" s="69"/>
      <c r="I938" s="41"/>
      <c r="J938" s="42"/>
      <c r="K938" s="159"/>
      <c r="L938" s="41"/>
      <c r="M938" s="42"/>
    </row>
    <row r="939" spans="4:13" ht="12" customHeight="1">
      <c r="D939" s="156"/>
      <c r="E939" s="109"/>
      <c r="F939" s="69"/>
      <c r="G939" s="69"/>
      <c r="H939" s="69"/>
      <c r="I939" s="41"/>
      <c r="J939" s="42"/>
      <c r="K939" s="159"/>
      <c r="L939" s="41"/>
      <c r="M939" s="42"/>
    </row>
    <row r="940" spans="4:13" ht="12" customHeight="1">
      <c r="D940" s="156"/>
      <c r="E940" s="109"/>
      <c r="F940" s="69"/>
      <c r="G940" s="69"/>
      <c r="H940" s="69"/>
      <c r="I940" s="41"/>
      <c r="J940" s="42"/>
      <c r="K940" s="159"/>
      <c r="L940" s="41"/>
      <c r="M940" s="42"/>
    </row>
    <row r="941" spans="4:13" ht="12" customHeight="1">
      <c r="D941" s="156"/>
      <c r="E941" s="109"/>
      <c r="F941" s="69"/>
      <c r="G941" s="69"/>
      <c r="H941" s="69"/>
      <c r="I941" s="41"/>
      <c r="J941" s="42"/>
      <c r="K941" s="159"/>
      <c r="L941" s="41"/>
      <c r="M941" s="42"/>
    </row>
    <row r="942" spans="4:13" ht="12" customHeight="1">
      <c r="D942" s="156"/>
      <c r="E942" s="109"/>
      <c r="F942" s="69"/>
      <c r="G942" s="69"/>
      <c r="H942" s="69"/>
      <c r="I942" s="41"/>
      <c r="J942" s="42"/>
      <c r="K942" s="159"/>
      <c r="L942" s="41"/>
      <c r="M942" s="42"/>
    </row>
    <row r="943" spans="4:13" ht="12" customHeight="1">
      <c r="D943" s="156"/>
      <c r="E943" s="109"/>
      <c r="F943" s="69"/>
      <c r="G943" s="69"/>
      <c r="H943" s="69"/>
      <c r="I943" s="41"/>
      <c r="J943" s="42"/>
      <c r="K943" s="159"/>
      <c r="L943" s="41"/>
      <c r="M943" s="42"/>
    </row>
    <row r="944" spans="4:13" ht="12" customHeight="1">
      <c r="D944" s="156"/>
      <c r="E944" s="109"/>
      <c r="F944" s="69"/>
      <c r="G944" s="69"/>
      <c r="H944" s="69"/>
      <c r="I944" s="41"/>
      <c r="J944" s="42"/>
      <c r="K944" s="159"/>
      <c r="L944" s="41"/>
      <c r="M944" s="42"/>
    </row>
    <row r="945" spans="4:13" ht="12" customHeight="1">
      <c r="D945" s="156"/>
      <c r="E945" s="109"/>
      <c r="F945" s="69"/>
      <c r="G945" s="69"/>
      <c r="H945" s="69"/>
      <c r="I945" s="41"/>
      <c r="J945" s="42"/>
      <c r="K945" s="159"/>
      <c r="L945" s="41"/>
      <c r="M945" s="42"/>
    </row>
    <row r="946" spans="4:13" ht="12" customHeight="1">
      <c r="D946" s="156"/>
      <c r="E946" s="109"/>
      <c r="F946" s="69"/>
      <c r="G946" s="69"/>
      <c r="H946" s="69"/>
      <c r="I946" s="41"/>
      <c r="J946" s="42"/>
      <c r="K946" s="159"/>
      <c r="L946" s="41"/>
      <c r="M946" s="42"/>
    </row>
    <row r="947" spans="4:13" ht="12" customHeight="1">
      <c r="D947" s="156"/>
      <c r="E947" s="109"/>
      <c r="F947" s="69"/>
      <c r="G947" s="69"/>
      <c r="H947" s="69"/>
      <c r="I947" s="41"/>
      <c r="J947" s="42"/>
      <c r="K947" s="159"/>
      <c r="L947" s="41"/>
      <c r="M947" s="42"/>
    </row>
    <row r="948" spans="4:13" ht="12" customHeight="1">
      <c r="D948" s="156"/>
      <c r="E948" s="109"/>
      <c r="F948" s="69"/>
      <c r="G948" s="69"/>
      <c r="H948" s="69"/>
      <c r="I948" s="41"/>
      <c r="J948" s="42"/>
      <c r="K948" s="159"/>
      <c r="L948" s="41"/>
      <c r="M948" s="42"/>
    </row>
    <row r="949" spans="4:13" ht="12" customHeight="1">
      <c r="D949" s="156"/>
      <c r="E949" s="109"/>
      <c r="F949" s="69"/>
      <c r="G949" s="69"/>
      <c r="H949" s="69"/>
      <c r="I949" s="41"/>
      <c r="J949" s="42"/>
      <c r="K949" s="159"/>
      <c r="L949" s="41"/>
      <c r="M949" s="42"/>
    </row>
    <row r="950" spans="4:13" ht="12" customHeight="1">
      <c r="D950" s="156"/>
      <c r="E950" s="109"/>
      <c r="F950" s="69"/>
      <c r="G950" s="69"/>
      <c r="H950" s="69"/>
      <c r="I950" s="41"/>
      <c r="J950" s="42"/>
      <c r="K950" s="159"/>
      <c r="L950" s="41"/>
      <c r="M950" s="42"/>
    </row>
    <row r="951" spans="4:13" ht="12" customHeight="1">
      <c r="D951" s="156"/>
      <c r="E951" s="109"/>
      <c r="F951" s="69"/>
      <c r="G951" s="69"/>
      <c r="H951" s="69"/>
      <c r="I951" s="41"/>
      <c r="J951" s="42"/>
      <c r="K951" s="159"/>
      <c r="L951" s="41"/>
      <c r="M951" s="42"/>
    </row>
    <row r="952" spans="4:13" ht="12" customHeight="1">
      <c r="D952" s="156"/>
      <c r="E952" s="109"/>
      <c r="F952" s="69"/>
      <c r="G952" s="69"/>
      <c r="H952" s="69"/>
      <c r="I952" s="41"/>
      <c r="J952" s="42"/>
      <c r="K952" s="159"/>
      <c r="L952" s="41"/>
      <c r="M952" s="42"/>
    </row>
    <row r="953" spans="4:13" ht="12" customHeight="1">
      <c r="D953" s="156"/>
      <c r="E953" s="109"/>
      <c r="F953" s="69"/>
      <c r="G953" s="69"/>
      <c r="H953" s="69"/>
      <c r="I953" s="41"/>
      <c r="J953" s="42"/>
      <c r="K953" s="159"/>
      <c r="L953" s="41"/>
      <c r="M953" s="42"/>
    </row>
    <row r="954" spans="4:13" ht="12">
      <c r="D954" s="31"/>
      <c r="I954" s="36"/>
      <c r="J954" s="74"/>
      <c r="K954" s="87"/>
      <c r="L954" s="36"/>
      <c r="M954" s="74"/>
    </row>
    <row r="955" spans="4:13" ht="12">
      <c r="D955" s="31"/>
      <c r="I955" s="36"/>
      <c r="J955" s="74"/>
      <c r="K955" s="87"/>
      <c r="L955" s="36"/>
      <c r="M955" s="74"/>
    </row>
    <row r="956" spans="4:13" ht="12">
      <c r="D956" s="31"/>
      <c r="I956" s="36"/>
      <c r="J956" s="74"/>
      <c r="K956" s="87"/>
      <c r="L956" s="36"/>
      <c r="M956" s="74"/>
    </row>
    <row r="957" spans="4:13" ht="12">
      <c r="D957" s="31"/>
      <c r="I957" s="36"/>
      <c r="J957" s="74"/>
      <c r="K957" s="87"/>
      <c r="L957" s="36"/>
      <c r="M957" s="74"/>
    </row>
    <row r="958" spans="4:13" ht="12">
      <c r="D958" s="31"/>
      <c r="I958" s="36"/>
      <c r="J958" s="74"/>
      <c r="K958" s="87"/>
      <c r="L958" s="36"/>
      <c r="M958" s="74"/>
    </row>
    <row r="959" spans="4:13" ht="12">
      <c r="D959" s="31"/>
      <c r="I959" s="36"/>
      <c r="J959" s="74"/>
      <c r="K959" s="87"/>
      <c r="L959" s="36"/>
      <c r="M959" s="74"/>
    </row>
    <row r="960" spans="4:13" ht="12">
      <c r="D960" s="31"/>
      <c r="I960" s="36"/>
      <c r="J960" s="74"/>
      <c r="K960" s="87"/>
      <c r="L960" s="36"/>
      <c r="M960" s="74"/>
    </row>
    <row r="961" spans="4:13" ht="12">
      <c r="D961" s="31"/>
      <c r="I961" s="36"/>
      <c r="J961" s="74"/>
      <c r="K961" s="87"/>
      <c r="L961" s="36"/>
      <c r="M961" s="74"/>
    </row>
    <row r="962" spans="4:13" ht="12">
      <c r="D962" s="31"/>
      <c r="I962" s="36"/>
      <c r="J962" s="74"/>
      <c r="K962" s="87"/>
      <c r="L962" s="36"/>
      <c r="M962" s="74"/>
    </row>
    <row r="963" spans="4:13" ht="12">
      <c r="D963" s="31"/>
      <c r="I963" s="36"/>
      <c r="J963" s="74"/>
      <c r="K963" s="87"/>
      <c r="L963" s="36"/>
      <c r="M963" s="74"/>
    </row>
    <row r="964" spans="4:13" ht="12">
      <c r="D964" s="31"/>
      <c r="I964" s="36"/>
      <c r="J964" s="74"/>
      <c r="K964" s="87"/>
      <c r="L964" s="36"/>
      <c r="M964" s="74"/>
    </row>
    <row r="965" spans="4:13" ht="12">
      <c r="D965" s="31"/>
      <c r="I965" s="36"/>
      <c r="J965" s="74"/>
      <c r="K965" s="87"/>
      <c r="L965" s="36"/>
      <c r="M965" s="74"/>
    </row>
    <row r="966" spans="4:13" ht="12">
      <c r="D966" s="31"/>
      <c r="I966" s="36"/>
      <c r="J966" s="74"/>
      <c r="K966" s="87"/>
      <c r="L966" s="36"/>
      <c r="M966" s="74"/>
    </row>
    <row r="967" spans="4:13" ht="12">
      <c r="D967" s="31"/>
      <c r="I967" s="36"/>
      <c r="J967" s="74"/>
      <c r="K967" s="87"/>
      <c r="L967" s="36"/>
      <c r="M967" s="74"/>
    </row>
    <row r="968" spans="4:13" ht="12">
      <c r="D968" s="31"/>
      <c r="I968" s="36"/>
      <c r="J968" s="74"/>
      <c r="K968" s="87"/>
      <c r="L968" s="36"/>
      <c r="M968" s="74"/>
    </row>
    <row r="969" spans="4:13" ht="12">
      <c r="D969" s="31"/>
      <c r="I969" s="36"/>
      <c r="J969" s="74"/>
      <c r="K969" s="87"/>
      <c r="L969" s="36"/>
      <c r="M969" s="74"/>
    </row>
    <row r="970" spans="4:13" ht="12">
      <c r="D970" s="31"/>
      <c r="I970" s="36"/>
      <c r="J970" s="74"/>
      <c r="K970" s="87"/>
      <c r="L970" s="36"/>
      <c r="M970" s="74"/>
    </row>
    <row r="971" spans="4:13" ht="12">
      <c r="D971" s="31"/>
      <c r="I971" s="36"/>
      <c r="J971" s="74"/>
      <c r="K971" s="87"/>
      <c r="L971" s="36"/>
      <c r="M971" s="74"/>
    </row>
    <row r="972" spans="4:13" ht="12">
      <c r="D972" s="31"/>
      <c r="I972" s="36"/>
      <c r="J972" s="74"/>
      <c r="K972" s="87"/>
      <c r="L972" s="36"/>
      <c r="M972" s="74"/>
    </row>
    <row r="973" spans="4:13" ht="12">
      <c r="D973" s="31"/>
      <c r="I973" s="36"/>
      <c r="J973" s="74"/>
      <c r="K973" s="87"/>
      <c r="L973" s="36"/>
      <c r="M973" s="74"/>
    </row>
    <row r="974" spans="4:13" ht="12">
      <c r="D974" s="31"/>
      <c r="I974" s="36"/>
      <c r="J974" s="74"/>
      <c r="K974" s="87"/>
      <c r="L974" s="36"/>
      <c r="M974" s="74"/>
    </row>
    <row r="975" spans="4:13" ht="12">
      <c r="D975" s="31"/>
      <c r="I975" s="36"/>
      <c r="J975" s="74"/>
      <c r="K975" s="87"/>
      <c r="L975" s="36"/>
      <c r="M975" s="74"/>
    </row>
    <row r="976" spans="4:13" ht="12">
      <c r="D976" s="31"/>
      <c r="I976" s="36"/>
      <c r="J976" s="74"/>
      <c r="K976" s="87"/>
      <c r="L976" s="36"/>
      <c r="M976" s="74"/>
    </row>
    <row r="977" spans="4:13" ht="12">
      <c r="D977" s="31"/>
      <c r="I977" s="36"/>
      <c r="J977" s="74"/>
      <c r="K977" s="87"/>
      <c r="L977" s="36"/>
      <c r="M977" s="74"/>
    </row>
    <row r="978" spans="4:13" ht="12">
      <c r="D978" s="31"/>
      <c r="I978" s="36"/>
      <c r="J978" s="74"/>
      <c r="K978" s="87"/>
      <c r="L978" s="36"/>
      <c r="M978" s="74"/>
    </row>
    <row r="1017" spans="4:13" ht="12">
      <c r="D1017" s="44"/>
      <c r="F1017" s="69"/>
      <c r="G1017" s="69"/>
      <c r="H1017" s="69"/>
      <c r="I1017" s="36"/>
      <c r="J1017" s="74"/>
      <c r="L1017" s="36"/>
      <c r="M1017" s="74"/>
    </row>
  </sheetData>
  <sheetProtection/>
  <mergeCells count="28">
    <mergeCell ref="D874:F874"/>
    <mergeCell ref="G876:H876"/>
    <mergeCell ref="I876:J876"/>
    <mergeCell ref="A639:M639"/>
    <mergeCell ref="A763:M763"/>
    <mergeCell ref="L876:M876"/>
    <mergeCell ref="A676:M676"/>
    <mergeCell ref="A802:M802"/>
    <mergeCell ref="A873:M873"/>
    <mergeCell ref="A838:M838"/>
    <mergeCell ref="A712:M712"/>
    <mergeCell ref="A36:M36"/>
    <mergeCell ref="B224:M224"/>
    <mergeCell ref="A128:M128"/>
    <mergeCell ref="A452:M452"/>
    <mergeCell ref="A177:M177"/>
    <mergeCell ref="A565:M565"/>
    <mergeCell ref="A602:M602"/>
    <mergeCell ref="A21:M21"/>
    <mergeCell ref="A5:M5"/>
    <mergeCell ref="A20:M20"/>
    <mergeCell ref="A528:M528"/>
    <mergeCell ref="A33:M33"/>
    <mergeCell ref="A416:M416"/>
    <mergeCell ref="A490:M490"/>
    <mergeCell ref="A78:M78"/>
    <mergeCell ref="C8:L8"/>
    <mergeCell ref="C9:L9"/>
  </mergeCells>
  <printOptions/>
  <pageMargins left="0.75" right="0.5" top="1" bottom="1" header="0.5" footer="0.24"/>
  <pageSetup fitToHeight="47" horizontalDpi="600" verticalDpi="600" orientation="landscape" scale="70" r:id="rId1"/>
  <rowBreaks count="23" manualBreakCount="23">
    <brk id="33" max="12" man="1"/>
    <brk id="75" max="12" man="1"/>
    <brk id="125" max="12" man="1"/>
    <brk id="174" max="12" man="1"/>
    <brk id="221" max="255" man="1"/>
    <brk id="270" max="12" man="1"/>
    <brk id="318" max="12" man="1"/>
    <brk id="340" max="12" man="1"/>
    <brk id="381" max="255" man="1"/>
    <brk id="413" max="12" man="1"/>
    <brk id="449" max="255" man="1"/>
    <brk id="487" max="12" man="1"/>
    <brk id="525" max="12" man="1"/>
    <brk id="562" max="12" man="1"/>
    <brk id="599" max="12" man="1"/>
    <brk id="636" max="12" man="1"/>
    <brk id="673" max="12" man="1"/>
    <brk id="709" max="12" man="1"/>
    <brk id="760" max="12" man="1"/>
    <brk id="799" max="12" man="1"/>
    <brk id="835" max="12" man="1"/>
    <brk id="870" max="12" man="1"/>
    <brk id="9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T1015"/>
  <sheetViews>
    <sheetView showGridLines="0" zoomScale="75" zoomScaleNormal="75" zoomScaleSheetLayoutView="65" workbookViewId="0" topLeftCell="A1">
      <selection activeCell="I100" sqref="I100"/>
    </sheetView>
  </sheetViews>
  <sheetFormatPr defaultColWidth="9.625" defaultRowHeight="12.75"/>
  <cols>
    <col min="1" max="1" width="7.625" style="26" customWidth="1"/>
    <col min="2" max="2" width="1.875" style="26" customWidth="1"/>
    <col min="3" max="3" width="38.50390625" style="26" customWidth="1"/>
    <col min="4" max="4" width="19.125" style="26" customWidth="1"/>
    <col min="5" max="6" width="8.125" style="26" customWidth="1"/>
    <col min="7" max="7" width="10.625" style="26" customWidth="1"/>
    <col min="8" max="8" width="13.625" style="26" customWidth="1"/>
    <col min="9" max="9" width="10.625" style="27" customWidth="1"/>
    <col min="10" max="10" width="13.625" style="28" customWidth="1"/>
    <col min="11" max="11" width="8.75390625" style="26" customWidth="1"/>
    <col min="12" max="12" width="9.875" style="27" customWidth="1"/>
    <col min="13" max="13" width="13.625" style="28" customWidth="1"/>
    <col min="14" max="14" width="10.00390625" style="26" bestFit="1" customWidth="1"/>
    <col min="15" max="15" width="10.75390625" style="26" bestFit="1" customWidth="1"/>
    <col min="16" max="16384" width="9.625" style="26" customWidth="1"/>
  </cols>
  <sheetData>
    <row r="2" ht="12">
      <c r="M2" s="29" t="s">
        <v>146</v>
      </c>
    </row>
    <row r="3" ht="12">
      <c r="M3" s="270" t="s">
        <v>623</v>
      </c>
    </row>
    <row r="5" spans="1:13" ht="45">
      <c r="A5" s="401" t="s">
        <v>145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8" spans="1:13" s="64" customFormat="1" ht="33">
      <c r="A8" s="261" t="s">
        <v>245</v>
      </c>
      <c r="B8" s="261"/>
      <c r="C8" s="404" t="s">
        <v>574</v>
      </c>
      <c r="D8" s="404"/>
      <c r="E8" s="404"/>
      <c r="F8" s="404"/>
      <c r="G8" s="404"/>
      <c r="H8" s="404"/>
      <c r="I8" s="404"/>
      <c r="J8" s="404"/>
      <c r="K8" s="404"/>
      <c r="L8" s="404"/>
      <c r="M8" s="261"/>
    </row>
    <row r="9" spans="1:13" s="64" customFormat="1" ht="33">
      <c r="A9" s="261" t="s">
        <v>246</v>
      </c>
      <c r="B9" s="261"/>
      <c r="C9" s="404" t="s">
        <v>575</v>
      </c>
      <c r="D9" s="404"/>
      <c r="E9" s="404"/>
      <c r="F9" s="404"/>
      <c r="G9" s="404"/>
      <c r="H9" s="404"/>
      <c r="I9" s="404"/>
      <c r="J9" s="404"/>
      <c r="K9" s="404"/>
      <c r="L9" s="404"/>
      <c r="M9" s="261"/>
    </row>
    <row r="20" spans="1:13" ht="45">
      <c r="A20" s="402" t="s">
        <v>665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</row>
    <row r="21" spans="1:13" ht="45">
      <c r="A21" s="402" t="s">
        <v>500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</row>
    <row r="33" spans="1:13" ht="12.75">
      <c r="A33" s="417" t="s">
        <v>664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</row>
    <row r="35" spans="1:13" ht="12">
      <c r="A35" s="30"/>
      <c r="C35" s="31"/>
      <c r="E35" s="30"/>
      <c r="F35" s="32"/>
      <c r="G35" s="32"/>
      <c r="H35" s="32"/>
      <c r="I35" s="33"/>
      <c r="J35" s="34"/>
      <c r="K35" s="32"/>
      <c r="L35" s="33"/>
      <c r="M35" s="34"/>
    </row>
    <row r="36" spans="1:13" ht="12">
      <c r="A36" s="38" t="s">
        <v>501</v>
      </c>
      <c r="I36" s="36"/>
      <c r="M36" s="37" t="s">
        <v>18</v>
      </c>
    </row>
    <row r="37" spans="1:13" s="65" customFormat="1" ht="12">
      <c r="A37" s="399" t="s">
        <v>19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</row>
    <row r="38" spans="1:13" ht="12">
      <c r="A38" s="38" t="s">
        <v>551</v>
      </c>
      <c r="C38" s="26" t="s">
        <v>553</v>
      </c>
      <c r="I38" s="36"/>
      <c r="K38" s="24"/>
      <c r="L38" s="36"/>
      <c r="M38" s="39" t="str">
        <f>$M$3</f>
        <v>Date: 10/1/2009</v>
      </c>
    </row>
    <row r="39" spans="1:13" ht="12">
      <c r="A39" s="40" t="s">
        <v>1</v>
      </c>
      <c r="B39" s="40" t="s">
        <v>1</v>
      </c>
      <c r="C39" s="40" t="s">
        <v>1</v>
      </c>
      <c r="D39" s="40" t="s">
        <v>1</v>
      </c>
      <c r="E39" s="40" t="s">
        <v>1</v>
      </c>
      <c r="F39" s="40" t="s">
        <v>1</v>
      </c>
      <c r="G39" s="40"/>
      <c r="H39" s="40"/>
      <c r="I39" s="41" t="s">
        <v>1</v>
      </c>
      <c r="J39" s="42" t="s">
        <v>1</v>
      </c>
      <c r="K39" s="40" t="s">
        <v>1</v>
      </c>
      <c r="L39" s="41" t="s">
        <v>1</v>
      </c>
      <c r="M39" s="42" t="s">
        <v>1</v>
      </c>
    </row>
    <row r="40" spans="1:13" ht="12">
      <c r="A40" s="43" t="s">
        <v>2</v>
      </c>
      <c r="C40" s="31" t="s">
        <v>3</v>
      </c>
      <c r="E40" s="43" t="s">
        <v>2</v>
      </c>
      <c r="F40" s="43"/>
      <c r="G40" s="45"/>
      <c r="H40" s="46" t="s">
        <v>240</v>
      </c>
      <c r="I40" s="45"/>
      <c r="J40" s="46" t="s">
        <v>247</v>
      </c>
      <c r="K40" s="46"/>
      <c r="L40" s="26"/>
      <c r="M40" s="44" t="s">
        <v>576</v>
      </c>
    </row>
    <row r="41" spans="1:13" ht="12">
      <c r="A41" s="43" t="s">
        <v>4</v>
      </c>
      <c r="C41" s="47" t="s">
        <v>5</v>
      </c>
      <c r="E41" s="43" t="s">
        <v>4</v>
      </c>
      <c r="F41" s="43"/>
      <c r="G41" s="45" t="s">
        <v>6</v>
      </c>
      <c r="H41" s="46" t="s">
        <v>7</v>
      </c>
      <c r="I41" s="45" t="s">
        <v>6</v>
      </c>
      <c r="J41" s="46" t="s">
        <v>7</v>
      </c>
      <c r="K41" s="46"/>
      <c r="L41" s="44" t="s">
        <v>21</v>
      </c>
      <c r="M41" s="44" t="s">
        <v>8</v>
      </c>
    </row>
    <row r="42" spans="1:13" ht="12">
      <c r="A42" s="40" t="s">
        <v>1</v>
      </c>
      <c r="B42" s="40" t="s">
        <v>1</v>
      </c>
      <c r="C42" s="40" t="s">
        <v>1</v>
      </c>
      <c r="D42" s="40" t="s">
        <v>1</v>
      </c>
      <c r="E42" s="40" t="s">
        <v>1</v>
      </c>
      <c r="F42" s="40"/>
      <c r="G42" s="41" t="s">
        <v>1</v>
      </c>
      <c r="H42" s="41" t="s">
        <v>1</v>
      </c>
      <c r="I42" s="41" t="s">
        <v>1</v>
      </c>
      <c r="J42" s="42" t="s">
        <v>1</v>
      </c>
      <c r="K42" s="42"/>
      <c r="L42" s="42" t="s">
        <v>1</v>
      </c>
      <c r="M42" s="42" t="s">
        <v>1</v>
      </c>
    </row>
    <row r="43" spans="1:14" ht="12">
      <c r="A43" s="30">
        <v>1</v>
      </c>
      <c r="C43" s="31" t="s">
        <v>9</v>
      </c>
      <c r="D43" s="48" t="s">
        <v>105</v>
      </c>
      <c r="E43" s="30">
        <v>1</v>
      </c>
      <c r="F43" s="30"/>
      <c r="G43" s="66">
        <v>530.9093695204758</v>
      </c>
      <c r="H43" s="67">
        <v>63651791</v>
      </c>
      <c r="I43" s="66">
        <v>585.835727058245</v>
      </c>
      <c r="J43" s="67">
        <v>75285685</v>
      </c>
      <c r="K43" s="67"/>
      <c r="L43" s="66">
        <v>569.4544819625833</v>
      </c>
      <c r="M43" s="67">
        <v>75769113</v>
      </c>
      <c r="N43" s="30"/>
    </row>
    <row r="44" spans="1:14" ht="12">
      <c r="A44" s="30">
        <v>2</v>
      </c>
      <c r="C44" s="31" t="s">
        <v>10</v>
      </c>
      <c r="D44" s="48" t="s">
        <v>106</v>
      </c>
      <c r="E44" s="30">
        <v>2</v>
      </c>
      <c r="F44" s="30"/>
      <c r="G44" s="66">
        <v>0.8589792899408284</v>
      </c>
      <c r="H44" s="67">
        <v>83194</v>
      </c>
      <c r="I44" s="66">
        <v>0</v>
      </c>
      <c r="J44" s="67">
        <v>58330</v>
      </c>
      <c r="K44" s="67"/>
      <c r="L44" s="66">
        <v>0</v>
      </c>
      <c r="M44" s="67">
        <v>20048</v>
      </c>
      <c r="N44" s="30"/>
    </row>
    <row r="45" spans="1:14" ht="12">
      <c r="A45" s="30">
        <v>3</v>
      </c>
      <c r="C45" s="31" t="s">
        <v>11</v>
      </c>
      <c r="D45" s="48" t="s">
        <v>107</v>
      </c>
      <c r="E45" s="30">
        <v>3</v>
      </c>
      <c r="F45" s="30"/>
      <c r="G45" s="66">
        <v>1.3217533090351046</v>
      </c>
      <c r="H45" s="67">
        <v>106788</v>
      </c>
      <c r="I45" s="66">
        <v>0</v>
      </c>
      <c r="J45" s="67">
        <v>57658</v>
      </c>
      <c r="K45" s="67"/>
      <c r="L45" s="66">
        <v>0</v>
      </c>
      <c r="M45" s="67">
        <v>0</v>
      </c>
      <c r="N45" s="30"/>
    </row>
    <row r="46" spans="1:14" ht="12">
      <c r="A46" s="30">
        <v>4</v>
      </c>
      <c r="C46" s="31" t="s">
        <v>12</v>
      </c>
      <c r="D46" s="48" t="s">
        <v>108</v>
      </c>
      <c r="E46" s="30">
        <v>4</v>
      </c>
      <c r="F46" s="30"/>
      <c r="G46" s="66">
        <v>130.6876175314859</v>
      </c>
      <c r="H46" s="67">
        <v>18419191</v>
      </c>
      <c r="I46" s="66">
        <v>128.3396683639544</v>
      </c>
      <c r="J46" s="67">
        <v>16216300</v>
      </c>
      <c r="K46" s="67"/>
      <c r="L46" s="66">
        <v>132.90939846121836</v>
      </c>
      <c r="M46" s="67">
        <v>17355813</v>
      </c>
      <c r="N46" s="30"/>
    </row>
    <row r="47" spans="1:14" ht="12">
      <c r="A47" s="30">
        <v>5</v>
      </c>
      <c r="C47" s="31" t="s">
        <v>13</v>
      </c>
      <c r="D47" s="48" t="s">
        <v>109</v>
      </c>
      <c r="E47" s="30">
        <v>5</v>
      </c>
      <c r="F47" s="30"/>
      <c r="G47" s="66">
        <v>12.995535396829117</v>
      </c>
      <c r="H47" s="67">
        <v>1051674</v>
      </c>
      <c r="I47" s="66">
        <v>12.175753557383088</v>
      </c>
      <c r="J47" s="67">
        <v>1150311</v>
      </c>
      <c r="K47" s="67"/>
      <c r="L47" s="66">
        <v>12.762504527679827</v>
      </c>
      <c r="M47" s="67">
        <v>1308201</v>
      </c>
      <c r="N47" s="30"/>
    </row>
    <row r="48" spans="1:14" ht="12">
      <c r="A48" s="30">
        <v>6</v>
      </c>
      <c r="C48" s="31" t="s">
        <v>14</v>
      </c>
      <c r="D48" s="48" t="s">
        <v>110</v>
      </c>
      <c r="E48" s="30">
        <v>6</v>
      </c>
      <c r="F48" s="30"/>
      <c r="G48" s="66">
        <v>232.15167456308558</v>
      </c>
      <c r="H48" s="67">
        <v>26542546</v>
      </c>
      <c r="I48" s="66">
        <v>235.3270628618601</v>
      </c>
      <c r="J48" s="67">
        <v>27248477</v>
      </c>
      <c r="K48" s="67"/>
      <c r="L48" s="66">
        <v>206.32</v>
      </c>
      <c r="M48" s="67">
        <v>25118726</v>
      </c>
      <c r="N48" s="30"/>
    </row>
    <row r="49" spans="1:14" ht="12">
      <c r="A49" s="30">
        <v>7</v>
      </c>
      <c r="C49" s="31" t="s">
        <v>59</v>
      </c>
      <c r="D49" s="48" t="s">
        <v>111</v>
      </c>
      <c r="E49" s="30">
        <v>7</v>
      </c>
      <c r="F49" s="30"/>
      <c r="G49" s="66">
        <v>218.06516893125024</v>
      </c>
      <c r="H49" s="67">
        <v>27791372</v>
      </c>
      <c r="I49" s="66">
        <v>215.94443885034133</v>
      </c>
      <c r="J49" s="67">
        <v>23108711</v>
      </c>
      <c r="K49" s="67"/>
      <c r="L49" s="66">
        <v>203.82000000000002</v>
      </c>
      <c r="M49" s="67">
        <v>22785533</v>
      </c>
      <c r="N49" s="30"/>
    </row>
    <row r="50" spans="1:14" ht="12">
      <c r="A50" s="30">
        <v>8</v>
      </c>
      <c r="C50" s="31" t="s">
        <v>15</v>
      </c>
      <c r="D50" s="48" t="s">
        <v>112</v>
      </c>
      <c r="E50" s="30">
        <v>8</v>
      </c>
      <c r="F50" s="30"/>
      <c r="G50" s="66">
        <v>0</v>
      </c>
      <c r="H50" s="67">
        <v>1469966</v>
      </c>
      <c r="I50" s="66">
        <v>0</v>
      </c>
      <c r="J50" s="67">
        <v>1506164</v>
      </c>
      <c r="K50" s="67"/>
      <c r="L50" s="66">
        <v>0</v>
      </c>
      <c r="M50" s="67">
        <v>1686133</v>
      </c>
      <c r="N50" s="30"/>
    </row>
    <row r="51" spans="1:14" ht="12">
      <c r="A51" s="30">
        <v>9</v>
      </c>
      <c r="C51" s="31" t="s">
        <v>89</v>
      </c>
      <c r="D51" s="48" t="s">
        <v>113</v>
      </c>
      <c r="E51" s="30">
        <v>9</v>
      </c>
      <c r="F51" s="30"/>
      <c r="G51" s="66">
        <v>0</v>
      </c>
      <c r="H51" s="66">
        <v>6604</v>
      </c>
      <c r="I51" s="66">
        <v>0</v>
      </c>
      <c r="J51" s="247">
        <v>0</v>
      </c>
      <c r="K51" s="247"/>
      <c r="L51" s="66">
        <v>0</v>
      </c>
      <c r="M51" s="247">
        <v>0</v>
      </c>
      <c r="N51" s="30"/>
    </row>
    <row r="52" spans="1:14" ht="12">
      <c r="A52" s="30">
        <v>10</v>
      </c>
      <c r="C52" s="31" t="s">
        <v>16</v>
      </c>
      <c r="D52" s="48" t="s">
        <v>88</v>
      </c>
      <c r="E52" s="30">
        <v>10</v>
      </c>
      <c r="F52" s="30"/>
      <c r="G52" s="67">
        <v>0</v>
      </c>
      <c r="H52" s="67">
        <v>27912560</v>
      </c>
      <c r="I52" s="67">
        <v>0</v>
      </c>
      <c r="J52" s="67">
        <v>37643980</v>
      </c>
      <c r="K52" s="67"/>
      <c r="L52" s="67">
        <v>0</v>
      </c>
      <c r="M52" s="67">
        <v>41798068</v>
      </c>
      <c r="N52" s="30"/>
    </row>
    <row r="53" spans="1:14" ht="12">
      <c r="A53" s="30"/>
      <c r="C53" s="31"/>
      <c r="D53" s="48"/>
      <c r="E53" s="30"/>
      <c r="F53" s="41" t="s">
        <v>1</v>
      </c>
      <c r="G53" s="41" t="s">
        <v>1</v>
      </c>
      <c r="H53" s="68"/>
      <c r="I53" s="41"/>
      <c r="J53" s="68"/>
      <c r="K53" s="68"/>
      <c r="L53" s="42" t="s">
        <v>1</v>
      </c>
      <c r="M53" s="42" t="s">
        <v>1</v>
      </c>
      <c r="N53" s="30"/>
    </row>
    <row r="54" spans="1:13" ht="12">
      <c r="A54" s="26">
        <v>11</v>
      </c>
      <c r="C54" s="31" t="s">
        <v>221</v>
      </c>
      <c r="E54" s="26">
        <v>11</v>
      </c>
      <c r="G54" s="66">
        <f aca="true" t="shared" si="0" ref="G54:M54">SUM(G43:G52)</f>
        <v>1126.9900985421027</v>
      </c>
      <c r="H54" s="67">
        <f t="shared" si="0"/>
        <v>167035686</v>
      </c>
      <c r="I54" s="66">
        <f t="shared" si="0"/>
        <v>1177.622650691784</v>
      </c>
      <c r="J54" s="67">
        <f t="shared" si="0"/>
        <v>182275616</v>
      </c>
      <c r="K54" s="67"/>
      <c r="L54" s="66">
        <f t="shared" si="0"/>
        <v>1125.2663849514815</v>
      </c>
      <c r="M54" s="67">
        <f t="shared" si="0"/>
        <v>185841635</v>
      </c>
    </row>
    <row r="55" spans="1:14" ht="12">
      <c r="A55" s="30"/>
      <c r="E55" s="30"/>
      <c r="F55" s="41" t="s">
        <v>1</v>
      </c>
      <c r="G55" s="41" t="s">
        <v>1</v>
      </c>
      <c r="H55" s="42"/>
      <c r="I55" s="41"/>
      <c r="J55" s="42"/>
      <c r="K55" s="42"/>
      <c r="L55" s="42" t="s">
        <v>1</v>
      </c>
      <c r="M55" s="42" t="s">
        <v>1</v>
      </c>
      <c r="N55" s="30"/>
    </row>
    <row r="56" spans="1:14" ht="12">
      <c r="A56" s="30"/>
      <c r="E56" s="30"/>
      <c r="F56" s="30"/>
      <c r="G56" s="36"/>
      <c r="H56" s="42"/>
      <c r="I56" s="36"/>
      <c r="J56" s="42"/>
      <c r="K56" s="42"/>
      <c r="L56" s="26"/>
      <c r="M56" s="26"/>
      <c r="N56" s="30"/>
    </row>
    <row r="57" spans="1:13" ht="12">
      <c r="A57" s="26">
        <v>12</v>
      </c>
      <c r="C57" s="31" t="s">
        <v>17</v>
      </c>
      <c r="E57" s="26">
        <v>12</v>
      </c>
      <c r="G57" s="50"/>
      <c r="H57" s="50"/>
      <c r="I57" s="66"/>
      <c r="J57" s="50"/>
      <c r="K57" s="50"/>
      <c r="L57" s="26"/>
      <c r="M57" s="26"/>
    </row>
    <row r="58" spans="1:14" ht="12">
      <c r="A58" s="30">
        <v>13</v>
      </c>
      <c r="C58" s="31" t="s">
        <v>196</v>
      </c>
      <c r="D58" s="48" t="s">
        <v>218</v>
      </c>
      <c r="E58" s="30">
        <v>13</v>
      </c>
      <c r="F58" s="30"/>
      <c r="G58" s="66">
        <v>0</v>
      </c>
      <c r="H58" s="67">
        <f aca="true" t="shared" si="1" ref="H58:M58">H390</f>
        <v>8511345</v>
      </c>
      <c r="I58" s="67">
        <f t="shared" si="1"/>
        <v>0</v>
      </c>
      <c r="J58" s="67">
        <f t="shared" si="1"/>
        <v>17997300</v>
      </c>
      <c r="K58" s="67">
        <f t="shared" si="1"/>
        <v>0</v>
      </c>
      <c r="L58" s="67">
        <f t="shared" si="1"/>
        <v>0</v>
      </c>
      <c r="M58" s="67">
        <f t="shared" si="1"/>
        <v>17150000</v>
      </c>
      <c r="N58" s="30"/>
    </row>
    <row r="59" spans="1:14" ht="12">
      <c r="A59" s="30">
        <v>14</v>
      </c>
      <c r="C59" s="31" t="s">
        <v>197</v>
      </c>
      <c r="D59" s="48" t="s">
        <v>219</v>
      </c>
      <c r="E59" s="30">
        <v>14</v>
      </c>
      <c r="F59" s="30"/>
      <c r="G59" s="67">
        <f>+G507+G96+G508</f>
        <v>0</v>
      </c>
      <c r="H59" s="67">
        <f aca="true" t="shared" si="2" ref="H59:M59">H425</f>
        <v>61214736</v>
      </c>
      <c r="I59" s="67">
        <f t="shared" si="2"/>
        <v>0</v>
      </c>
      <c r="J59" s="67">
        <f t="shared" si="2"/>
        <v>50591135</v>
      </c>
      <c r="K59" s="67">
        <f t="shared" si="2"/>
        <v>0</v>
      </c>
      <c r="L59" s="67">
        <f t="shared" si="2"/>
        <v>0</v>
      </c>
      <c r="M59" s="67">
        <f t="shared" si="2"/>
        <v>43757429</v>
      </c>
      <c r="N59" s="394"/>
    </row>
    <row r="60" spans="1:14" ht="12">
      <c r="A60" s="30">
        <v>15</v>
      </c>
      <c r="C60" s="31" t="s">
        <v>215</v>
      </c>
      <c r="D60" s="48"/>
      <c r="E60" s="30">
        <v>15</v>
      </c>
      <c r="F60" s="30"/>
      <c r="G60" s="66"/>
      <c r="H60" s="67">
        <v>1320070</v>
      </c>
      <c r="I60" s="66"/>
      <c r="J60" s="67">
        <v>1244045</v>
      </c>
      <c r="K60" s="67"/>
      <c r="L60" s="26"/>
      <c r="M60" s="67">
        <v>906700</v>
      </c>
      <c r="N60" s="30"/>
    </row>
    <row r="61" spans="1:14" ht="12">
      <c r="A61" s="30">
        <v>16</v>
      </c>
      <c r="C61" s="31" t="s">
        <v>214</v>
      </c>
      <c r="D61" s="48"/>
      <c r="E61" s="30">
        <v>16</v>
      </c>
      <c r="F61" s="30"/>
      <c r="G61" s="66">
        <v>416</v>
      </c>
      <c r="H61" s="67">
        <v>5340050</v>
      </c>
      <c r="I61" s="66">
        <v>422</v>
      </c>
      <c r="J61" s="67">
        <v>5696957</v>
      </c>
      <c r="K61" s="67"/>
      <c r="L61" s="66">
        <v>401</v>
      </c>
      <c r="M61" s="67">
        <v>5828209</v>
      </c>
      <c r="N61" s="30"/>
    </row>
    <row r="62" spans="1:254" ht="12">
      <c r="A62" s="48">
        <v>17</v>
      </c>
      <c r="B62" s="48"/>
      <c r="C62" s="52" t="s">
        <v>216</v>
      </c>
      <c r="D62" s="48" t="s">
        <v>235</v>
      </c>
      <c r="E62" s="48">
        <v>17</v>
      </c>
      <c r="F62" s="48"/>
      <c r="G62" s="66">
        <v>416</v>
      </c>
      <c r="H62" s="67">
        <f aca="true" t="shared" si="3" ref="H62:M62">SUM(H60:H61)</f>
        <v>6660120</v>
      </c>
      <c r="I62" s="66">
        <v>422</v>
      </c>
      <c r="J62" s="67">
        <f t="shared" si="3"/>
        <v>6941002</v>
      </c>
      <c r="K62" s="67"/>
      <c r="L62" s="66">
        <v>401</v>
      </c>
      <c r="M62" s="67">
        <f t="shared" si="3"/>
        <v>6734909</v>
      </c>
      <c r="N62" s="48"/>
      <c r="O62" s="52"/>
      <c r="P62" s="48"/>
      <c r="Q62" s="52"/>
      <c r="R62" s="48"/>
      <c r="S62" s="52"/>
      <c r="T62" s="48"/>
      <c r="U62" s="52"/>
      <c r="V62" s="48"/>
      <c r="W62" s="52"/>
      <c r="X62" s="48"/>
      <c r="Y62" s="52"/>
      <c r="Z62" s="48"/>
      <c r="AA62" s="52"/>
      <c r="AB62" s="48"/>
      <c r="AC62" s="52"/>
      <c r="AD62" s="48"/>
      <c r="AE62" s="52"/>
      <c r="AF62" s="48"/>
      <c r="AG62" s="52"/>
      <c r="AH62" s="48"/>
      <c r="AI62" s="52"/>
      <c r="AJ62" s="48"/>
      <c r="AK62" s="52"/>
      <c r="AL62" s="48"/>
      <c r="AM62" s="52"/>
      <c r="AN62" s="48"/>
      <c r="AO62" s="52"/>
      <c r="AP62" s="48"/>
      <c r="AQ62" s="52"/>
      <c r="AR62" s="48"/>
      <c r="AS62" s="52"/>
      <c r="AT62" s="48"/>
      <c r="AU62" s="52"/>
      <c r="AV62" s="48"/>
      <c r="AW62" s="52"/>
      <c r="AX62" s="48"/>
      <c r="AY62" s="52"/>
      <c r="AZ62" s="48"/>
      <c r="BA62" s="52"/>
      <c r="BB62" s="48"/>
      <c r="BC62" s="52"/>
      <c r="BD62" s="48"/>
      <c r="BE62" s="52"/>
      <c r="BF62" s="48"/>
      <c r="BG62" s="52"/>
      <c r="BH62" s="48"/>
      <c r="BI62" s="52"/>
      <c r="BJ62" s="48"/>
      <c r="BK62" s="52"/>
      <c r="BL62" s="48"/>
      <c r="BM62" s="52"/>
      <c r="BN62" s="48"/>
      <c r="BO62" s="52"/>
      <c r="BP62" s="48"/>
      <c r="BQ62" s="52"/>
      <c r="BR62" s="48"/>
      <c r="BS62" s="52"/>
      <c r="BT62" s="48"/>
      <c r="BU62" s="52"/>
      <c r="BV62" s="48"/>
      <c r="BW62" s="52"/>
      <c r="BX62" s="48"/>
      <c r="BY62" s="52"/>
      <c r="BZ62" s="48"/>
      <c r="CA62" s="52"/>
      <c r="CB62" s="48"/>
      <c r="CC62" s="52"/>
      <c r="CD62" s="48"/>
      <c r="CE62" s="52"/>
      <c r="CF62" s="48"/>
      <c r="CG62" s="52"/>
      <c r="CH62" s="48"/>
      <c r="CI62" s="52"/>
      <c r="CJ62" s="48"/>
      <c r="CK62" s="52"/>
      <c r="CL62" s="48"/>
      <c r="CM62" s="52"/>
      <c r="CN62" s="48"/>
      <c r="CO62" s="52"/>
      <c r="CP62" s="48"/>
      <c r="CQ62" s="52"/>
      <c r="CR62" s="48"/>
      <c r="CS62" s="52"/>
      <c r="CT62" s="48"/>
      <c r="CU62" s="52"/>
      <c r="CV62" s="48"/>
      <c r="CW62" s="52"/>
      <c r="CX62" s="48"/>
      <c r="CY62" s="52"/>
      <c r="CZ62" s="48"/>
      <c r="DA62" s="52"/>
      <c r="DB62" s="48"/>
      <c r="DC62" s="52"/>
      <c r="DD62" s="48"/>
      <c r="DE62" s="52"/>
      <c r="DF62" s="48"/>
      <c r="DG62" s="52"/>
      <c r="DH62" s="48"/>
      <c r="DI62" s="52"/>
      <c r="DJ62" s="48"/>
      <c r="DK62" s="52"/>
      <c r="DL62" s="48"/>
      <c r="DM62" s="52"/>
      <c r="DN62" s="48"/>
      <c r="DO62" s="52"/>
      <c r="DP62" s="48"/>
      <c r="DQ62" s="52"/>
      <c r="DR62" s="48"/>
      <c r="DS62" s="52"/>
      <c r="DT62" s="48"/>
      <c r="DU62" s="52"/>
      <c r="DV62" s="48"/>
      <c r="DW62" s="52"/>
      <c r="DX62" s="48"/>
      <c r="DY62" s="52"/>
      <c r="DZ62" s="48"/>
      <c r="EA62" s="52"/>
      <c r="EB62" s="48"/>
      <c r="EC62" s="52"/>
      <c r="ED62" s="48"/>
      <c r="EE62" s="52"/>
      <c r="EF62" s="48"/>
      <c r="EG62" s="52"/>
      <c r="EH62" s="48"/>
      <c r="EI62" s="52"/>
      <c r="EJ62" s="48"/>
      <c r="EK62" s="52"/>
      <c r="EL62" s="48"/>
      <c r="EM62" s="52"/>
      <c r="EN62" s="48"/>
      <c r="EO62" s="52"/>
      <c r="EP62" s="48"/>
      <c r="EQ62" s="52"/>
      <c r="ER62" s="48"/>
      <c r="ES62" s="52"/>
      <c r="ET62" s="48"/>
      <c r="EU62" s="52"/>
      <c r="EV62" s="48"/>
      <c r="EW62" s="52"/>
      <c r="EX62" s="48"/>
      <c r="EY62" s="52"/>
      <c r="EZ62" s="48"/>
      <c r="FA62" s="52"/>
      <c r="FB62" s="48"/>
      <c r="FC62" s="52"/>
      <c r="FD62" s="48"/>
      <c r="FE62" s="52"/>
      <c r="FF62" s="48"/>
      <c r="FG62" s="52"/>
      <c r="FH62" s="48"/>
      <c r="FI62" s="52"/>
      <c r="FJ62" s="48"/>
      <c r="FK62" s="52"/>
      <c r="FL62" s="48"/>
      <c r="FM62" s="52"/>
      <c r="FN62" s="48"/>
      <c r="FO62" s="52"/>
      <c r="FP62" s="48"/>
      <c r="FQ62" s="52"/>
      <c r="FR62" s="48"/>
      <c r="FS62" s="52"/>
      <c r="FT62" s="48"/>
      <c r="FU62" s="52"/>
      <c r="FV62" s="48"/>
      <c r="FW62" s="52"/>
      <c r="FX62" s="48"/>
      <c r="FY62" s="52"/>
      <c r="FZ62" s="48"/>
      <c r="GA62" s="52"/>
      <c r="GB62" s="48"/>
      <c r="GC62" s="52"/>
      <c r="GD62" s="48"/>
      <c r="GE62" s="52"/>
      <c r="GF62" s="48"/>
      <c r="GG62" s="52"/>
      <c r="GH62" s="48"/>
      <c r="GI62" s="52"/>
      <c r="GJ62" s="48"/>
      <c r="GK62" s="52"/>
      <c r="GL62" s="48"/>
      <c r="GM62" s="52"/>
      <c r="GN62" s="48"/>
      <c r="GO62" s="52"/>
      <c r="GP62" s="48"/>
      <c r="GQ62" s="52"/>
      <c r="GR62" s="48"/>
      <c r="GS62" s="52"/>
      <c r="GT62" s="48"/>
      <c r="GU62" s="52"/>
      <c r="GV62" s="48"/>
      <c r="GW62" s="52"/>
      <c r="GX62" s="48"/>
      <c r="GY62" s="52"/>
      <c r="GZ62" s="48"/>
      <c r="HA62" s="52"/>
      <c r="HB62" s="48"/>
      <c r="HC62" s="52"/>
      <c r="HD62" s="48"/>
      <c r="HE62" s="52"/>
      <c r="HF62" s="48"/>
      <c r="HG62" s="52"/>
      <c r="HH62" s="48"/>
      <c r="HI62" s="52"/>
      <c r="HJ62" s="48"/>
      <c r="HK62" s="52"/>
      <c r="HL62" s="48"/>
      <c r="HM62" s="52"/>
      <c r="HN62" s="48"/>
      <c r="HO62" s="52"/>
      <c r="HP62" s="48"/>
      <c r="HQ62" s="52"/>
      <c r="HR62" s="48"/>
      <c r="HS62" s="52"/>
      <c r="HT62" s="48"/>
      <c r="HU62" s="52"/>
      <c r="HV62" s="48"/>
      <c r="HW62" s="52"/>
      <c r="HX62" s="48"/>
      <c r="HY62" s="52"/>
      <c r="HZ62" s="48"/>
      <c r="IA62" s="52"/>
      <c r="IB62" s="48"/>
      <c r="IC62" s="52"/>
      <c r="ID62" s="48"/>
      <c r="IE62" s="52"/>
      <c r="IF62" s="48"/>
      <c r="IG62" s="52"/>
      <c r="IH62" s="48"/>
      <c r="II62" s="52"/>
      <c r="IJ62" s="48"/>
      <c r="IK62" s="52"/>
      <c r="IL62" s="48"/>
      <c r="IM62" s="52"/>
      <c r="IN62" s="48"/>
      <c r="IO62" s="52"/>
      <c r="IP62" s="48"/>
      <c r="IQ62" s="52"/>
      <c r="IR62" s="48"/>
      <c r="IS62" s="52"/>
      <c r="IT62" s="48"/>
    </row>
    <row r="63" spans="1:14" ht="12">
      <c r="A63" s="30">
        <v>18</v>
      </c>
      <c r="C63" s="31" t="s">
        <v>217</v>
      </c>
      <c r="D63" s="48" t="s">
        <v>235</v>
      </c>
      <c r="E63" s="30">
        <v>18</v>
      </c>
      <c r="F63" s="30"/>
      <c r="G63" s="66">
        <v>2200</v>
      </c>
      <c r="H63" s="67">
        <f aca="true" t="shared" si="4" ref="H63:M63">H305</f>
        <v>25461459</v>
      </c>
      <c r="I63" s="66">
        <f t="shared" si="4"/>
        <v>2161</v>
      </c>
      <c r="J63" s="67">
        <f t="shared" si="4"/>
        <v>27091494</v>
      </c>
      <c r="K63" s="67">
        <f t="shared" si="4"/>
        <v>0</v>
      </c>
      <c r="L63" s="66">
        <f t="shared" si="4"/>
        <v>2099</v>
      </c>
      <c r="M63" s="67">
        <f t="shared" si="4"/>
        <v>29297352</v>
      </c>
      <c r="N63" s="30"/>
    </row>
    <row r="64" spans="1:14" ht="12">
      <c r="A64" s="30">
        <v>19</v>
      </c>
      <c r="C64" s="31" t="s">
        <v>182</v>
      </c>
      <c r="D64" s="48" t="s">
        <v>235</v>
      </c>
      <c r="E64" s="30">
        <v>19</v>
      </c>
      <c r="F64" s="30"/>
      <c r="G64" s="66">
        <v>363</v>
      </c>
      <c r="H64" s="67">
        <f aca="true" t="shared" si="5" ref="H64:M64">H311</f>
        <v>8274198</v>
      </c>
      <c r="I64" s="66">
        <f t="shared" si="5"/>
        <v>416</v>
      </c>
      <c r="J64" s="67">
        <f t="shared" si="5"/>
        <v>9605230</v>
      </c>
      <c r="K64" s="67">
        <f t="shared" si="5"/>
        <v>0</v>
      </c>
      <c r="L64" s="66">
        <f t="shared" si="5"/>
        <v>450</v>
      </c>
      <c r="M64" s="67">
        <f t="shared" si="5"/>
        <v>11032417</v>
      </c>
      <c r="N64" s="30"/>
    </row>
    <row r="65" spans="1:14" ht="12">
      <c r="A65" s="30">
        <v>20</v>
      </c>
      <c r="C65" s="31" t="s">
        <v>159</v>
      </c>
      <c r="D65" s="48" t="s">
        <v>235</v>
      </c>
      <c r="E65" s="30">
        <v>20</v>
      </c>
      <c r="F65" s="30"/>
      <c r="G65" s="66">
        <v>2979</v>
      </c>
      <c r="H65" s="67">
        <f aca="true" t="shared" si="6" ref="H65:M65">H62+H63+H64</f>
        <v>40395777</v>
      </c>
      <c r="I65" s="66">
        <v>2999</v>
      </c>
      <c r="J65" s="67">
        <f t="shared" si="6"/>
        <v>43637726</v>
      </c>
      <c r="K65" s="67"/>
      <c r="L65" s="66">
        <v>2950</v>
      </c>
      <c r="M65" s="67">
        <f t="shared" si="6"/>
        <v>47064678</v>
      </c>
      <c r="N65" s="30"/>
    </row>
    <row r="66" spans="1:14" ht="12">
      <c r="A66" s="48" t="s">
        <v>577</v>
      </c>
      <c r="C66" s="31" t="s">
        <v>594</v>
      </c>
      <c r="D66" s="48" t="s">
        <v>234</v>
      </c>
      <c r="E66" s="30">
        <v>21</v>
      </c>
      <c r="F66" s="30"/>
      <c r="G66" s="66">
        <v>0</v>
      </c>
      <c r="H66" s="67">
        <f aca="true" t="shared" si="7" ref="H66:M66">H339</f>
        <v>3151383</v>
      </c>
      <c r="I66" s="67">
        <f t="shared" si="7"/>
        <v>0</v>
      </c>
      <c r="J66" s="67">
        <f t="shared" si="7"/>
        <v>3829906.4000000004</v>
      </c>
      <c r="K66" s="67">
        <f t="shared" si="7"/>
        <v>0</v>
      </c>
      <c r="L66" s="67">
        <f t="shared" si="7"/>
        <v>0</v>
      </c>
      <c r="M66" s="67">
        <f t="shared" si="7"/>
        <v>6262618</v>
      </c>
      <c r="N66" s="48"/>
    </row>
    <row r="67" spans="1:14" ht="12">
      <c r="A67" s="48" t="s">
        <v>579</v>
      </c>
      <c r="C67" s="31" t="s">
        <v>580</v>
      </c>
      <c r="D67" s="48"/>
      <c r="E67" s="48" t="s">
        <v>579</v>
      </c>
      <c r="F67" s="48"/>
      <c r="G67" s="66"/>
      <c r="H67" s="67">
        <f>H378</f>
        <v>0</v>
      </c>
      <c r="I67" s="66"/>
      <c r="J67" s="67">
        <f>J329</f>
        <v>14954668</v>
      </c>
      <c r="K67" s="67">
        <f>K329</f>
        <v>0</v>
      </c>
      <c r="L67" s="67">
        <f>L329</f>
        <v>0</v>
      </c>
      <c r="M67" s="67">
        <f>M329</f>
        <v>22179805</v>
      </c>
      <c r="N67" s="48"/>
    </row>
    <row r="68" spans="1:14" ht="12">
      <c r="A68" s="30">
        <v>22</v>
      </c>
      <c r="C68" s="53"/>
      <c r="E68" s="30">
        <v>22</v>
      </c>
      <c r="F68" s="40" t="s">
        <v>1</v>
      </c>
      <c r="G68" s="40"/>
      <c r="H68" s="40"/>
      <c r="I68" s="41"/>
      <c r="J68" s="42"/>
      <c r="K68" s="51"/>
      <c r="L68" s="41"/>
      <c r="M68" s="42"/>
      <c r="N68" s="30"/>
    </row>
    <row r="69" spans="1:14" ht="12">
      <c r="A69" s="30">
        <v>23</v>
      </c>
      <c r="C69" s="26" t="s">
        <v>186</v>
      </c>
      <c r="D69" s="54"/>
      <c r="E69" s="30">
        <v>23</v>
      </c>
      <c r="F69" s="30"/>
      <c r="G69" s="66"/>
      <c r="H69" s="67">
        <f>SUM(H58,H59,H65,H66)</f>
        <v>113273241</v>
      </c>
      <c r="I69" s="66"/>
      <c r="J69" s="67">
        <f>SUM(J58,J59,J65,J66)+J67</f>
        <v>131010735.4</v>
      </c>
      <c r="K69" s="67"/>
      <c r="L69" s="26"/>
      <c r="M69" s="67">
        <f>SUM(M58,M59,M65,M66)+M67</f>
        <v>136414530</v>
      </c>
      <c r="N69" s="30"/>
    </row>
    <row r="70" spans="1:14" ht="12">
      <c r="A70" s="30">
        <v>24</v>
      </c>
      <c r="C70" s="53"/>
      <c r="D70" s="31"/>
      <c r="E70" s="30">
        <v>24</v>
      </c>
      <c r="F70" s="30"/>
      <c r="G70" s="27"/>
      <c r="H70" s="28"/>
      <c r="K70" s="28"/>
      <c r="L70" s="26"/>
      <c r="M70" s="26"/>
      <c r="N70" s="30"/>
    </row>
    <row r="71" spans="1:14" ht="12">
      <c r="A71" s="30">
        <v>25</v>
      </c>
      <c r="C71" s="145" t="s">
        <v>502</v>
      </c>
      <c r="D71" s="48" t="s">
        <v>236</v>
      </c>
      <c r="E71" s="30">
        <v>25</v>
      </c>
      <c r="F71" s="30"/>
      <c r="G71" s="66"/>
      <c r="H71" s="67">
        <f aca="true" t="shared" si="8" ref="H71:M71">H375</f>
        <v>53762445</v>
      </c>
      <c r="I71" s="67">
        <f t="shared" si="8"/>
        <v>0</v>
      </c>
      <c r="J71" s="67">
        <f t="shared" si="8"/>
        <v>51264879.269999996</v>
      </c>
      <c r="K71" s="67">
        <f t="shared" si="8"/>
        <v>0</v>
      </c>
      <c r="L71" s="67">
        <f t="shared" si="8"/>
        <v>0</v>
      </c>
      <c r="M71" s="67">
        <f t="shared" si="8"/>
        <v>49427105</v>
      </c>
      <c r="N71" s="30"/>
    </row>
    <row r="72" spans="1:13" ht="12">
      <c r="A72" s="26">
        <v>26</v>
      </c>
      <c r="E72" s="26">
        <v>26</v>
      </c>
      <c r="F72" s="40" t="s">
        <v>1</v>
      </c>
      <c r="G72" s="40"/>
      <c r="H72" s="40"/>
      <c r="I72" s="41"/>
      <c r="J72" s="42"/>
      <c r="K72" s="51"/>
      <c r="L72" s="41"/>
      <c r="M72" s="42"/>
    </row>
    <row r="73" spans="1:14" ht="13.5" customHeight="1">
      <c r="A73" s="30">
        <v>27</v>
      </c>
      <c r="C73" s="31" t="s">
        <v>222</v>
      </c>
      <c r="E73" s="30">
        <v>27</v>
      </c>
      <c r="F73" s="30"/>
      <c r="G73" s="66"/>
      <c r="H73" s="67">
        <f>SUM(H69,H71)</f>
        <v>167035686</v>
      </c>
      <c r="I73" s="66"/>
      <c r="J73" s="67">
        <f>SUM(J69,J71)+1</f>
        <v>182275615.67000002</v>
      </c>
      <c r="K73" s="67"/>
      <c r="L73" s="26"/>
      <c r="M73" s="67">
        <f>SUM(M69,M71)</f>
        <v>185841635</v>
      </c>
      <c r="N73" s="30"/>
    </row>
    <row r="74" spans="1:14" ht="12">
      <c r="A74" s="30"/>
      <c r="C74" s="31"/>
      <c r="E74" s="30"/>
      <c r="F74" s="30"/>
      <c r="G74" s="187"/>
      <c r="H74" s="247"/>
      <c r="I74" s="187"/>
      <c r="J74" s="247"/>
      <c r="K74" s="247"/>
      <c r="L74" s="26"/>
      <c r="M74" s="247"/>
      <c r="N74" s="30"/>
    </row>
    <row r="75" spans="3:13" ht="12">
      <c r="C75" s="57" t="s">
        <v>90</v>
      </c>
      <c r="D75" s="58"/>
      <c r="E75" s="57"/>
      <c r="F75" s="57"/>
      <c r="G75" s="234"/>
      <c r="H75" s="258">
        <v>6965659</v>
      </c>
      <c r="I75" s="234"/>
      <c r="J75" s="234">
        <v>10152931</v>
      </c>
      <c r="K75" s="234"/>
      <c r="L75" s="234"/>
      <c r="M75" s="234">
        <v>10102941</v>
      </c>
    </row>
    <row r="76" ht="12">
      <c r="E76" s="69"/>
    </row>
    <row r="77" spans="1:15" ht="12">
      <c r="A77" s="38" t="str">
        <f>$A$36</f>
        <v>Institution No.:  GFE</v>
      </c>
      <c r="E77" s="69"/>
      <c r="I77" s="36"/>
      <c r="J77" s="74"/>
      <c r="L77" s="36"/>
      <c r="M77" s="37" t="s">
        <v>116</v>
      </c>
      <c r="N77" s="24"/>
      <c r="O77" s="78"/>
    </row>
    <row r="78" spans="1:15" s="65" customFormat="1" ht="12">
      <c r="A78" s="400" t="s">
        <v>117</v>
      </c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79"/>
      <c r="O78" s="80"/>
    </row>
    <row r="79" spans="1:15" ht="12">
      <c r="A79" s="38" t="s">
        <v>551</v>
      </c>
      <c r="C79" s="26" t="s">
        <v>553</v>
      </c>
      <c r="J79" s="74"/>
      <c r="L79" s="36"/>
      <c r="M79" s="39" t="str">
        <f>$M$3</f>
        <v>Date: 10/1/2009</v>
      </c>
      <c r="N79" s="24"/>
      <c r="O79" s="78"/>
    </row>
    <row r="80" spans="1:13" ht="12">
      <c r="A80" s="40" t="s">
        <v>1</v>
      </c>
      <c r="B80" s="40" t="s">
        <v>1</v>
      </c>
      <c r="C80" s="40" t="s">
        <v>1</v>
      </c>
      <c r="D80" s="40" t="s">
        <v>1</v>
      </c>
      <c r="E80" s="40" t="s">
        <v>1</v>
      </c>
      <c r="F80" s="40" t="s">
        <v>1</v>
      </c>
      <c r="G80" s="40"/>
      <c r="H80" s="40"/>
      <c r="I80" s="41" t="s">
        <v>1</v>
      </c>
      <c r="J80" s="42" t="s">
        <v>1</v>
      </c>
      <c r="K80" s="40" t="s">
        <v>1</v>
      </c>
      <c r="L80" s="41" t="s">
        <v>1</v>
      </c>
      <c r="M80" s="42" t="s">
        <v>1</v>
      </c>
    </row>
    <row r="81" spans="1:13" ht="12">
      <c r="A81" s="43" t="s">
        <v>2</v>
      </c>
      <c r="E81" s="43" t="s">
        <v>2</v>
      </c>
      <c r="G81" s="44"/>
      <c r="H81" s="44" t="s">
        <v>240</v>
      </c>
      <c r="I81" s="45"/>
      <c r="J81" s="46" t="s">
        <v>247</v>
      </c>
      <c r="K81" s="44"/>
      <c r="L81" s="45"/>
      <c r="M81" s="46" t="s">
        <v>576</v>
      </c>
    </row>
    <row r="82" spans="1:13" ht="12">
      <c r="A82" s="43" t="s">
        <v>4</v>
      </c>
      <c r="E82" s="43" t="s">
        <v>4</v>
      </c>
      <c r="G82" s="44"/>
      <c r="H82" s="44" t="s">
        <v>7</v>
      </c>
      <c r="I82" s="45"/>
      <c r="J82" s="46" t="s">
        <v>7</v>
      </c>
      <c r="K82" s="44"/>
      <c r="L82" s="45"/>
      <c r="M82" s="46" t="s">
        <v>8</v>
      </c>
    </row>
    <row r="83" spans="1:13" ht="12">
      <c r="A83" s="40" t="s">
        <v>1</v>
      </c>
      <c r="B83" s="40" t="s">
        <v>1</v>
      </c>
      <c r="C83" s="40" t="s">
        <v>1</v>
      </c>
      <c r="D83" s="40" t="s">
        <v>1</v>
      </c>
      <c r="E83" s="40" t="s">
        <v>1</v>
      </c>
      <c r="F83" s="40"/>
      <c r="G83" s="40" t="s">
        <v>1</v>
      </c>
      <c r="H83" s="40" t="s">
        <v>1</v>
      </c>
      <c r="I83" s="41" t="s">
        <v>1</v>
      </c>
      <c r="J83" s="42" t="s">
        <v>1</v>
      </c>
      <c r="K83" s="40"/>
      <c r="L83" s="41" t="s">
        <v>1</v>
      </c>
      <c r="M83" s="42" t="s">
        <v>1</v>
      </c>
    </row>
    <row r="84" spans="1:13" ht="12">
      <c r="A84" s="30">
        <v>1</v>
      </c>
      <c r="C84" s="31" t="s">
        <v>118</v>
      </c>
      <c r="E84" s="30">
        <v>1</v>
      </c>
      <c r="H84" s="49"/>
      <c r="I84" s="36"/>
      <c r="J84" s="49"/>
      <c r="L84" s="36"/>
      <c r="M84" s="49"/>
    </row>
    <row r="85" spans="1:13" ht="12">
      <c r="A85" s="48" t="s">
        <v>198</v>
      </c>
      <c r="C85" s="31" t="s">
        <v>201</v>
      </c>
      <c r="E85" s="48" t="s">
        <v>198</v>
      </c>
      <c r="F85" s="55"/>
      <c r="G85" s="55"/>
      <c r="H85" s="81"/>
      <c r="I85" s="81"/>
      <c r="J85" s="82"/>
      <c r="K85" s="81"/>
      <c r="L85" s="81"/>
      <c r="M85" s="82"/>
    </row>
    <row r="86" spans="1:13" ht="12">
      <c r="A86" s="48" t="s">
        <v>199</v>
      </c>
      <c r="C86" s="31" t="s">
        <v>202</v>
      </c>
      <c r="E86" s="48" t="s">
        <v>199</v>
      </c>
      <c r="F86" s="55"/>
      <c r="G86" s="55"/>
      <c r="H86" s="82"/>
      <c r="I86" s="81"/>
      <c r="J86" s="82">
        <v>0</v>
      </c>
      <c r="K86" s="81"/>
      <c r="L86" s="81"/>
      <c r="M86" s="82"/>
    </row>
    <row r="87" spans="1:13" ht="12">
      <c r="A87" s="48" t="s">
        <v>200</v>
      </c>
      <c r="C87" s="31" t="s">
        <v>203</v>
      </c>
      <c r="E87" s="48" t="s">
        <v>200</v>
      </c>
      <c r="F87" s="55"/>
      <c r="G87" s="55"/>
      <c r="H87" s="82">
        <v>416</v>
      </c>
      <c r="I87" s="81"/>
      <c r="J87" s="82">
        <v>422</v>
      </c>
      <c r="K87" s="81"/>
      <c r="L87" s="81"/>
      <c r="M87" s="82">
        <v>401</v>
      </c>
    </row>
    <row r="88" spans="1:13" ht="12">
      <c r="A88" s="30">
        <v>3</v>
      </c>
      <c r="C88" s="31" t="s">
        <v>119</v>
      </c>
      <c r="E88" s="30">
        <v>3</v>
      </c>
      <c r="F88" s="55"/>
      <c r="G88" s="55"/>
      <c r="H88" s="82">
        <v>2200</v>
      </c>
      <c r="I88" s="81"/>
      <c r="J88" s="82">
        <v>2161</v>
      </c>
      <c r="K88" s="81"/>
      <c r="L88" s="81"/>
      <c r="M88" s="82">
        <v>2099</v>
      </c>
    </row>
    <row r="89" spans="1:13" ht="12">
      <c r="A89" s="30">
        <v>4</v>
      </c>
      <c r="C89" s="31" t="s">
        <v>120</v>
      </c>
      <c r="E89" s="30">
        <v>4</v>
      </c>
      <c r="F89" s="55"/>
      <c r="G89" s="55"/>
      <c r="H89" s="82">
        <v>2616</v>
      </c>
      <c r="I89" s="81"/>
      <c r="J89" s="82">
        <v>2583</v>
      </c>
      <c r="K89" s="81"/>
      <c r="L89" s="81"/>
      <c r="M89" s="82">
        <v>2500</v>
      </c>
    </row>
    <row r="90" spans="1:13" ht="12">
      <c r="A90" s="30">
        <v>5</v>
      </c>
      <c r="E90" s="30">
        <v>5</v>
      </c>
      <c r="F90" s="55"/>
      <c r="G90" s="55"/>
      <c r="H90" s="82"/>
      <c r="I90" s="81"/>
      <c r="J90" s="82"/>
      <c r="K90" s="81"/>
      <c r="L90" s="81"/>
      <c r="M90" s="82"/>
    </row>
    <row r="91" spans="1:13" ht="12">
      <c r="A91" s="30">
        <v>6</v>
      </c>
      <c r="C91" s="31" t="s">
        <v>121</v>
      </c>
      <c r="E91" s="30">
        <v>6</v>
      </c>
      <c r="F91" s="55"/>
      <c r="G91" s="55"/>
      <c r="H91" s="82">
        <v>14</v>
      </c>
      <c r="I91" s="81"/>
      <c r="J91" s="82">
        <v>13</v>
      </c>
      <c r="K91" s="81"/>
      <c r="L91" s="81"/>
      <c r="M91" s="82">
        <v>4</v>
      </c>
    </row>
    <row r="92" spans="1:13" ht="12">
      <c r="A92" s="30">
        <v>7</v>
      </c>
      <c r="C92" s="31" t="s">
        <v>122</v>
      </c>
      <c r="E92" s="30">
        <v>7</v>
      </c>
      <c r="F92" s="55"/>
      <c r="G92" s="55"/>
      <c r="H92" s="82">
        <v>349</v>
      </c>
      <c r="I92" s="81"/>
      <c r="J92" s="82">
        <v>403</v>
      </c>
      <c r="K92" s="81"/>
      <c r="L92" s="81"/>
      <c r="M92" s="82">
        <v>446</v>
      </c>
    </row>
    <row r="93" spans="1:13" ht="12">
      <c r="A93" s="30">
        <v>8</v>
      </c>
      <c r="C93" s="31" t="s">
        <v>123</v>
      </c>
      <c r="E93" s="30">
        <v>8</v>
      </c>
      <c r="F93" s="55"/>
      <c r="G93" s="55"/>
      <c r="H93" s="82">
        <v>363</v>
      </c>
      <c r="I93" s="81"/>
      <c r="J93" s="82">
        <v>416</v>
      </c>
      <c r="K93" s="81"/>
      <c r="L93" s="81"/>
      <c r="M93" s="82">
        <v>450</v>
      </c>
    </row>
    <row r="94" spans="1:13" ht="12">
      <c r="A94" s="30">
        <v>9</v>
      </c>
      <c r="E94" s="30">
        <v>9</v>
      </c>
      <c r="F94" s="55"/>
      <c r="G94" s="55"/>
      <c r="H94" s="82"/>
      <c r="I94" s="81"/>
      <c r="J94" s="82"/>
      <c r="K94" s="81"/>
      <c r="L94" s="81"/>
      <c r="M94" s="82"/>
    </row>
    <row r="95" spans="1:13" ht="12">
      <c r="A95" s="30">
        <v>10</v>
      </c>
      <c r="C95" s="31" t="s">
        <v>124</v>
      </c>
      <c r="E95" s="30">
        <v>10</v>
      </c>
      <c r="F95" s="55"/>
      <c r="G95" s="55"/>
      <c r="H95" s="82">
        <v>430</v>
      </c>
      <c r="I95" s="81"/>
      <c r="J95" s="82">
        <v>435</v>
      </c>
      <c r="K95" s="81"/>
      <c r="L95" s="81"/>
      <c r="M95" s="82">
        <v>405</v>
      </c>
    </row>
    <row r="96" spans="1:13" ht="12">
      <c r="A96" s="30">
        <v>11</v>
      </c>
      <c r="C96" s="31" t="s">
        <v>125</v>
      </c>
      <c r="E96" s="30">
        <v>11</v>
      </c>
      <c r="F96" s="55"/>
      <c r="G96" s="55"/>
      <c r="H96" s="82">
        <v>2549</v>
      </c>
      <c r="I96" s="81"/>
      <c r="J96" s="82">
        <v>2564</v>
      </c>
      <c r="K96" s="81"/>
      <c r="L96" s="81"/>
      <c r="M96" s="82">
        <v>2545</v>
      </c>
    </row>
    <row r="97" spans="1:13" ht="12">
      <c r="A97" s="30">
        <v>12</v>
      </c>
      <c r="C97" s="31" t="s">
        <v>126</v>
      </c>
      <c r="E97" s="30">
        <v>12</v>
      </c>
      <c r="F97" s="55"/>
      <c r="G97" s="55"/>
      <c r="H97" s="82">
        <v>2979</v>
      </c>
      <c r="I97" s="81"/>
      <c r="J97" s="82">
        <v>2999</v>
      </c>
      <c r="K97" s="81"/>
      <c r="L97" s="81"/>
      <c r="M97" s="82">
        <v>2950</v>
      </c>
    </row>
    <row r="98" spans="1:13" ht="12">
      <c r="A98" s="30">
        <v>13</v>
      </c>
      <c r="E98" s="30">
        <v>13</v>
      </c>
      <c r="H98" s="83"/>
      <c r="I98" s="81"/>
      <c r="J98" s="83"/>
      <c r="K98" s="84"/>
      <c r="L98" s="81"/>
      <c r="M98" s="83"/>
    </row>
    <row r="99" spans="1:13" ht="12">
      <c r="A99" s="30">
        <v>15</v>
      </c>
      <c r="C99" s="31" t="s">
        <v>127</v>
      </c>
      <c r="E99" s="30">
        <v>15</v>
      </c>
      <c r="H99" s="85"/>
      <c r="I99" s="81"/>
      <c r="J99" s="85"/>
      <c r="K99" s="84"/>
      <c r="L99" s="81"/>
      <c r="M99" s="85"/>
    </row>
    <row r="100" spans="1:13" ht="12">
      <c r="A100" s="30">
        <v>16</v>
      </c>
      <c r="C100" s="31" t="s">
        <v>187</v>
      </c>
      <c r="E100" s="30">
        <v>16</v>
      </c>
      <c r="H100" s="83">
        <f>(H73-H368)/H97</f>
        <v>38366.70258475999</v>
      </c>
      <c r="I100" s="83"/>
      <c r="J100" s="83">
        <f>(J73-J368)/J97</f>
        <v>43716.52564188063</v>
      </c>
      <c r="K100" s="83"/>
      <c r="L100" s="83"/>
      <c r="M100" s="83">
        <f>(M73-M368)/M97</f>
        <v>46485.73661016949</v>
      </c>
    </row>
    <row r="101" spans="1:13" ht="12">
      <c r="A101" s="30">
        <v>17</v>
      </c>
      <c r="C101" s="31" t="s">
        <v>239</v>
      </c>
      <c r="E101" s="30">
        <v>17</v>
      </c>
      <c r="H101" s="83">
        <v>2670</v>
      </c>
      <c r="I101" s="81"/>
      <c r="J101" s="84">
        <v>2040</v>
      </c>
      <c r="K101" s="84"/>
      <c r="L101" s="81"/>
      <c r="M101" s="84">
        <v>2040</v>
      </c>
    </row>
    <row r="102" spans="1:13" ht="12">
      <c r="A102" s="30">
        <v>18</v>
      </c>
      <c r="E102" s="30">
        <v>18</v>
      </c>
      <c r="H102" s="83"/>
      <c r="I102" s="81"/>
      <c r="J102" s="84"/>
      <c r="K102" s="84"/>
      <c r="L102" s="81"/>
      <c r="M102" s="84"/>
    </row>
    <row r="103" spans="1:13" ht="12">
      <c r="A103" s="26">
        <v>19</v>
      </c>
      <c r="C103" s="31" t="s">
        <v>128</v>
      </c>
      <c r="E103" s="26">
        <v>19</v>
      </c>
      <c r="H103" s="83"/>
      <c r="I103" s="81"/>
      <c r="J103" s="84"/>
      <c r="K103" s="84"/>
      <c r="L103" s="81"/>
      <c r="M103" s="84"/>
    </row>
    <row r="104" spans="1:13" ht="12">
      <c r="A104" s="30">
        <v>20</v>
      </c>
      <c r="C104" s="31" t="s">
        <v>129</v>
      </c>
      <c r="E104" s="30">
        <v>20</v>
      </c>
      <c r="F104" s="32"/>
      <c r="G104" s="32"/>
      <c r="H104" s="86">
        <v>377.85861127100236</v>
      </c>
      <c r="I104" s="2"/>
      <c r="J104" s="86">
        <v>426.88289447635844</v>
      </c>
      <c r="K104" s="2"/>
      <c r="L104" s="2"/>
      <c r="M104" s="86">
        <v>423.60462614604285</v>
      </c>
    </row>
    <row r="105" spans="1:13" ht="12">
      <c r="A105" s="30">
        <v>21</v>
      </c>
      <c r="C105" s="31" t="s">
        <v>130</v>
      </c>
      <c r="E105" s="30">
        <v>21</v>
      </c>
      <c r="F105" s="32"/>
      <c r="G105" s="32"/>
      <c r="H105" s="86">
        <v>342.2319340255353</v>
      </c>
      <c r="I105" s="2"/>
      <c r="J105" s="86">
        <v>392.2957311729537</v>
      </c>
      <c r="K105" s="2"/>
      <c r="L105" s="2"/>
      <c r="M105" s="86">
        <v>390.122027692847</v>
      </c>
    </row>
    <row r="106" spans="1:13" ht="12">
      <c r="A106" s="30">
        <v>22</v>
      </c>
      <c r="C106" s="31" t="s">
        <v>131</v>
      </c>
      <c r="E106" s="30">
        <v>22</v>
      </c>
      <c r="F106" s="32"/>
      <c r="G106" s="32"/>
      <c r="H106" s="86">
        <v>35.626677245467064</v>
      </c>
      <c r="I106" s="2"/>
      <c r="J106" s="86">
        <v>34.58716330340475</v>
      </c>
      <c r="K106" s="2"/>
      <c r="L106" s="2"/>
      <c r="M106" s="86">
        <v>33.48259845319585</v>
      </c>
    </row>
    <row r="107" spans="1:13" ht="12">
      <c r="A107" s="30">
        <v>23</v>
      </c>
      <c r="E107" s="30">
        <v>23</v>
      </c>
      <c r="F107" s="32"/>
      <c r="G107" s="32"/>
      <c r="H107" s="2"/>
      <c r="I107" s="2"/>
      <c r="J107" s="86"/>
      <c r="K107" s="2"/>
      <c r="L107" s="2"/>
      <c r="M107" s="2"/>
    </row>
    <row r="108" spans="1:13" ht="12">
      <c r="A108" s="30">
        <v>24</v>
      </c>
      <c r="C108" s="31" t="s">
        <v>132</v>
      </c>
      <c r="E108" s="30">
        <v>24</v>
      </c>
      <c r="F108" s="32"/>
      <c r="G108" s="32"/>
      <c r="H108" s="2"/>
      <c r="I108" s="2"/>
      <c r="J108" s="2"/>
      <c r="K108" s="2"/>
      <c r="L108" s="2"/>
      <c r="M108" s="2"/>
    </row>
    <row r="109" spans="1:13" ht="12">
      <c r="A109" s="30">
        <v>25</v>
      </c>
      <c r="C109" s="31" t="s">
        <v>133</v>
      </c>
      <c r="E109" s="30">
        <v>25</v>
      </c>
      <c r="H109" s="84">
        <v>116747.55499580539</v>
      </c>
      <c r="I109" s="81"/>
      <c r="J109" s="84">
        <v>121261.6871507528</v>
      </c>
      <c r="K109" s="84"/>
      <c r="L109" s="81"/>
      <c r="M109" s="84">
        <v>122826.74878546306</v>
      </c>
    </row>
    <row r="110" spans="1:13" ht="12">
      <c r="A110" s="30">
        <v>26</v>
      </c>
      <c r="C110" s="31" t="s">
        <v>134</v>
      </c>
      <c r="E110" s="30">
        <v>26</v>
      </c>
      <c r="H110" s="84">
        <v>124440.05005337225</v>
      </c>
      <c r="I110" s="81"/>
      <c r="J110" s="84">
        <v>127985.7311979375</v>
      </c>
      <c r="K110" s="84"/>
      <c r="L110" s="81"/>
      <c r="M110" s="84">
        <v>129506.64769890501</v>
      </c>
    </row>
    <row r="111" spans="1:13" ht="12">
      <c r="A111" s="30">
        <v>27</v>
      </c>
      <c r="C111" s="31" t="s">
        <v>135</v>
      </c>
      <c r="E111" s="30">
        <v>27</v>
      </c>
      <c r="H111" s="84">
        <v>42853</v>
      </c>
      <c r="I111" s="81"/>
      <c r="J111" s="84">
        <v>44995.99999999999</v>
      </c>
      <c r="K111" s="84"/>
      <c r="L111" s="81"/>
      <c r="M111" s="84">
        <v>44995.999999999985</v>
      </c>
    </row>
    <row r="112" spans="1:13" ht="12">
      <c r="A112" s="30">
        <v>28</v>
      </c>
      <c r="E112" s="30">
        <v>28</v>
      </c>
      <c r="H112" s="84"/>
      <c r="I112" s="81"/>
      <c r="J112" s="84"/>
      <c r="K112" s="84"/>
      <c r="L112" s="81"/>
      <c r="M112" s="84"/>
    </row>
    <row r="113" spans="1:13" ht="12">
      <c r="A113" s="30">
        <v>29</v>
      </c>
      <c r="C113" s="31" t="s">
        <v>136</v>
      </c>
      <c r="E113" s="30">
        <v>29</v>
      </c>
      <c r="F113" s="87"/>
      <c r="G113" s="87"/>
      <c r="H113" s="82">
        <v>1126.9900985421027</v>
      </c>
      <c r="I113" s="81"/>
      <c r="J113" s="82">
        <v>1177.622650691784</v>
      </c>
      <c r="K113" s="81"/>
      <c r="L113" s="81"/>
      <c r="M113" s="82">
        <v>1125.2663849514815</v>
      </c>
    </row>
    <row r="114" spans="1:13" ht="12">
      <c r="A114" s="31"/>
      <c r="J114" s="74"/>
      <c r="M114" s="74"/>
    </row>
    <row r="115" spans="1:13" ht="12">
      <c r="A115" s="31"/>
      <c r="C115" s="26" t="s">
        <v>593</v>
      </c>
      <c r="J115" s="74"/>
      <c r="M115" s="74"/>
    </row>
    <row r="116" spans="1:13" ht="12">
      <c r="A116" s="31"/>
      <c r="J116" s="74"/>
      <c r="M116" s="74"/>
    </row>
    <row r="117" spans="1:13" ht="12">
      <c r="A117" s="31"/>
      <c r="J117" s="74"/>
      <c r="M117" s="74"/>
    </row>
    <row r="118" spans="1:13" ht="12">
      <c r="A118" s="31"/>
      <c r="J118" s="74"/>
      <c r="M118" s="74"/>
    </row>
    <row r="119" spans="1:13" ht="12">
      <c r="A119" s="31"/>
      <c r="J119" s="74"/>
      <c r="M119" s="74"/>
    </row>
    <row r="120" spans="1:13" ht="12">
      <c r="A120" s="31"/>
      <c r="J120" s="74"/>
      <c r="M120" s="74"/>
    </row>
    <row r="121" spans="1:13" ht="12">
      <c r="A121" s="31"/>
      <c r="J121" s="74"/>
      <c r="M121" s="74"/>
    </row>
    <row r="122" spans="1:13" ht="12">
      <c r="A122" s="31"/>
      <c r="J122" s="74"/>
      <c r="M122" s="74"/>
    </row>
    <row r="123" spans="1:13" ht="12">
      <c r="A123" s="31"/>
      <c r="J123" s="74"/>
      <c r="M123" s="74"/>
    </row>
    <row r="124" spans="1:13" ht="12">
      <c r="A124" s="31"/>
      <c r="J124" s="74"/>
      <c r="M124" s="74"/>
    </row>
    <row r="125" spans="1:13" ht="12">
      <c r="A125" s="31"/>
      <c r="J125" s="74"/>
      <c r="M125" s="74"/>
    </row>
    <row r="126" spans="5:15" ht="12">
      <c r="E126" s="69"/>
      <c r="I126" s="36"/>
      <c r="J126" s="74"/>
      <c r="K126" s="24"/>
      <c r="M126" s="74"/>
      <c r="O126" s="78"/>
    </row>
    <row r="127" spans="1:15" ht="12">
      <c r="A127" s="38" t="str">
        <f>$A$36</f>
        <v>Institution No.:  GFE</v>
      </c>
      <c r="E127" s="69"/>
      <c r="I127" s="36"/>
      <c r="J127" s="74"/>
      <c r="L127" s="36"/>
      <c r="M127" s="37" t="s">
        <v>137</v>
      </c>
      <c r="N127" s="24"/>
      <c r="O127" s="78"/>
    </row>
    <row r="128" spans="1:15" s="65" customFormat="1" ht="12">
      <c r="A128" s="400" t="s">
        <v>160</v>
      </c>
      <c r="B128" s="400"/>
      <c r="C128" s="400"/>
      <c r="D128" s="400"/>
      <c r="E128" s="400"/>
      <c r="F128" s="400"/>
      <c r="G128" s="400"/>
      <c r="H128" s="400"/>
      <c r="I128" s="400"/>
      <c r="J128" s="400"/>
      <c r="K128" s="400"/>
      <c r="L128" s="400"/>
      <c r="M128" s="400"/>
      <c r="N128" s="79"/>
      <c r="O128" s="80"/>
    </row>
    <row r="129" spans="1:15" ht="12">
      <c r="A129" s="38" t="s">
        <v>551</v>
      </c>
      <c r="C129" s="26" t="s">
        <v>553</v>
      </c>
      <c r="J129" s="74"/>
      <c r="L129" s="36"/>
      <c r="M129" s="39" t="str">
        <f>$M$3</f>
        <v>Date: 10/1/2009</v>
      </c>
      <c r="N129" s="24"/>
      <c r="O129" s="78"/>
    </row>
    <row r="130" spans="1:13" ht="12">
      <c r="A130" s="40" t="s">
        <v>1</v>
      </c>
      <c r="B130" s="40" t="s">
        <v>1</v>
      </c>
      <c r="C130" s="40" t="s">
        <v>1</v>
      </c>
      <c r="D130" s="40" t="s">
        <v>1</v>
      </c>
      <c r="E130" s="40" t="s">
        <v>1</v>
      </c>
      <c r="F130" s="40" t="s">
        <v>1</v>
      </c>
      <c r="G130" s="40"/>
      <c r="H130" s="40"/>
      <c r="I130" s="41" t="s">
        <v>1</v>
      </c>
      <c r="J130" s="42" t="s">
        <v>1</v>
      </c>
      <c r="K130" s="40" t="s">
        <v>1</v>
      </c>
      <c r="L130" s="41" t="s">
        <v>1</v>
      </c>
      <c r="M130" s="42" t="s">
        <v>1</v>
      </c>
    </row>
    <row r="131" spans="1:13" ht="12">
      <c r="A131" s="43" t="s">
        <v>2</v>
      </c>
      <c r="E131" s="43" t="s">
        <v>2</v>
      </c>
      <c r="F131" s="43"/>
      <c r="G131" s="45"/>
      <c r="H131" s="46" t="s">
        <v>240</v>
      </c>
      <c r="I131" s="45"/>
      <c r="J131" s="46" t="s">
        <v>247</v>
      </c>
      <c r="K131" s="46"/>
      <c r="L131" s="26"/>
      <c r="M131" s="44" t="s">
        <v>576</v>
      </c>
    </row>
    <row r="132" spans="1:13" ht="12">
      <c r="A132" s="43" t="s">
        <v>4</v>
      </c>
      <c r="C132" s="31" t="s">
        <v>0</v>
      </c>
      <c r="E132" s="43" t="s">
        <v>4</v>
      </c>
      <c r="F132" s="43"/>
      <c r="G132" s="45"/>
      <c r="H132" s="46" t="s">
        <v>7</v>
      </c>
      <c r="I132" s="45"/>
      <c r="J132" s="46" t="s">
        <v>7</v>
      </c>
      <c r="K132" s="46"/>
      <c r="L132" s="26"/>
      <c r="M132" s="44" t="s">
        <v>8</v>
      </c>
    </row>
    <row r="133" spans="1:13" ht="12">
      <c r="A133" s="40" t="s">
        <v>1</v>
      </c>
      <c r="B133" s="40" t="s">
        <v>1</v>
      </c>
      <c r="C133" s="40" t="s">
        <v>1</v>
      </c>
      <c r="D133" s="40" t="s">
        <v>1</v>
      </c>
      <c r="E133" s="40" t="s">
        <v>1</v>
      </c>
      <c r="F133" s="40"/>
      <c r="G133" s="41" t="s">
        <v>1</v>
      </c>
      <c r="H133" s="42" t="s">
        <v>1</v>
      </c>
      <c r="I133" s="41" t="s">
        <v>1</v>
      </c>
      <c r="J133" s="42" t="s">
        <v>1</v>
      </c>
      <c r="K133" s="42"/>
      <c r="L133" s="42" t="s">
        <v>1</v>
      </c>
      <c r="M133" s="42" t="s">
        <v>1</v>
      </c>
    </row>
    <row r="134" spans="1:13" ht="12">
      <c r="A134" s="30">
        <v>1</v>
      </c>
      <c r="C134" s="31" t="s">
        <v>138</v>
      </c>
      <c r="E134" s="30">
        <v>1</v>
      </c>
      <c r="F134" s="30"/>
      <c r="G134" s="81"/>
      <c r="H134" s="81"/>
      <c r="I134" s="88"/>
      <c r="J134" s="237"/>
      <c r="K134" s="237"/>
      <c r="L134" s="26"/>
      <c r="M134" s="26"/>
    </row>
    <row r="135" spans="1:13" ht="12">
      <c r="A135" s="30">
        <f aca="true" t="shared" si="9" ref="A135:A161">(A134+1)</f>
        <v>2</v>
      </c>
      <c r="C135" s="31" t="s">
        <v>139</v>
      </c>
      <c r="E135" s="30">
        <f aca="true" t="shared" si="10" ref="E135:E161">(E134+1)</f>
        <v>2</v>
      </c>
      <c r="F135" s="30"/>
      <c r="G135" s="81"/>
      <c r="H135" s="81"/>
      <c r="I135" s="88"/>
      <c r="J135" s="235"/>
      <c r="K135" s="235"/>
      <c r="L135" s="26"/>
      <c r="M135" s="26"/>
    </row>
    <row r="136" spans="1:13" ht="12">
      <c r="A136" s="30">
        <f t="shared" si="9"/>
        <v>3</v>
      </c>
      <c r="C136" s="31" t="s">
        <v>140</v>
      </c>
      <c r="E136" s="30">
        <f t="shared" si="10"/>
        <v>3</v>
      </c>
      <c r="F136" s="30"/>
      <c r="G136" s="81"/>
      <c r="H136" s="81"/>
      <c r="I136" s="88"/>
      <c r="J136" s="235"/>
      <c r="K136" s="235"/>
      <c r="L136" s="26"/>
      <c r="M136" s="26"/>
    </row>
    <row r="137" spans="1:13" ht="12">
      <c r="A137" s="30">
        <f t="shared" si="9"/>
        <v>4</v>
      </c>
      <c r="C137" s="31" t="s">
        <v>503</v>
      </c>
      <c r="E137" s="30">
        <f t="shared" si="10"/>
        <v>4</v>
      </c>
      <c r="F137" s="30"/>
      <c r="G137" s="81"/>
      <c r="H137" s="81">
        <f>(3135*3)</f>
        <v>9405</v>
      </c>
      <c r="I137" s="88"/>
      <c r="J137" s="235">
        <f>(3240*3)</f>
        <v>9720</v>
      </c>
      <c r="K137" s="235"/>
      <c r="L137" s="26"/>
      <c r="M137" s="26"/>
    </row>
    <row r="138" spans="1:13" ht="12">
      <c r="A138" s="30">
        <f t="shared" si="9"/>
        <v>5</v>
      </c>
      <c r="C138" s="26" t="s">
        <v>504</v>
      </c>
      <c r="E138" s="30">
        <f t="shared" si="10"/>
        <v>5</v>
      </c>
      <c r="F138" s="30"/>
      <c r="G138" s="81"/>
      <c r="H138" s="81">
        <f>(3705*3)</f>
        <v>11115</v>
      </c>
      <c r="I138" s="88"/>
      <c r="J138" s="235">
        <f>(4050*3)</f>
        <v>12150</v>
      </c>
      <c r="K138" s="235"/>
      <c r="L138" s="26"/>
      <c r="M138" s="123">
        <f>4410*3</f>
        <v>13230</v>
      </c>
    </row>
    <row r="139" spans="1:13" ht="12">
      <c r="A139" s="30">
        <f t="shared" si="9"/>
        <v>6</v>
      </c>
      <c r="C139" s="31" t="s">
        <v>0</v>
      </c>
      <c r="E139" s="30">
        <f t="shared" si="10"/>
        <v>6</v>
      </c>
      <c r="F139" s="30"/>
      <c r="G139" s="81"/>
      <c r="H139" s="81"/>
      <c r="I139" s="88"/>
      <c r="J139" s="235"/>
      <c r="K139" s="235"/>
      <c r="L139" s="26"/>
      <c r="M139" s="123"/>
    </row>
    <row r="140" spans="1:13" ht="12">
      <c r="A140" s="30">
        <f t="shared" si="9"/>
        <v>7</v>
      </c>
      <c r="C140" s="31" t="s">
        <v>0</v>
      </c>
      <c r="E140" s="30">
        <f t="shared" si="10"/>
        <v>7</v>
      </c>
      <c r="F140" s="30"/>
      <c r="G140" s="81"/>
      <c r="H140" s="81"/>
      <c r="I140" s="88"/>
      <c r="J140" s="249" t="s">
        <v>0</v>
      </c>
      <c r="K140" s="249"/>
      <c r="L140" s="26"/>
      <c r="M140" s="123"/>
    </row>
    <row r="141" spans="1:13" ht="12">
      <c r="A141" s="30">
        <f t="shared" si="9"/>
        <v>8</v>
      </c>
      <c r="E141" s="30">
        <f t="shared" si="10"/>
        <v>8</v>
      </c>
      <c r="F141" s="30"/>
      <c r="G141" s="81"/>
      <c r="H141" s="81"/>
      <c r="I141" s="88"/>
      <c r="J141" s="235"/>
      <c r="K141" s="235"/>
      <c r="L141" s="26"/>
      <c r="M141" s="123"/>
    </row>
    <row r="142" spans="1:13" ht="12">
      <c r="A142" s="30">
        <f t="shared" si="9"/>
        <v>9</v>
      </c>
      <c r="C142" s="31" t="s">
        <v>0</v>
      </c>
      <c r="E142" s="30">
        <f t="shared" si="10"/>
        <v>9</v>
      </c>
      <c r="F142" s="30"/>
      <c r="G142" s="81"/>
      <c r="H142" s="81"/>
      <c r="I142" s="88"/>
      <c r="J142" s="235"/>
      <c r="K142" s="235"/>
      <c r="L142" s="26"/>
      <c r="M142" s="123"/>
    </row>
    <row r="143" spans="1:13" ht="12">
      <c r="A143" s="30">
        <f t="shared" si="9"/>
        <v>10</v>
      </c>
      <c r="C143" s="31" t="s">
        <v>0</v>
      </c>
      <c r="E143" s="30">
        <f t="shared" si="10"/>
        <v>10</v>
      </c>
      <c r="F143" s="30"/>
      <c r="G143" s="81"/>
      <c r="H143" s="81"/>
      <c r="I143" s="88"/>
      <c r="J143" s="235"/>
      <c r="K143" s="235"/>
      <c r="L143" s="26"/>
      <c r="M143" s="123"/>
    </row>
    <row r="144" spans="1:13" ht="12">
      <c r="A144" s="30">
        <f t="shared" si="9"/>
        <v>11</v>
      </c>
      <c r="C144" s="31" t="s">
        <v>141</v>
      </c>
      <c r="E144" s="30">
        <f t="shared" si="10"/>
        <v>11</v>
      </c>
      <c r="F144" s="30"/>
      <c r="G144" s="81"/>
      <c r="H144" s="81"/>
      <c r="I144" s="88"/>
      <c r="J144" s="235"/>
      <c r="K144" s="235"/>
      <c r="L144" s="26"/>
      <c r="M144" s="123"/>
    </row>
    <row r="145" spans="1:13" ht="12">
      <c r="A145" s="30">
        <f t="shared" si="9"/>
        <v>12</v>
      </c>
      <c r="C145" s="31" t="s">
        <v>139</v>
      </c>
      <c r="E145" s="30">
        <f t="shared" si="10"/>
        <v>12</v>
      </c>
      <c r="F145" s="30"/>
      <c r="G145" s="81"/>
      <c r="H145" s="81"/>
      <c r="I145" s="88"/>
      <c r="J145" s="235"/>
      <c r="K145" s="235"/>
      <c r="L145" s="26"/>
      <c r="M145" s="123"/>
    </row>
    <row r="146" spans="1:13" ht="12">
      <c r="A146" s="30">
        <f t="shared" si="9"/>
        <v>13</v>
      </c>
      <c r="C146" s="31" t="s">
        <v>140</v>
      </c>
      <c r="E146" s="30">
        <f t="shared" si="10"/>
        <v>13</v>
      </c>
      <c r="F146" s="30"/>
      <c r="G146" s="81"/>
      <c r="H146" s="81"/>
      <c r="I146" s="88"/>
      <c r="J146" s="235"/>
      <c r="K146" s="235"/>
      <c r="L146" s="26"/>
      <c r="M146" s="123"/>
    </row>
    <row r="147" spans="1:13" ht="12">
      <c r="A147" s="30">
        <f t="shared" si="9"/>
        <v>14</v>
      </c>
      <c r="C147" s="31" t="s">
        <v>505</v>
      </c>
      <c r="E147" s="30">
        <f t="shared" si="10"/>
        <v>14</v>
      </c>
      <c r="F147" s="30"/>
      <c r="G147" s="2"/>
      <c r="H147" s="2">
        <f>1875*3</f>
        <v>5625</v>
      </c>
      <c r="I147" s="90"/>
      <c r="J147" s="236">
        <f>1935*3</f>
        <v>5805</v>
      </c>
      <c r="K147" s="236"/>
      <c r="L147" s="26"/>
      <c r="M147" s="123">
        <f>1995*3</f>
        <v>5985</v>
      </c>
    </row>
    <row r="148" spans="1:13" ht="12">
      <c r="A148" s="30">
        <f t="shared" si="9"/>
        <v>15</v>
      </c>
      <c r="C148" s="31" t="s">
        <v>506</v>
      </c>
      <c r="E148" s="30">
        <f t="shared" si="10"/>
        <v>15</v>
      </c>
      <c r="F148" s="30"/>
      <c r="G148" s="2"/>
      <c r="H148" s="2">
        <v>0</v>
      </c>
      <c r="I148" s="90"/>
      <c r="J148" s="236">
        <f>7275*3</f>
        <v>21825</v>
      </c>
      <c r="K148" s="236"/>
      <c r="L148" s="26"/>
      <c r="M148" s="123">
        <f>7815*3</f>
        <v>23445</v>
      </c>
    </row>
    <row r="149" spans="1:13" ht="12">
      <c r="A149" s="30">
        <f t="shared" si="9"/>
        <v>16</v>
      </c>
      <c r="C149" s="31" t="s">
        <v>504</v>
      </c>
      <c r="E149" s="30">
        <f t="shared" si="10"/>
        <v>16</v>
      </c>
      <c r="F149" s="30"/>
      <c r="G149" s="2"/>
      <c r="H149" s="2">
        <f>5625*3</f>
        <v>16875</v>
      </c>
      <c r="I149" s="90"/>
      <c r="J149" s="236">
        <f>6000*3</f>
        <v>18000</v>
      </c>
      <c r="K149" s="236"/>
      <c r="L149" s="26"/>
      <c r="M149" s="123">
        <f>6375*3</f>
        <v>19125</v>
      </c>
    </row>
    <row r="150" spans="1:13" ht="12">
      <c r="A150" s="30">
        <f t="shared" si="9"/>
        <v>17</v>
      </c>
      <c r="C150" s="31" t="s">
        <v>507</v>
      </c>
      <c r="E150" s="30">
        <f t="shared" si="10"/>
        <v>17</v>
      </c>
      <c r="F150" s="30"/>
      <c r="G150" s="2"/>
      <c r="H150" s="2">
        <f>1125*3</f>
        <v>3375</v>
      </c>
      <c r="I150" s="90"/>
      <c r="J150" s="236">
        <f>1161*3</f>
        <v>3483</v>
      </c>
      <c r="K150" s="236"/>
      <c r="L150" s="26"/>
      <c r="M150" s="123">
        <f>1196*3</f>
        <v>3588</v>
      </c>
    </row>
    <row r="151" spans="1:13" ht="12">
      <c r="A151" s="30">
        <f t="shared" si="9"/>
        <v>18</v>
      </c>
      <c r="C151" s="31" t="s">
        <v>0</v>
      </c>
      <c r="E151" s="30">
        <f t="shared" si="10"/>
        <v>18</v>
      </c>
      <c r="F151" s="30"/>
      <c r="G151" s="2"/>
      <c r="H151" s="2"/>
      <c r="I151" s="90"/>
      <c r="J151" s="236"/>
      <c r="K151" s="236"/>
      <c r="L151" s="26"/>
      <c r="M151" s="123"/>
    </row>
    <row r="152" spans="1:13" ht="12">
      <c r="A152" s="30">
        <f t="shared" si="9"/>
        <v>19</v>
      </c>
      <c r="E152" s="30">
        <f t="shared" si="10"/>
        <v>19</v>
      </c>
      <c r="F152" s="30"/>
      <c r="G152" s="81"/>
      <c r="H152" s="81"/>
      <c r="I152" s="88"/>
      <c r="J152" s="235"/>
      <c r="K152" s="235"/>
      <c r="L152" s="26"/>
      <c r="M152" s="123"/>
    </row>
    <row r="153" spans="1:13" ht="12">
      <c r="A153" s="30">
        <f t="shared" si="9"/>
        <v>20</v>
      </c>
      <c r="E153" s="30">
        <f t="shared" si="10"/>
        <v>20</v>
      </c>
      <c r="F153" s="30"/>
      <c r="G153" s="81"/>
      <c r="H153" s="81"/>
      <c r="I153" s="88"/>
      <c r="J153" s="235"/>
      <c r="K153" s="235"/>
      <c r="L153" s="26"/>
      <c r="M153" s="123"/>
    </row>
    <row r="154" spans="1:13" ht="12">
      <c r="A154" s="30">
        <f t="shared" si="9"/>
        <v>21</v>
      </c>
      <c r="C154" s="31" t="s">
        <v>142</v>
      </c>
      <c r="E154" s="30">
        <f t="shared" si="10"/>
        <v>21</v>
      </c>
      <c r="F154" s="30"/>
      <c r="G154" s="81"/>
      <c r="H154" s="81"/>
      <c r="I154" s="88"/>
      <c r="J154" s="235"/>
      <c r="K154" s="235"/>
      <c r="L154" s="26"/>
      <c r="M154" s="123"/>
    </row>
    <row r="155" spans="1:13" ht="12">
      <c r="A155" s="30">
        <f t="shared" si="9"/>
        <v>22</v>
      </c>
      <c r="C155" s="31" t="s">
        <v>139</v>
      </c>
      <c r="E155" s="30">
        <f t="shared" si="10"/>
        <v>22</v>
      </c>
      <c r="F155" s="30"/>
      <c r="G155" s="81"/>
      <c r="H155" s="81"/>
      <c r="I155" s="88"/>
      <c r="J155" s="235"/>
      <c r="K155" s="235"/>
      <c r="L155" s="26"/>
      <c r="M155" s="123"/>
    </row>
    <row r="156" spans="1:13" ht="12">
      <c r="A156" s="30">
        <f t="shared" si="9"/>
        <v>23</v>
      </c>
      <c r="C156" s="31" t="s">
        <v>140</v>
      </c>
      <c r="E156" s="30">
        <f t="shared" si="10"/>
        <v>23</v>
      </c>
      <c r="F156" s="30"/>
      <c r="G156" s="81"/>
      <c r="H156" s="81"/>
      <c r="I156" s="88"/>
      <c r="J156" s="237"/>
      <c r="K156" s="237"/>
      <c r="L156" s="26"/>
      <c r="M156" s="123"/>
    </row>
    <row r="157" spans="1:13" ht="12">
      <c r="A157" s="30">
        <f t="shared" si="9"/>
        <v>24</v>
      </c>
      <c r="C157" s="31" t="s">
        <v>508</v>
      </c>
      <c r="E157" s="30">
        <f t="shared" si="10"/>
        <v>24</v>
      </c>
      <c r="F157" s="30"/>
      <c r="G157" s="81"/>
      <c r="H157" s="81">
        <v>23373</v>
      </c>
      <c r="I157" s="88"/>
      <c r="J157" s="237">
        <v>25009</v>
      </c>
      <c r="K157" s="237"/>
      <c r="L157" s="26"/>
      <c r="M157" s="123">
        <v>26485</v>
      </c>
    </row>
    <row r="158" spans="1:13" ht="12">
      <c r="A158" s="30">
        <f t="shared" si="9"/>
        <v>25</v>
      </c>
      <c r="C158" s="26" t="s">
        <v>509</v>
      </c>
      <c r="E158" s="30">
        <f t="shared" si="10"/>
        <v>25</v>
      </c>
      <c r="F158" s="30"/>
      <c r="G158" s="84"/>
      <c r="H158" s="84">
        <f>5340*3</f>
        <v>16020</v>
      </c>
      <c r="I158" s="91"/>
      <c r="J158" s="238">
        <f>5520*3</f>
        <v>16560</v>
      </c>
      <c r="K158" s="238"/>
      <c r="L158" s="26"/>
      <c r="M158" s="123">
        <f>5610*3</f>
        <v>16830</v>
      </c>
    </row>
    <row r="159" spans="1:13" ht="12">
      <c r="A159" s="30">
        <f t="shared" si="9"/>
        <v>26</v>
      </c>
      <c r="C159" s="31" t="s">
        <v>510</v>
      </c>
      <c r="E159" s="30">
        <f t="shared" si="10"/>
        <v>26</v>
      </c>
      <c r="F159" s="30"/>
      <c r="G159" s="81"/>
      <c r="H159" s="81">
        <v>18676</v>
      </c>
      <c r="I159" s="88"/>
      <c r="J159" s="237">
        <v>20450</v>
      </c>
      <c r="K159" s="237"/>
      <c r="L159" s="26"/>
      <c r="M159" s="123">
        <v>22291</v>
      </c>
    </row>
    <row r="160" spans="1:13" ht="12">
      <c r="A160" s="30">
        <f t="shared" si="9"/>
        <v>27</v>
      </c>
      <c r="C160" s="31" t="s">
        <v>504</v>
      </c>
      <c r="E160" s="30">
        <f t="shared" si="10"/>
        <v>27</v>
      </c>
      <c r="F160" s="30"/>
      <c r="G160" s="81"/>
      <c r="H160" s="81">
        <f>5625*3</f>
        <v>16875</v>
      </c>
      <c r="I160" s="88"/>
      <c r="J160" s="237">
        <f>6000*3</f>
        <v>18000</v>
      </c>
      <c r="K160" s="237"/>
      <c r="L160" s="26"/>
      <c r="M160" s="123">
        <f>6375*3</f>
        <v>19125</v>
      </c>
    </row>
    <row r="161" spans="1:13" ht="12">
      <c r="A161" s="30">
        <f t="shared" si="9"/>
        <v>28</v>
      </c>
      <c r="C161" s="31" t="s">
        <v>507</v>
      </c>
      <c r="E161" s="30">
        <f t="shared" si="10"/>
        <v>28</v>
      </c>
      <c r="F161" s="30"/>
      <c r="G161" s="81"/>
      <c r="H161" s="81">
        <v>15018</v>
      </c>
      <c r="I161" s="88"/>
      <c r="J161" s="237">
        <v>16446</v>
      </c>
      <c r="K161" s="237"/>
      <c r="L161" s="26"/>
      <c r="M161" s="123">
        <v>17928</v>
      </c>
    </row>
    <row r="162" spans="1:13" ht="12">
      <c r="A162" s="30"/>
      <c r="C162" s="31" t="s">
        <v>0</v>
      </c>
      <c r="E162" s="69"/>
      <c r="F162" s="78"/>
      <c r="G162" s="78"/>
      <c r="H162" s="78"/>
      <c r="I162" s="36"/>
      <c r="J162" s="74"/>
      <c r="L162" s="36"/>
      <c r="M162" s="74"/>
    </row>
    <row r="163" spans="1:5" ht="12">
      <c r="A163" s="30"/>
      <c r="E163" s="69"/>
    </row>
    <row r="164" spans="1:13" s="92" customFormat="1" ht="9">
      <c r="A164" s="92" t="s">
        <v>249</v>
      </c>
      <c r="I164" s="93"/>
      <c r="J164" s="94"/>
      <c r="L164" s="93"/>
      <c r="M164" s="94"/>
    </row>
    <row r="165" spans="1:13" s="92" customFormat="1" ht="9">
      <c r="A165" s="95" t="s">
        <v>161</v>
      </c>
      <c r="I165" s="93"/>
      <c r="J165" s="94"/>
      <c r="L165" s="93"/>
      <c r="M165" s="94"/>
    </row>
    <row r="166" spans="1:13" ht="12">
      <c r="A166" s="31"/>
      <c r="J166" s="74"/>
      <c r="M166" s="74"/>
    </row>
    <row r="167" spans="1:13" ht="12">
      <c r="A167" s="31"/>
      <c r="J167" s="74"/>
      <c r="M167" s="74"/>
    </row>
    <row r="168" spans="1:13" ht="12">
      <c r="A168" s="31"/>
      <c r="J168" s="74"/>
      <c r="M168" s="74"/>
    </row>
    <row r="169" spans="1:13" ht="12">
      <c r="A169" s="31"/>
      <c r="J169" s="74"/>
      <c r="M169" s="74"/>
    </row>
    <row r="170" spans="1:13" ht="12">
      <c r="A170" s="31"/>
      <c r="J170" s="74"/>
      <c r="M170" s="74"/>
    </row>
    <row r="171" spans="1:13" ht="12">
      <c r="A171" s="31"/>
      <c r="J171" s="74"/>
      <c r="M171" s="74"/>
    </row>
    <row r="172" spans="1:13" ht="12">
      <c r="A172" s="31"/>
      <c r="J172" s="74"/>
      <c r="M172" s="74"/>
    </row>
    <row r="173" spans="1:13" ht="12">
      <c r="A173" s="31"/>
      <c r="J173" s="74"/>
      <c r="M173" s="74"/>
    </row>
    <row r="174" spans="1:13" ht="12">
      <c r="A174" s="31"/>
      <c r="J174" s="74"/>
      <c r="M174" s="74"/>
    </row>
    <row r="175" spans="5:15" ht="12">
      <c r="E175" s="69"/>
      <c r="I175" s="36"/>
      <c r="J175" s="74"/>
      <c r="K175" s="24"/>
      <c r="M175" s="74"/>
      <c r="O175" s="78"/>
    </row>
    <row r="176" spans="1:15" ht="12">
      <c r="A176" s="38" t="str">
        <f>$A$36</f>
        <v>Institution No.:  GFE</v>
      </c>
      <c r="E176" s="69"/>
      <c r="I176" s="36"/>
      <c r="J176" s="74"/>
      <c r="L176" s="36"/>
      <c r="M176" s="37" t="s">
        <v>143</v>
      </c>
      <c r="N176" s="24"/>
      <c r="O176" s="78"/>
    </row>
    <row r="177" spans="1:15" ht="12.75" customHeight="1">
      <c r="A177" s="400" t="s">
        <v>144</v>
      </c>
      <c r="B177" s="400"/>
      <c r="C177" s="400"/>
      <c r="D177" s="400"/>
      <c r="E177" s="400"/>
      <c r="F177" s="400"/>
      <c r="G177" s="400"/>
      <c r="H177" s="400"/>
      <c r="I177" s="400"/>
      <c r="J177" s="400"/>
      <c r="K177" s="400"/>
      <c r="L177" s="400"/>
      <c r="M177" s="400"/>
      <c r="N177" s="24"/>
      <c r="O177" s="78"/>
    </row>
    <row r="178" spans="1:15" ht="12">
      <c r="A178" s="38" t="s">
        <v>551</v>
      </c>
      <c r="C178" s="26" t="s">
        <v>553</v>
      </c>
      <c r="J178" s="74"/>
      <c r="L178" s="36"/>
      <c r="M178" s="39" t="str">
        <f>$M$3</f>
        <v>Date: 10/1/2009</v>
      </c>
      <c r="N178" s="24"/>
      <c r="O178" s="78"/>
    </row>
    <row r="179" spans="1:13" ht="12">
      <c r="A179" s="40" t="s">
        <v>1</v>
      </c>
      <c r="B179" s="40" t="s">
        <v>1</v>
      </c>
      <c r="C179" s="40" t="s">
        <v>1</v>
      </c>
      <c r="D179" s="40" t="s">
        <v>1</v>
      </c>
      <c r="E179" s="40" t="s">
        <v>1</v>
      </c>
      <c r="F179" s="40" t="s">
        <v>1</v>
      </c>
      <c r="G179" s="40"/>
      <c r="H179" s="40"/>
      <c r="I179" s="41" t="s">
        <v>1</v>
      </c>
      <c r="J179" s="42" t="s">
        <v>1</v>
      </c>
      <c r="K179" s="40" t="s">
        <v>1</v>
      </c>
      <c r="L179" s="41" t="s">
        <v>1</v>
      </c>
      <c r="M179" s="42" t="s">
        <v>1</v>
      </c>
    </row>
    <row r="180" spans="1:13" ht="12">
      <c r="A180" s="43" t="s">
        <v>2</v>
      </c>
      <c r="E180" s="43" t="s">
        <v>2</v>
      </c>
      <c r="F180" s="43"/>
      <c r="G180" s="45"/>
      <c r="H180" s="46" t="s">
        <v>240</v>
      </c>
      <c r="I180" s="45"/>
      <c r="J180" s="46" t="s">
        <v>247</v>
      </c>
      <c r="K180" s="46"/>
      <c r="L180" s="26"/>
      <c r="M180" s="44" t="s">
        <v>576</v>
      </c>
    </row>
    <row r="181" spans="1:13" ht="12">
      <c r="A181" s="43" t="s">
        <v>4</v>
      </c>
      <c r="C181" s="31" t="s">
        <v>0</v>
      </c>
      <c r="E181" s="43" t="s">
        <v>4</v>
      </c>
      <c r="F181" s="43"/>
      <c r="G181" s="45"/>
      <c r="H181" s="46" t="s">
        <v>7</v>
      </c>
      <c r="I181" s="45"/>
      <c r="J181" s="46" t="s">
        <v>7</v>
      </c>
      <c r="K181" s="46"/>
      <c r="L181" s="26"/>
      <c r="M181" s="44" t="s">
        <v>8</v>
      </c>
    </row>
    <row r="182" spans="1:13" ht="12">
      <c r="A182" s="40" t="s">
        <v>1</v>
      </c>
      <c r="B182" s="40" t="s">
        <v>1</v>
      </c>
      <c r="C182" s="40" t="s">
        <v>1</v>
      </c>
      <c r="D182" s="40" t="s">
        <v>1</v>
      </c>
      <c r="E182" s="40" t="s">
        <v>1</v>
      </c>
      <c r="F182" s="40"/>
      <c r="G182" s="41" t="s">
        <v>1</v>
      </c>
      <c r="H182" s="42" t="s">
        <v>1</v>
      </c>
      <c r="I182" s="41" t="s">
        <v>1</v>
      </c>
      <c r="J182" s="42" t="s">
        <v>1</v>
      </c>
      <c r="K182" s="42"/>
      <c r="L182" s="42" t="s">
        <v>1</v>
      </c>
      <c r="M182" s="42" t="s">
        <v>1</v>
      </c>
    </row>
    <row r="183" spans="1:13" ht="12">
      <c r="A183" s="30">
        <v>1</v>
      </c>
      <c r="C183" s="31" t="s">
        <v>138</v>
      </c>
      <c r="E183" s="30">
        <v>1</v>
      </c>
      <c r="F183" s="30"/>
      <c r="G183" s="81"/>
      <c r="H183" s="81"/>
      <c r="I183" s="36"/>
      <c r="J183" s="74"/>
      <c r="K183" s="74"/>
      <c r="L183" s="26"/>
      <c r="M183" s="26"/>
    </row>
    <row r="184" spans="1:13" ht="12">
      <c r="A184" s="30">
        <f aca="true" t="shared" si="11" ref="A184:A211">(A183+1)</f>
        <v>2</v>
      </c>
      <c r="C184" s="31" t="s">
        <v>139</v>
      </c>
      <c r="E184" s="30">
        <f aca="true" t="shared" si="12" ref="E184:E211">(E183+1)</f>
        <v>2</v>
      </c>
      <c r="F184" s="30"/>
      <c r="G184" s="81"/>
      <c r="H184" s="81"/>
      <c r="I184" s="36"/>
      <c r="J184" s="235"/>
      <c r="K184" s="235"/>
      <c r="L184" s="26"/>
      <c r="M184" s="26"/>
    </row>
    <row r="185" spans="1:13" ht="12">
      <c r="A185" s="30">
        <f t="shared" si="11"/>
        <v>3</v>
      </c>
      <c r="C185" s="31" t="s">
        <v>140</v>
      </c>
      <c r="E185" s="30">
        <f t="shared" si="12"/>
        <v>3</v>
      </c>
      <c r="F185" s="30"/>
      <c r="G185" s="81"/>
      <c r="H185" s="81"/>
      <c r="I185" s="36"/>
      <c r="J185" s="235"/>
      <c r="K185" s="235"/>
      <c r="L185" s="26"/>
      <c r="M185" s="26"/>
    </row>
    <row r="186" spans="1:13" ht="12">
      <c r="A186" s="30">
        <f t="shared" si="11"/>
        <v>4</v>
      </c>
      <c r="C186" s="31" t="s">
        <v>503</v>
      </c>
      <c r="E186" s="30">
        <f t="shared" si="12"/>
        <v>4</v>
      </c>
      <c r="F186" s="30"/>
      <c r="G186" s="81"/>
      <c r="H186" s="81">
        <f>10215*3</f>
        <v>30645</v>
      </c>
      <c r="I186" s="36"/>
      <c r="J186" s="235">
        <f>10575*3</f>
        <v>31725</v>
      </c>
      <c r="K186" s="235"/>
      <c r="L186" s="26"/>
      <c r="M186" s="26"/>
    </row>
    <row r="187" spans="1:13" ht="12">
      <c r="A187" s="30">
        <f t="shared" si="11"/>
        <v>5</v>
      </c>
      <c r="C187" s="26" t="s">
        <v>504</v>
      </c>
      <c r="E187" s="30">
        <f t="shared" si="12"/>
        <v>5</v>
      </c>
      <c r="F187" s="30"/>
      <c r="G187" s="81"/>
      <c r="H187" s="81">
        <f>11670*3</f>
        <v>35010</v>
      </c>
      <c r="I187" s="36"/>
      <c r="J187" s="235">
        <f>12285*3</f>
        <v>36855</v>
      </c>
      <c r="K187" s="235"/>
      <c r="L187" s="26"/>
      <c r="M187" s="123">
        <f>12285*3</f>
        <v>36855</v>
      </c>
    </row>
    <row r="188" spans="1:13" ht="12">
      <c r="A188" s="30">
        <f t="shared" si="11"/>
        <v>6</v>
      </c>
      <c r="C188" s="31" t="s">
        <v>0</v>
      </c>
      <c r="E188" s="30">
        <f t="shared" si="12"/>
        <v>6</v>
      </c>
      <c r="F188" s="30"/>
      <c r="G188" s="81"/>
      <c r="H188" s="81"/>
      <c r="I188" s="36"/>
      <c r="J188" s="235"/>
      <c r="K188" s="235"/>
      <c r="L188" s="26"/>
      <c r="M188" s="123"/>
    </row>
    <row r="189" spans="1:13" ht="12">
      <c r="A189" s="30">
        <f t="shared" si="11"/>
        <v>7</v>
      </c>
      <c r="C189" s="31" t="s">
        <v>0</v>
      </c>
      <c r="E189" s="30">
        <f t="shared" si="12"/>
        <v>7</v>
      </c>
      <c r="F189" s="30"/>
      <c r="G189" s="81"/>
      <c r="H189" s="81"/>
      <c r="I189" s="36"/>
      <c r="J189" s="235"/>
      <c r="K189" s="235"/>
      <c r="L189" s="26"/>
      <c r="M189" s="123"/>
    </row>
    <row r="190" spans="1:13" ht="12">
      <c r="A190" s="30">
        <f t="shared" si="11"/>
        <v>8</v>
      </c>
      <c r="E190" s="30">
        <f t="shared" si="12"/>
        <v>8</v>
      </c>
      <c r="F190" s="30"/>
      <c r="G190" s="81"/>
      <c r="H190" s="81"/>
      <c r="I190" s="36"/>
      <c r="J190" s="235"/>
      <c r="K190" s="235"/>
      <c r="L190" s="26"/>
      <c r="M190" s="123"/>
    </row>
    <row r="191" spans="1:13" ht="12">
      <c r="A191" s="30">
        <f t="shared" si="11"/>
        <v>9</v>
      </c>
      <c r="C191" s="31" t="s">
        <v>0</v>
      </c>
      <c r="E191" s="30">
        <f t="shared" si="12"/>
        <v>9</v>
      </c>
      <c r="F191" s="30"/>
      <c r="G191" s="81"/>
      <c r="H191" s="81"/>
      <c r="I191" s="36"/>
      <c r="J191" s="235"/>
      <c r="K191" s="235"/>
      <c r="L191" s="26"/>
      <c r="M191" s="123"/>
    </row>
    <row r="192" spans="1:13" ht="12">
      <c r="A192" s="30">
        <f t="shared" si="11"/>
        <v>10</v>
      </c>
      <c r="C192" s="31" t="s">
        <v>0</v>
      </c>
      <c r="E192" s="30">
        <f t="shared" si="12"/>
        <v>10</v>
      </c>
      <c r="F192" s="30"/>
      <c r="G192" s="81"/>
      <c r="H192" s="81"/>
      <c r="I192" s="36"/>
      <c r="J192" s="235"/>
      <c r="K192" s="235"/>
      <c r="L192" s="26"/>
      <c r="M192" s="123"/>
    </row>
    <row r="193" spans="1:13" ht="12">
      <c r="A193" s="30">
        <f t="shared" si="11"/>
        <v>11</v>
      </c>
      <c r="C193" s="31" t="s">
        <v>141</v>
      </c>
      <c r="E193" s="30">
        <f t="shared" si="12"/>
        <v>11</v>
      </c>
      <c r="F193" s="30"/>
      <c r="G193" s="81"/>
      <c r="H193" s="81"/>
      <c r="I193" s="36"/>
      <c r="J193" s="235"/>
      <c r="K193" s="235"/>
      <c r="L193" s="26"/>
      <c r="M193" s="123"/>
    </row>
    <row r="194" spans="1:13" ht="12">
      <c r="A194" s="30">
        <f t="shared" si="11"/>
        <v>12</v>
      </c>
      <c r="C194" s="31" t="s">
        <v>139</v>
      </c>
      <c r="E194" s="30">
        <f t="shared" si="12"/>
        <v>12</v>
      </c>
      <c r="F194" s="30"/>
      <c r="G194" s="81"/>
      <c r="H194" s="81"/>
      <c r="I194" s="36"/>
      <c r="J194" s="235"/>
      <c r="K194" s="235"/>
      <c r="L194" s="26"/>
      <c r="M194" s="123"/>
    </row>
    <row r="195" spans="1:13" ht="12">
      <c r="A195" s="30">
        <f t="shared" si="11"/>
        <v>13</v>
      </c>
      <c r="C195" s="31" t="s">
        <v>140</v>
      </c>
      <c r="E195" s="30">
        <f t="shared" si="12"/>
        <v>13</v>
      </c>
      <c r="F195" s="30"/>
      <c r="G195" s="81"/>
      <c r="H195" s="81"/>
      <c r="I195" s="36"/>
      <c r="J195" s="235"/>
      <c r="K195" s="235"/>
      <c r="L195" s="26"/>
      <c r="M195" s="123"/>
    </row>
    <row r="196" spans="1:13" ht="12">
      <c r="A196" s="30">
        <f t="shared" si="11"/>
        <v>14</v>
      </c>
      <c r="C196" s="31" t="s">
        <v>505</v>
      </c>
      <c r="E196" s="30">
        <f t="shared" si="12"/>
        <v>14</v>
      </c>
      <c r="F196" s="30"/>
      <c r="G196" s="2"/>
      <c r="H196" s="2">
        <f>8625*3</f>
        <v>25875</v>
      </c>
      <c r="I196" s="33"/>
      <c r="J196" s="236">
        <f>8925*3</f>
        <v>26775</v>
      </c>
      <c r="K196" s="236"/>
      <c r="L196" s="26"/>
      <c r="M196" s="123">
        <f>8925*3</f>
        <v>26775</v>
      </c>
    </row>
    <row r="197" spans="1:13" ht="12">
      <c r="A197" s="30">
        <f t="shared" si="11"/>
        <v>15</v>
      </c>
      <c r="C197" s="31" t="s">
        <v>506</v>
      </c>
      <c r="E197" s="30">
        <f t="shared" si="12"/>
        <v>15</v>
      </c>
      <c r="F197" s="30"/>
      <c r="G197" s="2"/>
      <c r="H197" s="2" t="s">
        <v>511</v>
      </c>
      <c r="I197" s="33"/>
      <c r="J197" s="236">
        <f>13125*3</f>
        <v>39375</v>
      </c>
      <c r="K197" s="236"/>
      <c r="L197" s="26"/>
      <c r="M197" s="123">
        <f>14115*3</f>
        <v>42345</v>
      </c>
    </row>
    <row r="198" spans="1:13" ht="12">
      <c r="A198" s="30">
        <f t="shared" si="11"/>
        <v>16</v>
      </c>
      <c r="C198" s="31" t="s">
        <v>504</v>
      </c>
      <c r="E198" s="30">
        <f t="shared" si="12"/>
        <v>16</v>
      </c>
      <c r="F198" s="30"/>
      <c r="G198" s="2"/>
      <c r="H198" s="2">
        <f>14685*3</f>
        <v>44055</v>
      </c>
      <c r="I198" s="33"/>
      <c r="J198" s="236">
        <f>14685*3</f>
        <v>44055</v>
      </c>
      <c r="K198" s="236"/>
      <c r="L198" s="26"/>
      <c r="M198" s="123">
        <f>14685*3</f>
        <v>44055</v>
      </c>
    </row>
    <row r="199" spans="1:13" ht="12">
      <c r="A199" s="30">
        <f t="shared" si="11"/>
        <v>17</v>
      </c>
      <c r="C199" s="31" t="s">
        <v>507</v>
      </c>
      <c r="E199" s="30">
        <f t="shared" si="12"/>
        <v>17</v>
      </c>
      <c r="F199" s="30"/>
      <c r="G199" s="2"/>
      <c r="H199" s="2">
        <f>5175*3</f>
        <v>15525</v>
      </c>
      <c r="I199" s="33"/>
      <c r="J199" s="236">
        <f>5355*3</f>
        <v>16065</v>
      </c>
      <c r="K199" s="236"/>
      <c r="L199" s="26"/>
      <c r="M199" s="123">
        <f>5355*3</f>
        <v>16065</v>
      </c>
    </row>
    <row r="200" spans="1:13" ht="12">
      <c r="A200" s="30">
        <f t="shared" si="11"/>
        <v>18</v>
      </c>
      <c r="C200" s="31" t="s">
        <v>0</v>
      </c>
      <c r="E200" s="30">
        <f t="shared" si="12"/>
        <v>18</v>
      </c>
      <c r="F200" s="30"/>
      <c r="G200" s="2"/>
      <c r="H200" s="2"/>
      <c r="I200" s="33"/>
      <c r="J200" s="236"/>
      <c r="K200" s="236"/>
      <c r="L200" s="26"/>
      <c r="M200" s="123"/>
    </row>
    <row r="201" spans="1:13" ht="12">
      <c r="A201" s="30">
        <f t="shared" si="11"/>
        <v>19</v>
      </c>
      <c r="E201" s="30">
        <f t="shared" si="12"/>
        <v>19</v>
      </c>
      <c r="F201" s="30"/>
      <c r="G201" s="81"/>
      <c r="H201" s="81"/>
      <c r="I201" s="36"/>
      <c r="J201" s="235"/>
      <c r="K201" s="235"/>
      <c r="L201" s="26"/>
      <c r="M201" s="123"/>
    </row>
    <row r="202" spans="1:13" ht="12">
      <c r="A202" s="30">
        <f t="shared" si="11"/>
        <v>20</v>
      </c>
      <c r="E202" s="30">
        <f t="shared" si="12"/>
        <v>20</v>
      </c>
      <c r="F202" s="30"/>
      <c r="G202" s="81"/>
      <c r="H202" s="81"/>
      <c r="I202" s="36"/>
      <c r="J202" s="235"/>
      <c r="K202" s="235"/>
      <c r="L202" s="26"/>
      <c r="M202" s="123"/>
    </row>
    <row r="203" spans="1:13" ht="12">
      <c r="A203" s="30">
        <f t="shared" si="11"/>
        <v>21</v>
      </c>
      <c r="C203" s="31" t="s">
        <v>142</v>
      </c>
      <c r="E203" s="30">
        <f t="shared" si="12"/>
        <v>21</v>
      </c>
      <c r="F203" s="30"/>
      <c r="G203" s="81"/>
      <c r="H203" s="81"/>
      <c r="I203" s="36"/>
      <c r="J203" s="235"/>
      <c r="K203" s="235"/>
      <c r="L203" s="26"/>
      <c r="M203" s="123"/>
    </row>
    <row r="204" spans="1:13" ht="12">
      <c r="A204" s="30">
        <f t="shared" si="11"/>
        <v>22</v>
      </c>
      <c r="C204" s="31" t="s">
        <v>139</v>
      </c>
      <c r="E204" s="30">
        <f t="shared" si="12"/>
        <v>22</v>
      </c>
      <c r="F204" s="30"/>
      <c r="G204" s="81"/>
      <c r="H204" s="81"/>
      <c r="I204" s="36"/>
      <c r="J204" s="235"/>
      <c r="K204" s="235"/>
      <c r="L204" s="26"/>
      <c r="M204" s="123"/>
    </row>
    <row r="205" spans="1:13" ht="12">
      <c r="A205" s="30">
        <f t="shared" si="11"/>
        <v>23</v>
      </c>
      <c r="C205" s="31" t="s">
        <v>140</v>
      </c>
      <c r="E205" s="30">
        <f t="shared" si="12"/>
        <v>23</v>
      </c>
      <c r="F205" s="30"/>
      <c r="G205" s="81"/>
      <c r="H205" s="81"/>
      <c r="I205" s="36"/>
      <c r="J205" s="235"/>
      <c r="K205" s="235"/>
      <c r="L205" s="26"/>
      <c r="M205" s="123"/>
    </row>
    <row r="206" spans="1:13" ht="12">
      <c r="A206" s="30">
        <f t="shared" si="11"/>
        <v>24</v>
      </c>
      <c r="C206" s="31" t="s">
        <v>508</v>
      </c>
      <c r="E206" s="30">
        <f t="shared" si="12"/>
        <v>24</v>
      </c>
      <c r="F206" s="30"/>
      <c r="G206" s="81"/>
      <c r="H206" s="81">
        <v>76691</v>
      </c>
      <c r="I206" s="36"/>
      <c r="J206" s="74">
        <v>82059</v>
      </c>
      <c r="K206" s="74"/>
      <c r="L206" s="26"/>
      <c r="M206" s="123">
        <v>82059</v>
      </c>
    </row>
    <row r="207" spans="1:13" ht="12">
      <c r="A207" s="30">
        <f t="shared" si="11"/>
        <v>25</v>
      </c>
      <c r="C207" s="26" t="s">
        <v>509</v>
      </c>
      <c r="E207" s="30">
        <f t="shared" si="12"/>
        <v>25</v>
      </c>
      <c r="F207" s="30"/>
      <c r="G207" s="84"/>
      <c r="H207" s="84">
        <f>12210*3</f>
        <v>36630</v>
      </c>
      <c r="J207" s="28">
        <f>12300*3</f>
        <v>36900</v>
      </c>
      <c r="K207" s="28"/>
      <c r="L207" s="26"/>
      <c r="M207" s="123">
        <f>12300*3</f>
        <v>36900</v>
      </c>
    </row>
    <row r="208" spans="1:13" ht="12">
      <c r="A208" s="30">
        <f t="shared" si="11"/>
        <v>26</v>
      </c>
      <c r="C208" s="31" t="s">
        <v>510</v>
      </c>
      <c r="E208" s="30">
        <f t="shared" si="12"/>
        <v>26</v>
      </c>
      <c r="F208" s="30"/>
      <c r="G208" s="81"/>
      <c r="H208" s="81">
        <v>42113</v>
      </c>
      <c r="I208" s="36"/>
      <c r="J208" s="74">
        <v>46114</v>
      </c>
      <c r="K208" s="74"/>
      <c r="L208" s="26"/>
      <c r="M208" s="123">
        <v>50265</v>
      </c>
    </row>
    <row r="209" spans="1:13" ht="12">
      <c r="A209" s="30">
        <f t="shared" si="11"/>
        <v>27</v>
      </c>
      <c r="C209" s="31" t="s">
        <v>504</v>
      </c>
      <c r="E209" s="30">
        <f t="shared" si="12"/>
        <v>27</v>
      </c>
      <c r="F209" s="30"/>
      <c r="G209" s="81"/>
      <c r="H209" s="81">
        <f>14685*3</f>
        <v>44055</v>
      </c>
      <c r="I209" s="36"/>
      <c r="J209" s="74">
        <f>14685*3</f>
        <v>44055</v>
      </c>
      <c r="K209" s="74"/>
      <c r="L209" s="26"/>
      <c r="M209" s="123">
        <f>14685*3</f>
        <v>44055</v>
      </c>
    </row>
    <row r="210" spans="1:13" ht="12">
      <c r="A210" s="30">
        <f t="shared" si="11"/>
        <v>28</v>
      </c>
      <c r="C210" s="31" t="s">
        <v>507</v>
      </c>
      <c r="E210" s="30">
        <f t="shared" si="12"/>
        <v>28</v>
      </c>
      <c r="F210" s="30"/>
      <c r="G210" s="81"/>
      <c r="H210" s="81">
        <v>28848</v>
      </c>
      <c r="I210" s="36"/>
      <c r="J210" s="74">
        <v>29568</v>
      </c>
      <c r="K210" s="74"/>
      <c r="L210" s="26"/>
      <c r="M210" s="123">
        <v>29982</v>
      </c>
    </row>
    <row r="211" spans="1:13" ht="12">
      <c r="A211" s="30">
        <f t="shared" si="11"/>
        <v>29</v>
      </c>
      <c r="C211" s="31" t="s">
        <v>0</v>
      </c>
      <c r="E211" s="30">
        <f t="shared" si="12"/>
        <v>29</v>
      </c>
      <c r="F211" s="30"/>
      <c r="G211" s="81"/>
      <c r="H211" s="81"/>
      <c r="I211" s="36"/>
      <c r="J211" s="74"/>
      <c r="K211" s="74"/>
      <c r="L211" s="26"/>
      <c r="M211" s="26"/>
    </row>
    <row r="212" spans="1:11" ht="12">
      <c r="A212" s="30">
        <f>(A211+1)</f>
        <v>30</v>
      </c>
      <c r="E212" s="30">
        <f>(E211+1)</f>
        <v>30</v>
      </c>
      <c r="H212" s="84"/>
      <c r="I212" s="84"/>
      <c r="J212" s="84"/>
      <c r="K212" s="84"/>
    </row>
    <row r="214" ht="12">
      <c r="A214" s="31"/>
    </row>
    <row r="215" spans="1:13" ht="12">
      <c r="A215" s="31"/>
      <c r="J215" s="74"/>
      <c r="M215" s="74"/>
    </row>
    <row r="216" spans="1:13" ht="12">
      <c r="A216" s="31"/>
      <c r="J216" s="74"/>
      <c r="M216" s="74"/>
    </row>
    <row r="217" spans="1:13" ht="12">
      <c r="A217" s="31"/>
      <c r="J217" s="74"/>
      <c r="M217" s="74"/>
    </row>
    <row r="218" spans="1:13" ht="12">
      <c r="A218" s="31"/>
      <c r="J218" s="74"/>
      <c r="M218" s="74"/>
    </row>
    <row r="219" spans="1:13" ht="12">
      <c r="A219" s="31"/>
      <c r="J219" s="74"/>
      <c r="M219" s="74"/>
    </row>
    <row r="220" spans="1:13" ht="12">
      <c r="A220" s="31"/>
      <c r="J220" s="74"/>
      <c r="M220" s="74"/>
    </row>
    <row r="221" spans="1:13" ht="12">
      <c r="A221" s="31"/>
      <c r="J221" s="74"/>
      <c r="M221" s="74"/>
    </row>
    <row r="222" spans="1:13" ht="12">
      <c r="A222" s="31"/>
      <c r="J222" s="74"/>
      <c r="M222" s="74"/>
    </row>
    <row r="223" spans="1:13" ht="12">
      <c r="A223" s="38" t="str">
        <f>$A$36</f>
        <v>Institution No.:  GFE</v>
      </c>
      <c r="C223" s="96"/>
      <c r="I223" s="26"/>
      <c r="J223" s="26"/>
      <c r="K223" s="52" t="s">
        <v>162</v>
      </c>
      <c r="L223" s="26"/>
      <c r="M223" s="26"/>
    </row>
    <row r="224" spans="1:13" ht="12">
      <c r="A224" s="73"/>
      <c r="B224" s="415" t="s">
        <v>163</v>
      </c>
      <c r="C224" s="415"/>
      <c r="D224" s="415"/>
      <c r="E224" s="415"/>
      <c r="F224" s="415"/>
      <c r="G224" s="415"/>
      <c r="H224" s="415"/>
      <c r="I224" s="415"/>
      <c r="J224" s="415"/>
      <c r="K224" s="415"/>
      <c r="L224" s="415"/>
      <c r="M224" s="415"/>
    </row>
    <row r="225" spans="1:13" ht="12">
      <c r="A225" s="38" t="s">
        <v>551</v>
      </c>
      <c r="C225" s="26" t="s">
        <v>553</v>
      </c>
      <c r="I225" s="26"/>
      <c r="J225" s="26"/>
      <c r="K225" s="97" t="s">
        <v>180</v>
      </c>
      <c r="L225" s="26"/>
      <c r="M225" s="26"/>
    </row>
    <row r="226" spans="1:13" ht="12">
      <c r="A226" s="40"/>
      <c r="C226" s="40" t="s">
        <v>1</v>
      </c>
      <c r="D226" s="40" t="s">
        <v>1</v>
      </c>
      <c r="E226" s="40" t="s">
        <v>1</v>
      </c>
      <c r="F226" s="40"/>
      <c r="G226" s="40" t="s">
        <v>1</v>
      </c>
      <c r="H226" s="40" t="s">
        <v>1</v>
      </c>
      <c r="I226" s="40" t="s">
        <v>1</v>
      </c>
      <c r="J226" s="40" t="s">
        <v>1</v>
      </c>
      <c r="K226" s="40"/>
      <c r="L226" s="40" t="s">
        <v>1</v>
      </c>
      <c r="M226" s="26"/>
    </row>
    <row r="227" spans="1:13" ht="12">
      <c r="A227" s="43"/>
      <c r="D227" s="47" t="s">
        <v>589</v>
      </c>
      <c r="G227" s="47"/>
      <c r="H227" s="26" t="s">
        <v>590</v>
      </c>
      <c r="I227" s="47"/>
      <c r="J227" s="26"/>
      <c r="L227" s="26"/>
      <c r="M227" s="26"/>
    </row>
    <row r="228" spans="1:13" ht="12">
      <c r="A228" s="43"/>
      <c r="D228" s="47" t="s">
        <v>164</v>
      </c>
      <c r="G228" s="47"/>
      <c r="H228" s="26" t="s">
        <v>164</v>
      </c>
      <c r="I228" s="47"/>
      <c r="J228" s="26"/>
      <c r="L228" s="26"/>
      <c r="M228" s="26"/>
    </row>
    <row r="229" spans="1:13" ht="12">
      <c r="A229" s="40"/>
      <c r="D229" s="47" t="s">
        <v>21</v>
      </c>
      <c r="E229" s="47" t="s">
        <v>21</v>
      </c>
      <c r="F229" s="47"/>
      <c r="G229" s="47" t="s">
        <v>165</v>
      </c>
      <c r="H229" s="47" t="s">
        <v>21</v>
      </c>
      <c r="I229" s="47" t="s">
        <v>21</v>
      </c>
      <c r="J229" s="47" t="s">
        <v>165</v>
      </c>
      <c r="K229" s="47"/>
      <c r="L229" s="47"/>
      <c r="M229" s="26"/>
    </row>
    <row r="230" spans="1:13" ht="12">
      <c r="A230" s="31"/>
      <c r="C230" s="47" t="s">
        <v>166</v>
      </c>
      <c r="D230" s="47" t="s">
        <v>167</v>
      </c>
      <c r="E230" s="47" t="s">
        <v>168</v>
      </c>
      <c r="F230" s="47"/>
      <c r="G230" s="47" t="s">
        <v>591</v>
      </c>
      <c r="H230" s="47" t="s">
        <v>167</v>
      </c>
      <c r="I230" s="47" t="s">
        <v>168</v>
      </c>
      <c r="J230" s="47" t="s">
        <v>591</v>
      </c>
      <c r="K230" s="47"/>
      <c r="L230" s="47"/>
      <c r="M230" s="26"/>
    </row>
    <row r="231" spans="1:13" ht="12">
      <c r="A231" s="31"/>
      <c r="C231" s="40" t="s">
        <v>1</v>
      </c>
      <c r="D231" s="40" t="s">
        <v>1</v>
      </c>
      <c r="E231" s="40" t="s">
        <v>1</v>
      </c>
      <c r="F231" s="40"/>
      <c r="G231" s="40" t="s">
        <v>1</v>
      </c>
      <c r="H231" s="40" t="s">
        <v>1</v>
      </c>
      <c r="I231" s="40" t="s">
        <v>1</v>
      </c>
      <c r="J231" s="40" t="s">
        <v>1</v>
      </c>
      <c r="K231" s="40"/>
      <c r="L231" s="40" t="s">
        <v>1</v>
      </c>
      <c r="M231" s="26"/>
    </row>
    <row r="232" spans="1:13" ht="12">
      <c r="A232" s="31"/>
      <c r="I232" s="26"/>
      <c r="J232" s="26"/>
      <c r="L232" s="26"/>
      <c r="M232" s="26"/>
    </row>
    <row r="233" spans="1:13" ht="12">
      <c r="A233" s="31"/>
      <c r="C233" s="31" t="s">
        <v>170</v>
      </c>
      <c r="D233" s="98"/>
      <c r="E233" s="98"/>
      <c r="F233" s="98"/>
      <c r="G233" s="48"/>
      <c r="H233" s="48"/>
      <c r="I233" s="98"/>
      <c r="J233" s="98"/>
      <c r="K233" s="99"/>
      <c r="L233" s="26"/>
      <c r="M233" s="26"/>
    </row>
    <row r="234" spans="1:13" ht="12">
      <c r="A234" s="31"/>
      <c r="D234" s="98"/>
      <c r="E234" s="98"/>
      <c r="F234" s="98"/>
      <c r="G234" s="100"/>
      <c r="H234" s="100"/>
      <c r="I234" s="98"/>
      <c r="J234" s="98"/>
      <c r="K234" s="98"/>
      <c r="L234" s="26"/>
      <c r="M234" s="26"/>
    </row>
    <row r="235" spans="1:13" ht="12">
      <c r="A235" s="31"/>
      <c r="C235" s="31" t="s">
        <v>171</v>
      </c>
      <c r="D235" s="82"/>
      <c r="E235" s="82"/>
      <c r="F235" s="83"/>
      <c r="G235" s="48"/>
      <c r="H235" s="48"/>
      <c r="I235" s="82"/>
      <c r="J235" s="82"/>
      <c r="K235" s="82"/>
      <c r="L235" s="30"/>
      <c r="M235" s="26"/>
    </row>
    <row r="236" spans="1:13" ht="12">
      <c r="A236" s="31"/>
      <c r="D236" s="83"/>
      <c r="E236" s="83"/>
      <c r="F236" s="83"/>
      <c r="G236" s="100"/>
      <c r="H236" s="100"/>
      <c r="I236" s="83"/>
      <c r="J236" s="83"/>
      <c r="K236" s="83"/>
      <c r="L236" s="26"/>
      <c r="M236" s="26"/>
    </row>
    <row r="237" spans="1:13" ht="12">
      <c r="A237" s="31"/>
      <c r="C237" s="31" t="s">
        <v>172</v>
      </c>
      <c r="D237" s="82">
        <v>430</v>
      </c>
      <c r="E237" s="82"/>
      <c r="F237" s="83"/>
      <c r="G237" s="48"/>
      <c r="H237" s="48">
        <v>435</v>
      </c>
      <c r="I237" s="82"/>
      <c r="J237" s="82"/>
      <c r="K237" s="82"/>
      <c r="L237" s="30"/>
      <c r="M237" s="26"/>
    </row>
    <row r="238" spans="1:13" ht="12">
      <c r="A238" s="31"/>
      <c r="D238" s="83"/>
      <c r="E238" s="83"/>
      <c r="F238" s="83"/>
      <c r="G238" s="100"/>
      <c r="H238" s="100"/>
      <c r="I238" s="83"/>
      <c r="J238" s="83"/>
      <c r="K238" s="83"/>
      <c r="L238" s="26"/>
      <c r="M238" s="26"/>
    </row>
    <row r="239" spans="1:13" ht="12">
      <c r="A239" s="31"/>
      <c r="C239" s="31" t="s">
        <v>173</v>
      </c>
      <c r="D239" s="82">
        <v>430</v>
      </c>
      <c r="E239" s="82">
        <v>0</v>
      </c>
      <c r="F239" s="83"/>
      <c r="G239" s="101"/>
      <c r="H239" s="101">
        <v>435</v>
      </c>
      <c r="I239" s="82">
        <v>0</v>
      </c>
      <c r="J239" s="82"/>
      <c r="K239" s="82"/>
      <c r="L239" s="50"/>
      <c r="M239" s="102"/>
    </row>
    <row r="240" spans="1:13" ht="12">
      <c r="A240" s="31"/>
      <c r="D240" s="100"/>
      <c r="E240" s="100"/>
      <c r="F240" s="103"/>
      <c r="G240" s="100"/>
      <c r="H240" s="100"/>
      <c r="I240" s="103"/>
      <c r="J240" s="103"/>
      <c r="K240" s="103"/>
      <c r="L240" s="26"/>
      <c r="M240" s="26"/>
    </row>
    <row r="241" spans="1:13" ht="12">
      <c r="A241" s="31"/>
      <c r="D241" s="100"/>
      <c r="E241" s="100"/>
      <c r="F241" s="103"/>
      <c r="G241" s="100"/>
      <c r="H241" s="100"/>
      <c r="I241" s="103"/>
      <c r="J241" s="103"/>
      <c r="K241" s="103"/>
      <c r="L241" s="26"/>
      <c r="M241" s="26"/>
    </row>
    <row r="242" spans="1:13" ht="12">
      <c r="A242" s="31"/>
      <c r="C242" s="31" t="s">
        <v>174</v>
      </c>
      <c r="D242" s="83">
        <v>637</v>
      </c>
      <c r="E242" s="83"/>
      <c r="F242" s="83"/>
      <c r="G242" s="48"/>
      <c r="H242" s="48">
        <v>598</v>
      </c>
      <c r="I242" s="83"/>
      <c r="J242" s="83"/>
      <c r="K242" s="82"/>
      <c r="L242" s="30"/>
      <c r="M242" s="26"/>
    </row>
    <row r="243" spans="1:13" ht="12">
      <c r="A243" s="31"/>
      <c r="D243" s="83"/>
      <c r="E243" s="83"/>
      <c r="F243" s="83"/>
      <c r="G243" s="100"/>
      <c r="H243" s="100"/>
      <c r="I243" s="83"/>
      <c r="J243" s="83"/>
      <c r="K243" s="82"/>
      <c r="L243" s="26"/>
      <c r="M243" s="26"/>
    </row>
    <row r="244" spans="1:13" ht="12">
      <c r="A244" s="31"/>
      <c r="B244" s="31" t="s">
        <v>0</v>
      </c>
      <c r="C244" s="31" t="s">
        <v>175</v>
      </c>
      <c r="D244" s="83">
        <v>416</v>
      </c>
      <c r="E244" s="83"/>
      <c r="F244" s="83"/>
      <c r="G244" s="48"/>
      <c r="H244" s="48">
        <v>420</v>
      </c>
      <c r="I244" s="83"/>
      <c r="J244" s="83"/>
      <c r="K244" s="82"/>
      <c r="L244" s="30"/>
      <c r="M244" s="26"/>
    </row>
    <row r="245" spans="1:13" ht="12">
      <c r="A245" s="31"/>
      <c r="D245" s="83"/>
      <c r="E245" s="83"/>
      <c r="F245" s="83"/>
      <c r="G245" s="100"/>
      <c r="H245" s="100"/>
      <c r="I245" s="83"/>
      <c r="J245" s="83"/>
      <c r="K245" s="82"/>
      <c r="L245" s="26"/>
      <c r="M245" s="26"/>
    </row>
    <row r="246" spans="1:13" ht="12">
      <c r="A246" s="31"/>
      <c r="C246" s="31" t="s">
        <v>176</v>
      </c>
      <c r="D246" s="83">
        <v>1053</v>
      </c>
      <c r="E246" s="83">
        <v>0</v>
      </c>
      <c r="F246" s="83"/>
      <c r="G246" s="101"/>
      <c r="H246" s="101">
        <v>1018</v>
      </c>
      <c r="I246" s="83">
        <v>0</v>
      </c>
      <c r="J246" s="83"/>
      <c r="K246" s="82"/>
      <c r="L246" s="30"/>
      <c r="M246" s="26"/>
    </row>
    <row r="247" spans="1:13" ht="12">
      <c r="A247" s="31"/>
      <c r="C247" s="31"/>
      <c r="D247" s="83"/>
      <c r="E247" s="83"/>
      <c r="F247" s="83"/>
      <c r="G247" s="101"/>
      <c r="H247" s="101"/>
      <c r="I247" s="83"/>
      <c r="J247" s="83"/>
      <c r="K247" s="82"/>
      <c r="L247" s="30"/>
      <c r="M247" s="26"/>
    </row>
    <row r="248" spans="1:13" ht="12">
      <c r="A248" s="31"/>
      <c r="C248" s="31" t="s">
        <v>512</v>
      </c>
      <c r="D248" s="83">
        <v>1496</v>
      </c>
      <c r="E248" s="83"/>
      <c r="F248" s="83"/>
      <c r="G248" s="101"/>
      <c r="H248" s="101">
        <v>1546</v>
      </c>
      <c r="I248" s="83"/>
      <c r="J248" s="83"/>
      <c r="K248" s="82"/>
      <c r="L248" s="30"/>
      <c r="M248" s="26"/>
    </row>
    <row r="249" spans="1:13" ht="12">
      <c r="A249" s="31"/>
      <c r="D249" s="83"/>
      <c r="E249" s="83"/>
      <c r="F249" s="83"/>
      <c r="G249" s="100"/>
      <c r="H249" s="100"/>
      <c r="I249" s="100"/>
      <c r="J249" s="100"/>
      <c r="K249" s="82"/>
      <c r="L249" s="26"/>
      <c r="M249" s="26"/>
    </row>
    <row r="250" spans="1:13" ht="12">
      <c r="A250" s="31"/>
      <c r="C250" s="31" t="s">
        <v>177</v>
      </c>
      <c r="D250" s="82">
        <v>2979</v>
      </c>
      <c r="E250" s="82">
        <v>377.85861127100236</v>
      </c>
      <c r="F250" s="83"/>
      <c r="G250" s="101">
        <v>7.8839013089566565</v>
      </c>
      <c r="H250" s="101">
        <v>2999</v>
      </c>
      <c r="I250" s="250">
        <v>426.88289447635844</v>
      </c>
      <c r="J250" s="101">
        <v>7.025345917593543</v>
      </c>
      <c r="K250" s="82"/>
      <c r="L250" s="30"/>
      <c r="M250" s="26"/>
    </row>
    <row r="251" spans="1:13" ht="12">
      <c r="A251" s="31"/>
      <c r="I251" s="26"/>
      <c r="J251" s="26"/>
      <c r="L251" s="26"/>
      <c r="M251" s="26"/>
    </row>
    <row r="252" spans="1:13" ht="12">
      <c r="A252" s="31"/>
      <c r="I252" s="26"/>
      <c r="J252" s="26"/>
      <c r="L252" s="26"/>
      <c r="M252" s="26"/>
    </row>
    <row r="253" spans="1:13" ht="12">
      <c r="A253" s="31"/>
      <c r="I253" s="26"/>
      <c r="J253" s="26"/>
      <c r="L253" s="26"/>
      <c r="M253" s="26"/>
    </row>
    <row r="254" spans="1:13" ht="12">
      <c r="A254" s="31"/>
      <c r="I254" s="26"/>
      <c r="J254" s="26"/>
      <c r="L254" s="26"/>
      <c r="M254" s="26"/>
    </row>
    <row r="255" spans="1:13" ht="12">
      <c r="A255" s="31"/>
      <c r="C255" s="31" t="s">
        <v>178</v>
      </c>
      <c r="I255" s="26"/>
      <c r="J255" s="26"/>
      <c r="L255" s="26"/>
      <c r="M255" s="26"/>
    </row>
    <row r="256" spans="1:13" ht="12">
      <c r="A256" s="31"/>
      <c r="C256" s="31" t="s">
        <v>179</v>
      </c>
      <c r="I256" s="26"/>
      <c r="J256" s="26"/>
      <c r="L256" s="26"/>
      <c r="M256" s="26"/>
    </row>
    <row r="257" spans="1:13" ht="12">
      <c r="A257" s="31"/>
      <c r="J257" s="74"/>
      <c r="M257" s="74"/>
    </row>
    <row r="258" spans="1:13" ht="12">
      <c r="A258" s="31"/>
      <c r="B258" s="26" t="s">
        <v>513</v>
      </c>
      <c r="J258" s="74"/>
      <c r="M258" s="74"/>
    </row>
    <row r="259" spans="1:13" ht="12">
      <c r="A259" s="31"/>
      <c r="B259" s="26" t="s">
        <v>514</v>
      </c>
      <c r="J259" s="74"/>
      <c r="M259" s="74"/>
    </row>
    <row r="260" spans="1:13" ht="12">
      <c r="A260" s="31"/>
      <c r="B260" s="26" t="s">
        <v>592</v>
      </c>
      <c r="J260" s="74"/>
      <c r="M260" s="74"/>
    </row>
    <row r="261" spans="1:13" ht="12">
      <c r="A261" s="31"/>
      <c r="J261" s="74"/>
      <c r="M261" s="74"/>
    </row>
    <row r="262" spans="1:13" ht="12">
      <c r="A262" s="31"/>
      <c r="J262" s="74"/>
      <c r="M262" s="74"/>
    </row>
    <row r="263" spans="1:13" ht="12">
      <c r="A263" s="31"/>
      <c r="J263" s="74"/>
      <c r="M263" s="74"/>
    </row>
    <row r="264" spans="1:13" ht="12">
      <c r="A264" s="31"/>
      <c r="J264" s="74"/>
      <c r="M264" s="74"/>
    </row>
    <row r="265" spans="1:13" ht="12">
      <c r="A265" s="31"/>
      <c r="J265" s="74"/>
      <c r="M265" s="74"/>
    </row>
    <row r="266" spans="1:13" ht="12">
      <c r="A266" s="31"/>
      <c r="J266" s="74"/>
      <c r="M266" s="74"/>
    </row>
    <row r="267" spans="1:13" ht="12">
      <c r="A267" s="31"/>
      <c r="J267" s="74"/>
      <c r="M267" s="74"/>
    </row>
    <row r="268" spans="1:13" ht="12">
      <c r="A268" s="31"/>
      <c r="J268" s="74"/>
      <c r="M268" s="74"/>
    </row>
    <row r="269" spans="1:13" ht="12">
      <c r="A269" s="31"/>
      <c r="J269" s="74"/>
      <c r="M269" s="74"/>
    </row>
    <row r="270" spans="1:13" ht="12">
      <c r="A270" s="31"/>
      <c r="J270" s="74"/>
      <c r="M270" s="74"/>
    </row>
    <row r="271" spans="1:13" ht="12">
      <c r="A271" s="31"/>
      <c r="J271" s="74"/>
      <c r="M271" s="74"/>
    </row>
    <row r="272" spans="1:13" ht="12">
      <c r="A272" s="31"/>
      <c r="J272" s="74"/>
      <c r="M272" s="74"/>
    </row>
    <row r="273" spans="1:13" s="65" customFormat="1" ht="12">
      <c r="A273" s="38" t="str">
        <f>$A$36</f>
        <v>Institution No.:  GFE</v>
      </c>
      <c r="E273" s="70"/>
      <c r="I273" s="71"/>
      <c r="J273" s="72"/>
      <c r="L273" s="71"/>
      <c r="M273" s="37" t="s">
        <v>60</v>
      </c>
    </row>
    <row r="274" spans="5:13" s="65" customFormat="1" ht="12">
      <c r="E274" s="70" t="s">
        <v>204</v>
      </c>
      <c r="I274" s="71"/>
      <c r="J274" s="72"/>
      <c r="L274" s="71"/>
      <c r="M274" s="72"/>
    </row>
    <row r="275" spans="1:13" ht="12">
      <c r="A275" s="38" t="s">
        <v>551</v>
      </c>
      <c r="C275" s="26" t="s">
        <v>553</v>
      </c>
      <c r="F275" s="53"/>
      <c r="G275" s="53"/>
      <c r="H275" s="53"/>
      <c r="I275" s="104"/>
      <c r="J275" s="105"/>
      <c r="L275" s="36"/>
      <c r="M275" s="39" t="str">
        <f>$M$3</f>
        <v>Date: 10/1/2009</v>
      </c>
    </row>
    <row r="276" spans="1:13" ht="12">
      <c r="A276" s="40" t="s">
        <v>1</v>
      </c>
      <c r="B276" s="40" t="s">
        <v>1</v>
      </c>
      <c r="C276" s="40" t="s">
        <v>1</v>
      </c>
      <c r="D276" s="40" t="s">
        <v>1</v>
      </c>
      <c r="E276" s="40" t="s">
        <v>1</v>
      </c>
      <c r="F276" s="40" t="s">
        <v>1</v>
      </c>
      <c r="G276" s="40"/>
      <c r="H276" s="40"/>
      <c r="I276" s="41" t="s">
        <v>1</v>
      </c>
      <c r="J276" s="42" t="s">
        <v>1</v>
      </c>
      <c r="K276" s="40" t="s">
        <v>1</v>
      </c>
      <c r="L276" s="41" t="s">
        <v>1</v>
      </c>
      <c r="M276" s="42" t="s">
        <v>1</v>
      </c>
    </row>
    <row r="277" spans="1:13" ht="12">
      <c r="A277" s="43" t="s">
        <v>2</v>
      </c>
      <c r="E277" s="43" t="s">
        <v>2</v>
      </c>
      <c r="F277" s="43"/>
      <c r="G277" s="45"/>
      <c r="H277" s="46" t="s">
        <v>240</v>
      </c>
      <c r="I277" s="45"/>
      <c r="J277" s="46" t="s">
        <v>247</v>
      </c>
      <c r="K277" s="46"/>
      <c r="L277" s="26"/>
      <c r="M277" s="44" t="s">
        <v>576</v>
      </c>
    </row>
    <row r="278" spans="1:13" ht="33.75" customHeight="1">
      <c r="A278" s="43" t="s">
        <v>4</v>
      </c>
      <c r="C278" s="47" t="s">
        <v>20</v>
      </c>
      <c r="D278" s="106" t="s">
        <v>265</v>
      </c>
      <c r="E278" s="43" t="s">
        <v>4</v>
      </c>
      <c r="F278" s="43"/>
      <c r="G278" s="45" t="s">
        <v>6</v>
      </c>
      <c r="H278" s="46" t="s">
        <v>7</v>
      </c>
      <c r="I278" s="45" t="s">
        <v>6</v>
      </c>
      <c r="J278" s="46" t="s">
        <v>7</v>
      </c>
      <c r="K278" s="46"/>
      <c r="L278" s="44" t="s">
        <v>21</v>
      </c>
      <c r="M278" s="44" t="s">
        <v>8</v>
      </c>
    </row>
    <row r="279" spans="1:13" ht="12">
      <c r="A279" s="40" t="s">
        <v>1</v>
      </c>
      <c r="B279" s="40" t="s">
        <v>1</v>
      </c>
      <c r="C279" s="40" t="s">
        <v>1</v>
      </c>
      <c r="D279" s="40" t="s">
        <v>1</v>
      </c>
      <c r="E279" s="40" t="s">
        <v>1</v>
      </c>
      <c r="F279" s="40"/>
      <c r="G279" s="41" t="s">
        <v>1</v>
      </c>
      <c r="H279" s="42" t="s">
        <v>1</v>
      </c>
      <c r="I279" s="41" t="s">
        <v>1</v>
      </c>
      <c r="J279" s="42" t="s">
        <v>1</v>
      </c>
      <c r="K279" s="42"/>
      <c r="L279" s="42" t="s">
        <v>1</v>
      </c>
      <c r="M279" s="42" t="s">
        <v>1</v>
      </c>
    </row>
    <row r="280" spans="1:13" ht="12">
      <c r="A280" s="30">
        <v>1</v>
      </c>
      <c r="C280" s="31" t="s">
        <v>61</v>
      </c>
      <c r="E280" s="30">
        <v>1</v>
      </c>
      <c r="F280" s="30"/>
      <c r="G280" s="36"/>
      <c r="H280" s="74"/>
      <c r="I280" s="36"/>
      <c r="J280" s="74"/>
      <c r="K280" s="74"/>
      <c r="L280" s="26"/>
      <c r="M280" s="26"/>
    </row>
    <row r="281" spans="1:13" ht="12">
      <c r="A281" s="30">
        <f>(A280+1)</f>
        <v>2</v>
      </c>
      <c r="C281" s="31" t="s">
        <v>62</v>
      </c>
      <c r="D281" s="31" t="s">
        <v>250</v>
      </c>
      <c r="E281" s="30">
        <f>(E280+1)</f>
        <v>2</v>
      </c>
      <c r="F281" s="30"/>
      <c r="G281" s="86"/>
      <c r="H281" s="2">
        <v>4369106</v>
      </c>
      <c r="I281" s="86"/>
      <c r="J281" s="2">
        <v>4202411</v>
      </c>
      <c r="K281" s="2"/>
      <c r="L281" s="26"/>
      <c r="M281" s="28">
        <v>4555203</v>
      </c>
    </row>
    <row r="282" spans="1:13" ht="12">
      <c r="A282" s="30">
        <f>(A281+1)</f>
        <v>3</v>
      </c>
      <c r="D282" s="31" t="s">
        <v>251</v>
      </c>
      <c r="E282" s="30">
        <f>(E281+1)</f>
        <v>3</v>
      </c>
      <c r="F282" s="30"/>
      <c r="G282" s="86"/>
      <c r="H282" s="2">
        <v>675045</v>
      </c>
      <c r="I282" s="86"/>
      <c r="J282" s="2">
        <v>721002</v>
      </c>
      <c r="K282" s="2"/>
      <c r="L282" s="26"/>
      <c r="M282" s="28">
        <v>789522</v>
      </c>
    </row>
    <row r="283" spans="1:13" ht="12">
      <c r="A283" s="30">
        <v>4</v>
      </c>
      <c r="C283" s="31" t="s">
        <v>63</v>
      </c>
      <c r="D283" s="31" t="s">
        <v>252</v>
      </c>
      <c r="E283" s="30">
        <v>4</v>
      </c>
      <c r="F283" s="30"/>
      <c r="G283" s="86"/>
      <c r="H283" s="2">
        <v>1142718</v>
      </c>
      <c r="I283" s="86"/>
      <c r="J283" s="2">
        <v>1334224</v>
      </c>
      <c r="K283" s="2"/>
      <c r="L283" s="26"/>
      <c r="M283" s="28">
        <v>1687173</v>
      </c>
    </row>
    <row r="284" spans="1:13" ht="12">
      <c r="A284" s="30">
        <f>(A283+1)</f>
        <v>5</v>
      </c>
      <c r="D284" s="31" t="s">
        <v>253</v>
      </c>
      <c r="E284" s="30">
        <f>(E283+1)</f>
        <v>5</v>
      </c>
      <c r="F284" s="30"/>
      <c r="G284" s="86"/>
      <c r="H284" s="2">
        <v>92259</v>
      </c>
      <c r="I284" s="86"/>
      <c r="J284" s="2">
        <v>59229</v>
      </c>
      <c r="K284" s="2"/>
      <c r="L284" s="26"/>
      <c r="M284" s="28">
        <v>22113</v>
      </c>
    </row>
    <row r="285" spans="1:13" ht="12">
      <c r="A285" s="30">
        <f>(A284+1)</f>
        <v>6</v>
      </c>
      <c r="C285" s="31" t="s">
        <v>64</v>
      </c>
      <c r="E285" s="30">
        <f>(E284+1)</f>
        <v>6</v>
      </c>
      <c r="F285" s="30"/>
      <c r="G285" s="83">
        <f>SUM(G280:G284)</f>
        <v>0</v>
      </c>
      <c r="H285" s="84">
        <v>6279128</v>
      </c>
      <c r="I285" s="83">
        <f>SUM(I280:I284)</f>
        <v>0</v>
      </c>
      <c r="J285" s="84">
        <f>SUM(J280:J284)</f>
        <v>6316866</v>
      </c>
      <c r="K285" s="84"/>
      <c r="L285" s="83">
        <f>SUM(L280:L284)</f>
        <v>0</v>
      </c>
      <c r="M285" s="243">
        <f>SUM(M280:M284)</f>
        <v>7054011</v>
      </c>
    </row>
    <row r="286" spans="1:12" ht="12">
      <c r="A286" s="30">
        <f>(A285+1)</f>
        <v>7</v>
      </c>
      <c r="C286" s="31" t="s">
        <v>65</v>
      </c>
      <c r="E286" s="30">
        <f>(E285+1)</f>
        <v>7</v>
      </c>
      <c r="F286" s="30"/>
      <c r="G286" s="82"/>
      <c r="H286" s="81"/>
      <c r="I286" s="82"/>
      <c r="J286" s="81"/>
      <c r="K286" s="81"/>
      <c r="L286" s="26"/>
    </row>
    <row r="287" spans="1:13" ht="12">
      <c r="A287" s="30">
        <f>(A286+1)</f>
        <v>8</v>
      </c>
      <c r="C287" s="31" t="s">
        <v>62</v>
      </c>
      <c r="D287" s="31" t="s">
        <v>250</v>
      </c>
      <c r="E287" s="30">
        <f>(E286+1)</f>
        <v>8</v>
      </c>
      <c r="F287" s="30"/>
      <c r="G287" s="86"/>
      <c r="H287" s="2">
        <f>10554128+499</f>
        <v>10554627</v>
      </c>
      <c r="I287" s="86"/>
      <c r="J287" s="2">
        <v>11443346</v>
      </c>
      <c r="K287" s="2"/>
      <c r="L287" s="26"/>
      <c r="M287" s="28">
        <v>12362289</v>
      </c>
    </row>
    <row r="288" spans="1:13" ht="12">
      <c r="A288" s="30">
        <v>9</v>
      </c>
      <c r="D288" s="31" t="s">
        <v>251</v>
      </c>
      <c r="E288" s="30">
        <v>9</v>
      </c>
      <c r="F288" s="30"/>
      <c r="G288" s="86"/>
      <c r="H288" s="2">
        <v>2805707</v>
      </c>
      <c r="I288" s="86"/>
      <c r="J288" s="2">
        <v>3070858</v>
      </c>
      <c r="K288" s="2"/>
      <c r="L288" s="26"/>
      <c r="M288" s="28">
        <v>3042834</v>
      </c>
    </row>
    <row r="289" spans="1:13" ht="12">
      <c r="A289" s="30">
        <v>10</v>
      </c>
      <c r="C289" s="31" t="s">
        <v>63</v>
      </c>
      <c r="D289" s="31" t="s">
        <v>252</v>
      </c>
      <c r="E289" s="30">
        <v>10</v>
      </c>
      <c r="F289" s="30"/>
      <c r="G289" s="86"/>
      <c r="H289" s="2">
        <v>2891673</v>
      </c>
      <c r="I289" s="86"/>
      <c r="J289" s="2">
        <v>3364541</v>
      </c>
      <c r="K289" s="2"/>
      <c r="L289" s="26"/>
      <c r="M289" s="28">
        <v>3564473</v>
      </c>
    </row>
    <row r="290" spans="1:13" ht="12">
      <c r="A290" s="30">
        <f>(A289+1)</f>
        <v>11</v>
      </c>
      <c r="D290" s="31" t="s">
        <v>253</v>
      </c>
      <c r="E290" s="30">
        <f>(E289+1)</f>
        <v>11</v>
      </c>
      <c r="F290" s="30"/>
      <c r="G290" s="86"/>
      <c r="H290" s="2">
        <v>800762</v>
      </c>
      <c r="I290" s="86"/>
      <c r="J290" s="2">
        <v>845628</v>
      </c>
      <c r="K290" s="2"/>
      <c r="L290" s="26"/>
      <c r="M290" s="28">
        <v>1105881</v>
      </c>
    </row>
    <row r="291" spans="1:13" ht="12">
      <c r="A291" s="30">
        <f>(A290+1)</f>
        <v>12</v>
      </c>
      <c r="C291" s="31" t="s">
        <v>66</v>
      </c>
      <c r="E291" s="30">
        <f>(E290+1)</f>
        <v>12</v>
      </c>
      <c r="F291" s="30"/>
      <c r="G291" s="83">
        <f aca="true" t="shared" si="13" ref="G291:M291">SUM(G287:G290)</f>
        <v>0</v>
      </c>
      <c r="H291" s="84">
        <f t="shared" si="13"/>
        <v>17052769</v>
      </c>
      <c r="I291" s="83">
        <f t="shared" si="13"/>
        <v>0</v>
      </c>
      <c r="J291" s="84">
        <f t="shared" si="13"/>
        <v>18724373</v>
      </c>
      <c r="K291" s="84"/>
      <c r="L291" s="83">
        <f t="shared" si="13"/>
        <v>0</v>
      </c>
      <c r="M291" s="243">
        <f t="shared" si="13"/>
        <v>20075477</v>
      </c>
    </row>
    <row r="292" spans="1:12" ht="12">
      <c r="A292" s="30">
        <f>(A291+1)</f>
        <v>13</v>
      </c>
      <c r="C292" s="31" t="s">
        <v>67</v>
      </c>
      <c r="E292" s="30">
        <f>(E291+1)</f>
        <v>13</v>
      </c>
      <c r="F292" s="30"/>
      <c r="G292" s="82"/>
      <c r="H292" s="81"/>
      <c r="I292" s="82"/>
      <c r="J292" s="81"/>
      <c r="K292" s="81"/>
      <c r="L292" s="26"/>
    </row>
    <row r="293" spans="1:12" ht="12">
      <c r="A293" s="30">
        <f>(A292+1)</f>
        <v>14</v>
      </c>
      <c r="C293" s="31" t="s">
        <v>62</v>
      </c>
      <c r="D293" s="31" t="s">
        <v>250</v>
      </c>
      <c r="E293" s="30">
        <f>(E292+1)</f>
        <v>14</v>
      </c>
      <c r="F293" s="30"/>
      <c r="G293" s="86"/>
      <c r="H293" s="2"/>
      <c r="I293" s="86"/>
      <c r="J293" s="2"/>
      <c r="K293" s="2"/>
      <c r="L293" s="26"/>
    </row>
    <row r="294" spans="1:12" ht="12">
      <c r="A294" s="30">
        <v>15</v>
      </c>
      <c r="C294" s="31"/>
      <c r="D294" s="31" t="s">
        <v>251</v>
      </c>
      <c r="E294" s="30">
        <v>15</v>
      </c>
      <c r="F294" s="30"/>
      <c r="G294" s="86"/>
      <c r="H294" s="2"/>
      <c r="I294" s="86"/>
      <c r="J294" s="2"/>
      <c r="K294" s="2"/>
      <c r="L294" s="26"/>
    </row>
    <row r="295" spans="1:12" ht="12">
      <c r="A295" s="30">
        <v>16</v>
      </c>
      <c r="C295" s="31" t="s">
        <v>63</v>
      </c>
      <c r="D295" s="31" t="s">
        <v>252</v>
      </c>
      <c r="E295" s="30">
        <v>16</v>
      </c>
      <c r="F295" s="30"/>
      <c r="G295" s="86"/>
      <c r="H295" s="2"/>
      <c r="I295" s="86"/>
      <c r="J295" s="2"/>
      <c r="K295" s="2"/>
      <c r="L295" s="26"/>
    </row>
    <row r="296" spans="1:12" ht="12">
      <c r="A296" s="30">
        <v>17</v>
      </c>
      <c r="C296" s="31"/>
      <c r="D296" s="31" t="s">
        <v>253</v>
      </c>
      <c r="E296" s="30">
        <v>17</v>
      </c>
      <c r="F296" s="30"/>
      <c r="G296" s="83"/>
      <c r="H296" s="84"/>
      <c r="I296" s="83"/>
      <c r="J296" s="84"/>
      <c r="K296" s="84"/>
      <c r="L296" s="26"/>
    </row>
    <row r="297" spans="1:13" ht="12">
      <c r="A297" s="30">
        <v>18</v>
      </c>
      <c r="C297" s="31" t="s">
        <v>68</v>
      </c>
      <c r="D297" s="31"/>
      <c r="E297" s="30">
        <v>18</v>
      </c>
      <c r="F297" s="30"/>
      <c r="G297" s="83">
        <f aca="true" t="shared" si="14" ref="G297:M297">SUM(G293:G296)</f>
        <v>0</v>
      </c>
      <c r="H297" s="84">
        <f t="shared" si="14"/>
        <v>0</v>
      </c>
      <c r="I297" s="83">
        <f t="shared" si="14"/>
        <v>0</v>
      </c>
      <c r="J297" s="84">
        <f t="shared" si="14"/>
        <v>0</v>
      </c>
      <c r="K297" s="84"/>
      <c r="L297" s="83">
        <f t="shared" si="14"/>
        <v>0</v>
      </c>
      <c r="M297" s="243">
        <f t="shared" si="14"/>
        <v>0</v>
      </c>
    </row>
    <row r="298" spans="1:12" ht="12">
      <c r="A298" s="30">
        <v>19</v>
      </c>
      <c r="C298" s="31" t="s">
        <v>69</v>
      </c>
      <c r="D298" s="31"/>
      <c r="E298" s="30">
        <v>19</v>
      </c>
      <c r="F298" s="30"/>
      <c r="G298" s="83"/>
      <c r="H298" s="84"/>
      <c r="I298" s="83"/>
      <c r="J298" s="84"/>
      <c r="K298" s="84"/>
      <c r="L298" s="26"/>
    </row>
    <row r="299" spans="1:13" ht="12">
      <c r="A299" s="30">
        <v>20</v>
      </c>
      <c r="C299" s="31" t="s">
        <v>62</v>
      </c>
      <c r="D299" s="31" t="s">
        <v>250</v>
      </c>
      <c r="E299" s="30">
        <v>20</v>
      </c>
      <c r="F299" s="30"/>
      <c r="G299" s="86"/>
      <c r="H299" s="2">
        <f>10537726</f>
        <v>10537726</v>
      </c>
      <c r="I299" s="86"/>
      <c r="J299" s="2">
        <v>11445737</v>
      </c>
      <c r="K299" s="2"/>
      <c r="L299" s="26"/>
      <c r="M299" s="28">
        <v>12379860</v>
      </c>
    </row>
    <row r="300" spans="1:13" ht="12">
      <c r="A300" s="30">
        <v>21</v>
      </c>
      <c r="C300" s="31"/>
      <c r="D300" s="31" t="s">
        <v>251</v>
      </c>
      <c r="E300" s="30">
        <v>21</v>
      </c>
      <c r="F300" s="30"/>
      <c r="G300" s="86"/>
      <c r="H300" s="2">
        <v>3179368</v>
      </c>
      <c r="I300" s="86"/>
      <c r="J300" s="2">
        <f>3196255-47113</f>
        <v>3149142</v>
      </c>
      <c r="K300" s="2"/>
      <c r="L300" s="26"/>
      <c r="M300" s="28">
        <f>2990247-87694</f>
        <v>2902553</v>
      </c>
    </row>
    <row r="301" spans="1:13" ht="12">
      <c r="A301" s="30">
        <v>22</v>
      </c>
      <c r="C301" s="31" t="s">
        <v>63</v>
      </c>
      <c r="D301" s="31" t="s">
        <v>252</v>
      </c>
      <c r="E301" s="30">
        <v>22</v>
      </c>
      <c r="F301" s="30"/>
      <c r="G301" s="86"/>
      <c r="H301" s="2">
        <v>2548590</v>
      </c>
      <c r="I301" s="86"/>
      <c r="J301" s="2">
        <f>3088942-14784</f>
        <v>3074158</v>
      </c>
      <c r="K301" s="2"/>
      <c r="L301" s="26"/>
      <c r="M301" s="28">
        <v>3552629</v>
      </c>
    </row>
    <row r="302" spans="1:13" ht="12">
      <c r="A302" s="30">
        <v>23</v>
      </c>
      <c r="D302" s="31" t="s">
        <v>253</v>
      </c>
      <c r="E302" s="30">
        <v>23</v>
      </c>
      <c r="F302" s="30"/>
      <c r="G302" s="86"/>
      <c r="H302" s="2">
        <v>798196</v>
      </c>
      <c r="I302" s="86"/>
      <c r="J302" s="2">
        <f>865554+61896</f>
        <v>927450</v>
      </c>
      <c r="K302" s="2"/>
      <c r="L302" s="26"/>
      <c r="M302" s="28">
        <v>1100148</v>
      </c>
    </row>
    <row r="303" spans="1:13" ht="12">
      <c r="A303" s="30">
        <v>24</v>
      </c>
      <c r="C303" s="31" t="s">
        <v>70</v>
      </c>
      <c r="E303" s="30">
        <v>24</v>
      </c>
      <c r="F303" s="30"/>
      <c r="G303" s="82">
        <f aca="true" t="shared" si="15" ref="G303:M303">SUM(G299:G302)</f>
        <v>0</v>
      </c>
      <c r="H303" s="81">
        <f t="shared" si="15"/>
        <v>17063880</v>
      </c>
      <c r="I303" s="82">
        <f t="shared" si="15"/>
        <v>0</v>
      </c>
      <c r="J303" s="81">
        <f t="shared" si="15"/>
        <v>18596487</v>
      </c>
      <c r="K303" s="81"/>
      <c r="L303" s="82">
        <f t="shared" si="15"/>
        <v>0</v>
      </c>
      <c r="M303" s="293">
        <f t="shared" si="15"/>
        <v>19935190</v>
      </c>
    </row>
    <row r="304" spans="1:12" ht="12">
      <c r="A304" s="30">
        <v>25</v>
      </c>
      <c r="C304" s="31" t="s">
        <v>71</v>
      </c>
      <c r="E304" s="30">
        <v>25</v>
      </c>
      <c r="F304" s="30"/>
      <c r="G304" s="83"/>
      <c r="H304" s="84"/>
      <c r="I304" s="83"/>
      <c r="J304" s="84"/>
      <c r="K304" s="84"/>
      <c r="L304" s="26"/>
    </row>
    <row r="305" spans="1:13" ht="12">
      <c r="A305" s="30">
        <v>26</v>
      </c>
      <c r="C305" s="31" t="s">
        <v>62</v>
      </c>
      <c r="D305" s="31" t="s">
        <v>250</v>
      </c>
      <c r="E305" s="30">
        <v>26</v>
      </c>
      <c r="F305" s="30"/>
      <c r="G305" s="83">
        <f>+H88</f>
        <v>2200</v>
      </c>
      <c r="H305" s="84">
        <f>H281+H287+H293+H299</f>
        <v>25461459</v>
      </c>
      <c r="I305" s="83">
        <f>+J88</f>
        <v>2161</v>
      </c>
      <c r="J305" s="84">
        <f>J281+J287+J293+J299</f>
        <v>27091494</v>
      </c>
      <c r="K305" s="84"/>
      <c r="L305" s="83">
        <f>+M88</f>
        <v>2099</v>
      </c>
      <c r="M305" s="243">
        <f>M281+M287+M293+M299</f>
        <v>29297352</v>
      </c>
    </row>
    <row r="306" spans="1:13" ht="12">
      <c r="A306" s="30">
        <v>27</v>
      </c>
      <c r="C306" s="31"/>
      <c r="D306" s="31" t="s">
        <v>251</v>
      </c>
      <c r="E306" s="30">
        <v>27</v>
      </c>
      <c r="F306" s="30"/>
      <c r="G306" s="83">
        <f>+H87</f>
        <v>416</v>
      </c>
      <c r="H306" s="84">
        <f>H282+H288+H294+H300</f>
        <v>6660120</v>
      </c>
      <c r="I306" s="83">
        <f>+J87</f>
        <v>422</v>
      </c>
      <c r="J306" s="84">
        <f>J282+J288+J294+J300</f>
        <v>6941002</v>
      </c>
      <c r="K306" s="84"/>
      <c r="L306" s="83">
        <f>+M87</f>
        <v>401</v>
      </c>
      <c r="M306" s="243">
        <f>M282+M288+M294+M300</f>
        <v>6734909</v>
      </c>
    </row>
    <row r="307" spans="1:13" ht="12">
      <c r="A307" s="30">
        <v>28</v>
      </c>
      <c r="C307" s="31" t="s">
        <v>63</v>
      </c>
      <c r="D307" s="31" t="s">
        <v>252</v>
      </c>
      <c r="E307" s="30">
        <v>28</v>
      </c>
      <c r="F307" s="30"/>
      <c r="G307" s="83">
        <f>+H92</f>
        <v>349</v>
      </c>
      <c r="H307" s="84">
        <f>H283+H289+H295+H301</f>
        <v>6582981</v>
      </c>
      <c r="I307" s="83">
        <f>+J92</f>
        <v>403</v>
      </c>
      <c r="J307" s="84">
        <f>J283+J289+J295+J301</f>
        <v>7772923</v>
      </c>
      <c r="K307" s="84"/>
      <c r="L307" s="83">
        <f>+M92</f>
        <v>446</v>
      </c>
      <c r="M307" s="243">
        <f>M283+M289+M295+M301</f>
        <v>8804275</v>
      </c>
    </row>
    <row r="308" spans="1:13" ht="12">
      <c r="A308" s="30">
        <v>29</v>
      </c>
      <c r="D308" s="31" t="s">
        <v>253</v>
      </c>
      <c r="E308" s="30">
        <v>29</v>
      </c>
      <c r="F308" s="30"/>
      <c r="G308" s="83">
        <f>+H91</f>
        <v>14</v>
      </c>
      <c r="H308" s="84">
        <f>H284+H290+H296+H302</f>
        <v>1691217</v>
      </c>
      <c r="I308" s="83">
        <f>+J91</f>
        <v>13</v>
      </c>
      <c r="J308" s="84">
        <f>J284+J290+J296+J302</f>
        <v>1832307</v>
      </c>
      <c r="K308" s="84"/>
      <c r="L308" s="83">
        <f>+M91</f>
        <v>4</v>
      </c>
      <c r="M308" s="243">
        <f>M284+M290+M296+M302</f>
        <v>2228142</v>
      </c>
    </row>
    <row r="309" spans="1:12" ht="12">
      <c r="A309" s="30">
        <v>30</v>
      </c>
      <c r="E309" s="30">
        <v>30</v>
      </c>
      <c r="F309" s="30"/>
      <c r="G309" s="82"/>
      <c r="H309" s="81"/>
      <c r="I309" s="82"/>
      <c r="J309" s="81"/>
      <c r="K309" s="81"/>
      <c r="L309" s="82"/>
    </row>
    <row r="310" spans="1:13" ht="12">
      <c r="A310" s="30">
        <v>31</v>
      </c>
      <c r="C310" s="31" t="s">
        <v>72</v>
      </c>
      <c r="E310" s="30">
        <v>31</v>
      </c>
      <c r="F310" s="30"/>
      <c r="G310" s="83">
        <v>2616</v>
      </c>
      <c r="H310" s="84">
        <f>SUM(H305:H306)</f>
        <v>32121579</v>
      </c>
      <c r="I310" s="83">
        <f>+I305+I306</f>
        <v>2583</v>
      </c>
      <c r="J310" s="84">
        <f>SUM(J305:J306)</f>
        <v>34032496</v>
      </c>
      <c r="K310" s="84"/>
      <c r="L310" s="83">
        <f>+L305+L306</f>
        <v>2500</v>
      </c>
      <c r="M310" s="243">
        <f>SUM(M305:M306)</f>
        <v>36032261</v>
      </c>
    </row>
    <row r="311" spans="1:13" ht="12">
      <c r="A311" s="30">
        <v>32</v>
      </c>
      <c r="C311" s="31" t="s">
        <v>73</v>
      </c>
      <c r="E311" s="30">
        <v>32</v>
      </c>
      <c r="F311" s="30"/>
      <c r="G311" s="83">
        <v>363</v>
      </c>
      <c r="H311" s="84">
        <f>SUM(H307:H308)</f>
        <v>8274198</v>
      </c>
      <c r="I311" s="83">
        <f>+I307+I308</f>
        <v>416</v>
      </c>
      <c r="J311" s="84">
        <f>SUM(J307:J308)</f>
        <v>9605230</v>
      </c>
      <c r="K311" s="84"/>
      <c r="L311" s="83">
        <f>+L307+L308</f>
        <v>450</v>
      </c>
      <c r="M311" s="243">
        <f>SUM(M307:M308)</f>
        <v>11032417</v>
      </c>
    </row>
    <row r="312" spans="1:13" ht="12">
      <c r="A312" s="30">
        <v>33</v>
      </c>
      <c r="C312" s="31" t="s">
        <v>74</v>
      </c>
      <c r="E312" s="30">
        <v>33</v>
      </c>
      <c r="F312" s="30"/>
      <c r="G312" s="82">
        <v>2549</v>
      </c>
      <c r="H312" s="81">
        <f>SUM(H305,H307)</f>
        <v>32044440</v>
      </c>
      <c r="I312" s="82">
        <f>+I305+I307</f>
        <v>2564</v>
      </c>
      <c r="J312" s="81">
        <f>SUM(J305,J307)</f>
        <v>34864417</v>
      </c>
      <c r="K312" s="81"/>
      <c r="L312" s="82">
        <f>+L305+L307</f>
        <v>2545</v>
      </c>
      <c r="M312" s="293">
        <f>SUM(M305,M307)</f>
        <v>38101627</v>
      </c>
    </row>
    <row r="313" spans="1:13" ht="12">
      <c r="A313" s="30">
        <v>34</v>
      </c>
      <c r="C313" s="31" t="s">
        <v>208</v>
      </c>
      <c r="E313" s="30">
        <v>34</v>
      </c>
      <c r="F313" s="30"/>
      <c r="G313" s="82">
        <v>430</v>
      </c>
      <c r="H313" s="81">
        <f>SUM(H306,H308)</f>
        <v>8351337</v>
      </c>
      <c r="I313" s="82">
        <f>+I306+I308</f>
        <v>435</v>
      </c>
      <c r="J313" s="81">
        <f>SUM(J306,J308)</f>
        <v>8773309</v>
      </c>
      <c r="K313" s="81"/>
      <c r="L313" s="82">
        <f>+L306+L308</f>
        <v>405</v>
      </c>
      <c r="M313" s="293">
        <f>SUM(M306,M308)</f>
        <v>8963051</v>
      </c>
    </row>
    <row r="314" spans="1:13" ht="12">
      <c r="A314" s="31"/>
      <c r="C314" s="40" t="s">
        <v>1</v>
      </c>
      <c r="D314" s="40" t="s">
        <v>1</v>
      </c>
      <c r="E314" s="40" t="s">
        <v>1</v>
      </c>
      <c r="F314" s="40"/>
      <c r="G314" s="40" t="s">
        <v>1</v>
      </c>
      <c r="H314" s="40" t="s">
        <v>1</v>
      </c>
      <c r="I314" s="40" t="s">
        <v>1</v>
      </c>
      <c r="J314" s="40"/>
      <c r="K314" s="40"/>
      <c r="L314" s="40"/>
      <c r="M314" s="40"/>
    </row>
    <row r="315" spans="1:13" ht="13.5" customHeight="1">
      <c r="A315" s="30">
        <v>35</v>
      </c>
      <c r="C315" s="26" t="s">
        <v>75</v>
      </c>
      <c r="E315" s="30">
        <v>35</v>
      </c>
      <c r="F315" s="30"/>
      <c r="G315" s="83">
        <f aca="true" t="shared" si="16" ref="G315:M315">SUM(G312:G313)</f>
        <v>2979</v>
      </c>
      <c r="H315" s="84">
        <f t="shared" si="16"/>
        <v>40395777</v>
      </c>
      <c r="I315" s="83">
        <f t="shared" si="16"/>
        <v>2999</v>
      </c>
      <c r="J315" s="84">
        <f t="shared" si="16"/>
        <v>43637726</v>
      </c>
      <c r="K315" s="84"/>
      <c r="L315" s="83">
        <f t="shared" si="16"/>
        <v>2950</v>
      </c>
      <c r="M315" s="243">
        <f t="shared" si="16"/>
        <v>47064678</v>
      </c>
    </row>
    <row r="316" spans="3:13" ht="13.5" customHeight="1">
      <c r="C316" s="31" t="s">
        <v>261</v>
      </c>
      <c r="G316" s="41"/>
      <c r="H316" s="42"/>
      <c r="I316" s="41"/>
      <c r="J316" s="42"/>
      <c r="K316" s="42"/>
      <c r="L316" s="26"/>
      <c r="M316" s="26"/>
    </row>
    <row r="317" spans="3:13" ht="12" hidden="1">
      <c r="C317" s="31"/>
      <c r="G317" s="41"/>
      <c r="H317" s="42"/>
      <c r="I317" s="41"/>
      <c r="J317" s="42"/>
      <c r="K317" s="42"/>
      <c r="L317" s="26"/>
      <c r="M317" s="26"/>
    </row>
    <row r="318" spans="7:13" ht="12" hidden="1">
      <c r="G318" s="27"/>
      <c r="H318" s="28"/>
      <c r="K318" s="28"/>
      <c r="L318" s="26"/>
      <c r="M318" s="26"/>
    </row>
    <row r="319" spans="1:13" ht="24" customHeight="1">
      <c r="A319" s="26">
        <v>36</v>
      </c>
      <c r="B319" s="57"/>
      <c r="C319" s="110" t="s">
        <v>263</v>
      </c>
      <c r="D319" s="57"/>
      <c r="E319" s="57">
        <v>36</v>
      </c>
      <c r="F319" s="57"/>
      <c r="G319" s="60"/>
      <c r="H319" s="258">
        <f>6341845+623814</f>
        <v>6965659</v>
      </c>
      <c r="I319" s="60"/>
      <c r="J319" s="234">
        <f>9092915+1060016</f>
        <v>10152931</v>
      </c>
      <c r="K319" s="234"/>
      <c r="L319" s="60"/>
      <c r="M319" s="234">
        <f>9048144+1054797</f>
        <v>10102941</v>
      </c>
    </row>
    <row r="320" spans="3:13" ht="12">
      <c r="C320" s="26" t="s">
        <v>205</v>
      </c>
      <c r="G320" s="41"/>
      <c r="H320" s="74"/>
      <c r="I320" s="41"/>
      <c r="J320" s="74"/>
      <c r="K320" s="74"/>
      <c r="L320" s="26"/>
      <c r="M320" s="26"/>
    </row>
    <row r="321" ht="12">
      <c r="A321" s="31"/>
    </row>
    <row r="322" spans="1:13" s="65" customFormat="1" ht="12">
      <c r="A322" s="38" t="str">
        <f>$A$36</f>
        <v>Institution No.:  GFE</v>
      </c>
      <c r="E322" s="70"/>
      <c r="I322" s="71"/>
      <c r="J322" s="72"/>
      <c r="L322" s="71"/>
      <c r="M322" s="112" t="s">
        <v>76</v>
      </c>
    </row>
    <row r="323" spans="4:13" s="65" customFormat="1" ht="12">
      <c r="D323" s="79" t="s">
        <v>264</v>
      </c>
      <c r="E323" s="70"/>
      <c r="I323" s="71"/>
      <c r="J323" s="72"/>
      <c r="L323" s="71"/>
      <c r="M323" s="72"/>
    </row>
    <row r="324" spans="1:13" ht="12">
      <c r="A324" s="38" t="s">
        <v>551</v>
      </c>
      <c r="C324" s="26" t="s">
        <v>553</v>
      </c>
      <c r="F324" s="113"/>
      <c r="G324" s="113"/>
      <c r="H324" s="113"/>
      <c r="I324" s="104"/>
      <c r="J324" s="105"/>
      <c r="L324" s="36"/>
      <c r="M324" s="39" t="str">
        <f>$M$3</f>
        <v>Date: 10/1/2009</v>
      </c>
    </row>
    <row r="325" spans="1:13" ht="12">
      <c r="A325" s="40" t="s">
        <v>1</v>
      </c>
      <c r="B325" s="40" t="s">
        <v>1</v>
      </c>
      <c r="C325" s="40" t="s">
        <v>1</v>
      </c>
      <c r="D325" s="40" t="s">
        <v>1</v>
      </c>
      <c r="E325" s="40" t="s">
        <v>1</v>
      </c>
      <c r="F325" s="40" t="s">
        <v>1</v>
      </c>
      <c r="G325" s="40"/>
      <c r="H325" s="40"/>
      <c r="I325" s="41" t="s">
        <v>1</v>
      </c>
      <c r="J325" s="42" t="s">
        <v>1</v>
      </c>
      <c r="K325" s="40" t="s">
        <v>1</v>
      </c>
      <c r="L325" s="41" t="s">
        <v>1</v>
      </c>
      <c r="M325" s="42" t="s">
        <v>1</v>
      </c>
    </row>
    <row r="326" spans="1:13" ht="12">
      <c r="A326" s="43" t="s">
        <v>2</v>
      </c>
      <c r="E326" s="43" t="s">
        <v>2</v>
      </c>
      <c r="F326" s="43"/>
      <c r="G326" s="45"/>
      <c r="H326" s="46" t="s">
        <v>240</v>
      </c>
      <c r="I326" s="45"/>
      <c r="J326" s="46" t="s">
        <v>247</v>
      </c>
      <c r="K326" s="46"/>
      <c r="L326" s="26"/>
      <c r="M326" s="44" t="s">
        <v>576</v>
      </c>
    </row>
    <row r="327" spans="1:13" ht="12">
      <c r="A327" s="43" t="s">
        <v>4</v>
      </c>
      <c r="C327" s="47" t="s">
        <v>20</v>
      </c>
      <c r="E327" s="43" t="s">
        <v>4</v>
      </c>
      <c r="F327" s="43"/>
      <c r="G327" s="36"/>
      <c r="H327" s="46" t="s">
        <v>7</v>
      </c>
      <c r="I327" s="36"/>
      <c r="J327" s="46" t="s">
        <v>7</v>
      </c>
      <c r="K327" s="46"/>
      <c r="L327" s="44"/>
      <c r="M327" s="44" t="s">
        <v>8</v>
      </c>
    </row>
    <row r="328" spans="1:13" ht="12">
      <c r="A328" s="40" t="s">
        <v>1</v>
      </c>
      <c r="B328" s="40" t="s">
        <v>1</v>
      </c>
      <c r="C328" s="40" t="s">
        <v>1</v>
      </c>
      <c r="D328" s="40" t="s">
        <v>1</v>
      </c>
      <c r="E328" s="40" t="s">
        <v>1</v>
      </c>
      <c r="F328" s="40"/>
      <c r="G328" s="41" t="s">
        <v>1</v>
      </c>
      <c r="H328" s="42" t="s">
        <v>1</v>
      </c>
      <c r="I328" s="41" t="s">
        <v>1</v>
      </c>
      <c r="J328" s="42" t="s">
        <v>1</v>
      </c>
      <c r="K328" s="42"/>
      <c r="L328" s="42" t="s">
        <v>1</v>
      </c>
      <c r="M328" s="42" t="s">
        <v>1</v>
      </c>
    </row>
    <row r="329" spans="1:13" ht="12">
      <c r="A329" s="114">
        <v>1</v>
      </c>
      <c r="C329" s="32" t="s">
        <v>580</v>
      </c>
      <c r="E329" s="114">
        <v>1</v>
      </c>
      <c r="F329" s="114"/>
      <c r="H329" s="2"/>
      <c r="I329" s="2"/>
      <c r="J329" s="2">
        <f>14361505-1+593164</f>
        <v>14954668</v>
      </c>
      <c r="K329" s="2"/>
      <c r="L329" s="26"/>
      <c r="M329" s="256">
        <f>8042423+5834605+8302777</f>
        <v>22179805</v>
      </c>
    </row>
    <row r="330" spans="1:13" ht="12">
      <c r="A330" s="26">
        <v>2</v>
      </c>
      <c r="C330" s="26" t="s">
        <v>586</v>
      </c>
      <c r="E330" s="26">
        <v>2</v>
      </c>
      <c r="G330" s="291"/>
      <c r="H330" s="292">
        <v>407501</v>
      </c>
      <c r="I330" s="161"/>
      <c r="J330" s="180">
        <v>499363</v>
      </c>
      <c r="K330" s="180"/>
      <c r="L330" s="161"/>
      <c r="M330" s="292">
        <v>615118</v>
      </c>
    </row>
    <row r="331" spans="1:13" ht="12">
      <c r="A331" s="114">
        <v>3</v>
      </c>
      <c r="C331" s="26" t="s">
        <v>587</v>
      </c>
      <c r="E331" s="114">
        <v>3</v>
      </c>
      <c r="F331" s="114"/>
      <c r="G331" s="291"/>
      <c r="H331" s="2">
        <f>3246507-H330-H332</f>
        <v>2676579</v>
      </c>
      <c r="I331" s="2"/>
      <c r="J331" s="2">
        <f>4548299.4-J330-J332</f>
        <v>3879230.4000000004</v>
      </c>
      <c r="K331" s="2"/>
      <c r="L331" s="26"/>
      <c r="M331" s="256">
        <f>5602618-M330-M332+660000</f>
        <v>5438455</v>
      </c>
    </row>
    <row r="332" spans="1:13" ht="12">
      <c r="A332" s="114">
        <v>4</v>
      </c>
      <c r="C332" s="115" t="s">
        <v>588</v>
      </c>
      <c r="D332" s="116"/>
      <c r="E332" s="114">
        <v>4</v>
      </c>
      <c r="F332" s="114"/>
      <c r="G332" s="81"/>
      <c r="H332" s="81">
        <v>162427</v>
      </c>
      <c r="I332" s="81"/>
      <c r="J332" s="81">
        <v>169706</v>
      </c>
      <c r="K332" s="81"/>
      <c r="L332" s="26"/>
      <c r="M332" s="123">
        <v>209045</v>
      </c>
    </row>
    <row r="333" spans="1:13" ht="12">
      <c r="A333" s="114"/>
      <c r="C333" s="115"/>
      <c r="D333" s="116"/>
      <c r="E333" s="114"/>
      <c r="F333" s="114"/>
      <c r="G333" s="81"/>
      <c r="H333" s="81"/>
      <c r="I333" s="81"/>
      <c r="J333" s="81"/>
      <c r="K333" s="81"/>
      <c r="L333" s="26"/>
      <c r="M333" s="26"/>
    </row>
    <row r="334" spans="1:13" ht="12">
      <c r="A334" s="114">
        <v>16</v>
      </c>
      <c r="C334" s="26" t="s">
        <v>257</v>
      </c>
      <c r="E334" s="114">
        <v>16</v>
      </c>
      <c r="F334" s="114"/>
      <c r="G334" s="81"/>
      <c r="H334" s="81">
        <v>-95124</v>
      </c>
      <c r="I334" s="81"/>
      <c r="J334" s="81">
        <v>-718393</v>
      </c>
      <c r="K334" s="81"/>
      <c r="L334" s="26"/>
      <c r="M334" s="26"/>
    </row>
    <row r="335" spans="1:13" ht="12">
      <c r="A335" s="114">
        <v>17</v>
      </c>
      <c r="C335" s="31" t="s">
        <v>0</v>
      </c>
      <c r="E335" s="114">
        <v>17</v>
      </c>
      <c r="F335" s="114"/>
      <c r="G335" s="2"/>
      <c r="H335" s="2"/>
      <c r="I335" s="2"/>
      <c r="J335" s="2"/>
      <c r="K335" s="2"/>
      <c r="L335" s="26"/>
      <c r="M335" s="26"/>
    </row>
    <row r="336" spans="1:13" ht="12">
      <c r="A336" s="114">
        <v>18</v>
      </c>
      <c r="C336" s="31"/>
      <c r="E336" s="114">
        <v>18</v>
      </c>
      <c r="F336" s="114"/>
      <c r="G336" s="84"/>
      <c r="H336" s="84"/>
      <c r="I336" s="84"/>
      <c r="J336" s="84"/>
      <c r="K336" s="84"/>
      <c r="L336" s="26"/>
      <c r="M336" s="26"/>
    </row>
    <row r="337" spans="1:13" ht="12">
      <c r="A337" s="114">
        <v>19</v>
      </c>
      <c r="E337" s="114">
        <v>19</v>
      </c>
      <c r="F337" s="114"/>
      <c r="G337" s="84"/>
      <c r="H337" s="84"/>
      <c r="I337" s="84"/>
      <c r="J337" s="84"/>
      <c r="K337" s="84"/>
      <c r="L337" s="26"/>
      <c r="M337" s="26"/>
    </row>
    <row r="338" spans="1:13" ht="12">
      <c r="A338" s="114"/>
      <c r="C338" s="115"/>
      <c r="E338" s="114"/>
      <c r="F338" s="41" t="s">
        <v>1</v>
      </c>
      <c r="G338" s="41" t="s">
        <v>1</v>
      </c>
      <c r="H338" s="42" t="s">
        <v>1</v>
      </c>
      <c r="I338" s="41" t="s">
        <v>1</v>
      </c>
      <c r="J338" s="42" t="s">
        <v>1</v>
      </c>
      <c r="K338" s="42"/>
      <c r="L338" s="42" t="s">
        <v>1</v>
      </c>
      <c r="M338" s="42" t="s">
        <v>1</v>
      </c>
    </row>
    <row r="339" spans="1:13" ht="13.5" customHeight="1">
      <c r="A339" s="114">
        <v>20</v>
      </c>
      <c r="C339" s="115" t="s">
        <v>82</v>
      </c>
      <c r="E339" s="114">
        <v>20</v>
      </c>
      <c r="F339" s="114"/>
      <c r="G339" s="81"/>
      <c r="H339" s="84">
        <f>SUM(H329:H337)</f>
        <v>3151383</v>
      </c>
      <c r="I339" s="81"/>
      <c r="J339" s="84">
        <f>SUM(J330:J337)</f>
        <v>3829906.4000000004</v>
      </c>
      <c r="K339" s="84"/>
      <c r="L339" s="84"/>
      <c r="M339" s="84">
        <f>SUM(M330:M337)</f>
        <v>6262618</v>
      </c>
    </row>
    <row r="340" spans="1:13" ht="12">
      <c r="A340" s="117"/>
      <c r="C340" s="31"/>
      <c r="E340" s="69"/>
      <c r="F340" s="109" t="s">
        <v>1</v>
      </c>
      <c r="G340" s="109"/>
      <c r="H340" s="109"/>
      <c r="I340" s="41" t="s">
        <v>1</v>
      </c>
      <c r="J340" s="42" t="s">
        <v>1</v>
      </c>
      <c r="K340" s="109" t="s">
        <v>1</v>
      </c>
      <c r="L340" s="41" t="s">
        <v>1</v>
      </c>
      <c r="M340" s="42" t="s">
        <v>1</v>
      </c>
    </row>
    <row r="341" spans="6:13" ht="12">
      <c r="F341" s="109"/>
      <c r="G341" s="109"/>
      <c r="H341" s="109"/>
      <c r="I341" s="41"/>
      <c r="J341" s="74"/>
      <c r="K341" s="109"/>
      <c r="L341" s="41"/>
      <c r="M341" s="74"/>
    </row>
    <row r="342" ht="12">
      <c r="A342" s="31"/>
    </row>
    <row r="343" spans="1:13" s="65" customFormat="1" ht="12">
      <c r="A343" s="38" t="str">
        <f>$A$36</f>
        <v>Institution No.:  GFE</v>
      </c>
      <c r="E343" s="70"/>
      <c r="I343" s="71"/>
      <c r="J343" s="72"/>
      <c r="L343" s="71"/>
      <c r="M343" s="37" t="s">
        <v>78</v>
      </c>
    </row>
    <row r="344" spans="4:13" s="65" customFormat="1" ht="12">
      <c r="D344" s="79" t="s">
        <v>266</v>
      </c>
      <c r="E344" s="70"/>
      <c r="I344" s="71"/>
      <c r="J344" s="72"/>
      <c r="L344" s="71"/>
      <c r="M344" s="72"/>
    </row>
    <row r="345" spans="1:13" ht="12">
      <c r="A345" s="38" t="s">
        <v>551</v>
      </c>
      <c r="C345" s="26" t="s">
        <v>553</v>
      </c>
      <c r="F345" s="113"/>
      <c r="G345" s="113"/>
      <c r="H345" s="113"/>
      <c r="I345" s="104"/>
      <c r="J345" s="74"/>
      <c r="L345" s="36"/>
      <c r="M345" s="39" t="str">
        <f>$M$3</f>
        <v>Date: 10/1/2009</v>
      </c>
    </row>
    <row r="346" spans="1:13" ht="12">
      <c r="A346" s="40" t="s">
        <v>1</v>
      </c>
      <c r="B346" s="40" t="s">
        <v>1</v>
      </c>
      <c r="C346" s="40" t="s">
        <v>1</v>
      </c>
      <c r="D346" s="40" t="s">
        <v>1</v>
      </c>
      <c r="E346" s="40" t="s">
        <v>1</v>
      </c>
      <c r="F346" s="40" t="s">
        <v>1</v>
      </c>
      <c r="G346" s="40"/>
      <c r="H346" s="40"/>
      <c r="I346" s="41" t="s">
        <v>1</v>
      </c>
      <c r="J346" s="42" t="s">
        <v>1</v>
      </c>
      <c r="K346" s="40" t="s">
        <v>1</v>
      </c>
      <c r="L346" s="41" t="s">
        <v>1</v>
      </c>
      <c r="M346" s="42" t="s">
        <v>1</v>
      </c>
    </row>
    <row r="347" spans="1:13" ht="12">
      <c r="A347" s="43" t="s">
        <v>2</v>
      </c>
      <c r="E347" s="43" t="s">
        <v>2</v>
      </c>
      <c r="F347" s="43"/>
      <c r="G347" s="45"/>
      <c r="H347" s="46" t="s">
        <v>240</v>
      </c>
      <c r="I347" s="45"/>
      <c r="J347" s="46" t="s">
        <v>247</v>
      </c>
      <c r="K347" s="46"/>
      <c r="L347" s="26"/>
      <c r="M347" s="44" t="s">
        <v>576</v>
      </c>
    </row>
    <row r="348" spans="1:13" ht="12">
      <c r="A348" s="43" t="s">
        <v>4</v>
      </c>
      <c r="C348" s="47" t="s">
        <v>20</v>
      </c>
      <c r="E348" s="43" t="s">
        <v>4</v>
      </c>
      <c r="F348" s="43"/>
      <c r="G348" s="36"/>
      <c r="H348" s="46" t="s">
        <v>7</v>
      </c>
      <c r="I348" s="36"/>
      <c r="J348" s="46" t="s">
        <v>7</v>
      </c>
      <c r="K348" s="46"/>
      <c r="L348" s="26"/>
      <c r="M348" s="44" t="s">
        <v>8</v>
      </c>
    </row>
    <row r="349" spans="1:13" ht="12">
      <c r="A349" s="40" t="s">
        <v>1</v>
      </c>
      <c r="B349" s="40" t="s">
        <v>1</v>
      </c>
      <c r="C349" s="40" t="s">
        <v>1</v>
      </c>
      <c r="D349" s="40" t="s">
        <v>1</v>
      </c>
      <c r="E349" s="40" t="s">
        <v>1</v>
      </c>
      <c r="F349" s="40"/>
      <c r="G349" s="41" t="s">
        <v>1</v>
      </c>
      <c r="H349" s="42" t="s">
        <v>1</v>
      </c>
      <c r="I349" s="41" t="s">
        <v>1</v>
      </c>
      <c r="J349" s="42" t="s">
        <v>1</v>
      </c>
      <c r="K349" s="42"/>
      <c r="L349" s="42" t="s">
        <v>1</v>
      </c>
      <c r="M349" s="42" t="s">
        <v>1</v>
      </c>
    </row>
    <row r="350" spans="1:13" ht="12">
      <c r="A350" s="114">
        <v>1</v>
      </c>
      <c r="C350" s="31" t="s">
        <v>83</v>
      </c>
      <c r="E350" s="114">
        <v>1</v>
      </c>
      <c r="F350" s="114"/>
      <c r="G350" s="81"/>
      <c r="H350" s="81"/>
      <c r="I350" s="81"/>
      <c r="J350" s="81"/>
      <c r="K350" s="81"/>
      <c r="L350" s="26"/>
      <c r="M350" s="26"/>
    </row>
    <row r="351" spans="1:13" ht="12">
      <c r="A351" s="114"/>
      <c r="C351" s="31"/>
      <c r="E351" s="114"/>
      <c r="F351" s="114"/>
      <c r="G351" s="81"/>
      <c r="H351" s="81"/>
      <c r="I351" s="81"/>
      <c r="J351" s="81"/>
      <c r="K351" s="81"/>
      <c r="L351" s="26"/>
      <c r="M351" s="26"/>
    </row>
    <row r="352" spans="1:13" ht="12">
      <c r="A352" s="114">
        <f>(A350+1)</f>
        <v>2</v>
      </c>
      <c r="C352" s="32" t="s">
        <v>584</v>
      </c>
      <c r="E352" s="114">
        <f>(E350+1)</f>
        <v>2</v>
      </c>
      <c r="F352" s="114"/>
      <c r="G352" s="2"/>
      <c r="H352" s="2">
        <v>45371234</v>
      </c>
      <c r="I352" s="2"/>
      <c r="J352" s="2">
        <f>44291213+433335</f>
        <v>44724548</v>
      </c>
      <c r="K352" s="2"/>
      <c r="L352" s="26"/>
      <c r="M352" s="123">
        <f>43860005+578247</f>
        <v>44438252</v>
      </c>
    </row>
    <row r="353" spans="1:13" ht="12">
      <c r="A353" s="118" t="s">
        <v>301</v>
      </c>
      <c r="C353" s="32" t="s">
        <v>515</v>
      </c>
      <c r="E353" s="114"/>
      <c r="F353" s="114"/>
      <c r="H353" s="2">
        <v>1521858</v>
      </c>
      <c r="I353" s="2"/>
      <c r="J353" s="2">
        <v>1649890</v>
      </c>
      <c r="K353" s="2"/>
      <c r="L353" s="26"/>
      <c r="M353" s="123">
        <v>1492000</v>
      </c>
    </row>
    <row r="354" spans="1:13" ht="12">
      <c r="A354" s="114">
        <f>(A352+1)</f>
        <v>3</v>
      </c>
      <c r="C354" s="32" t="s">
        <v>259</v>
      </c>
      <c r="E354" s="114">
        <f>(E352+1)</f>
        <v>3</v>
      </c>
      <c r="F354" s="114"/>
      <c r="G354" s="2"/>
      <c r="H354" s="2">
        <v>778703</v>
      </c>
      <c r="I354" s="2"/>
      <c r="J354" s="2">
        <v>603890.65</v>
      </c>
      <c r="K354" s="2"/>
      <c r="L354" s="26"/>
      <c r="M354" s="123"/>
    </row>
    <row r="355" spans="1:13" ht="12">
      <c r="A355" s="114">
        <f>(A354+1)</f>
        <v>4</v>
      </c>
      <c r="C355" s="32" t="s">
        <v>220</v>
      </c>
      <c r="E355" s="114">
        <f>(E354+1)</f>
        <v>4</v>
      </c>
      <c r="F355" s="114"/>
      <c r="G355" s="2"/>
      <c r="H355" s="2"/>
      <c r="I355" s="2"/>
      <c r="J355" s="2"/>
      <c r="K355" s="2"/>
      <c r="L355" s="26"/>
      <c r="M355" s="26"/>
    </row>
    <row r="356" spans="1:13" ht="12">
      <c r="A356" s="114">
        <f>(A355+1)</f>
        <v>5</v>
      </c>
      <c r="C356" s="32" t="s">
        <v>258</v>
      </c>
      <c r="E356" s="114">
        <f>(E355+1)</f>
        <v>5</v>
      </c>
      <c r="F356" s="114"/>
      <c r="G356" s="2"/>
      <c r="H356" s="2"/>
      <c r="I356" s="2"/>
      <c r="J356" s="2"/>
      <c r="K356" s="2"/>
      <c r="L356" s="26"/>
      <c r="M356" s="26"/>
    </row>
    <row r="357" spans="1:13" ht="12">
      <c r="A357" s="114">
        <f>(A356+1)</f>
        <v>6</v>
      </c>
      <c r="C357" s="32" t="s">
        <v>79</v>
      </c>
      <c r="E357" s="114">
        <f>(E356+1)</f>
        <v>6</v>
      </c>
      <c r="F357" s="114"/>
      <c r="H357" s="2"/>
      <c r="I357" s="2"/>
      <c r="J357" s="2"/>
      <c r="K357" s="2"/>
      <c r="L357" s="26"/>
      <c r="M357" s="26"/>
    </row>
    <row r="358" spans="1:13" ht="12">
      <c r="A358" s="114">
        <v>7</v>
      </c>
      <c r="C358" s="32"/>
      <c r="E358" s="114">
        <f>(E357+1)</f>
        <v>7</v>
      </c>
      <c r="F358" s="114"/>
      <c r="G358" s="2"/>
      <c r="H358" s="2"/>
      <c r="I358" s="2"/>
      <c r="J358" s="2"/>
      <c r="K358" s="2"/>
      <c r="L358" s="26"/>
      <c r="M358" s="26"/>
    </row>
    <row r="359" spans="1:13" ht="12">
      <c r="A359" s="114">
        <v>9</v>
      </c>
      <c r="C359" s="26" t="s">
        <v>77</v>
      </c>
      <c r="E359" s="114">
        <v>9</v>
      </c>
      <c r="F359" s="114"/>
      <c r="G359" s="2"/>
      <c r="H359" s="2">
        <f>SUM(H352:H358)</f>
        <v>47671795</v>
      </c>
      <c r="I359" s="2"/>
      <c r="J359" s="2">
        <f>SUM(J352:J358)</f>
        <v>46978328.65</v>
      </c>
      <c r="K359" s="2"/>
      <c r="L359" s="26"/>
      <c r="M359" s="2">
        <f>SUM(M352:M358)</f>
        <v>45930252</v>
      </c>
    </row>
    <row r="360" spans="1:13" ht="12">
      <c r="A360" s="114"/>
      <c r="C360" s="32"/>
      <c r="E360" s="114"/>
      <c r="F360" s="114"/>
      <c r="G360" s="2"/>
      <c r="H360" s="2"/>
      <c r="I360" s="2"/>
      <c r="J360" s="2"/>
      <c r="K360" s="2"/>
      <c r="L360" s="26"/>
      <c r="M360" s="26"/>
    </row>
    <row r="361" spans="1:13" ht="12">
      <c r="A361" s="114">
        <v>11</v>
      </c>
      <c r="C361" s="32" t="s">
        <v>206</v>
      </c>
      <c r="E361" s="114">
        <v>10</v>
      </c>
      <c r="F361" s="114"/>
      <c r="G361" s="2"/>
      <c r="H361" s="2">
        <f>1905533</f>
        <v>1905533</v>
      </c>
      <c r="I361" s="2"/>
      <c r="J361" s="2">
        <f>791229</f>
        <v>791229</v>
      </c>
      <c r="K361" s="2"/>
      <c r="L361" s="26"/>
      <c r="M361" s="256">
        <v>346724</v>
      </c>
    </row>
    <row r="362" spans="1:13" ht="12">
      <c r="A362" s="114">
        <v>12</v>
      </c>
      <c r="C362" s="32" t="s">
        <v>80</v>
      </c>
      <c r="E362" s="114">
        <v>11</v>
      </c>
      <c r="F362" s="114"/>
      <c r="G362" s="2"/>
      <c r="H362" s="2"/>
      <c r="I362" s="2"/>
      <c r="J362" s="2">
        <v>0</v>
      </c>
      <c r="K362" s="2"/>
      <c r="L362" s="26"/>
      <c r="M362" s="26"/>
    </row>
    <row r="363" spans="1:13" ht="12">
      <c r="A363" s="114">
        <v>13</v>
      </c>
      <c r="C363" s="32" t="s">
        <v>260</v>
      </c>
      <c r="E363" s="114">
        <v>12</v>
      </c>
      <c r="F363" s="114"/>
      <c r="G363" s="2"/>
      <c r="H363" s="2">
        <f>2225156+969135+2354825-9-225901+195570-1365001-989824</f>
        <v>3163951</v>
      </c>
      <c r="I363" s="2"/>
      <c r="J363" s="2">
        <f>2625453+763429*0.78+68548*1+110722</f>
        <v>3400197.62</v>
      </c>
      <c r="K363" s="2"/>
      <c r="L363" s="26"/>
      <c r="M363" s="2">
        <f>15559124+271770+477870-13877028</f>
        <v>2431736</v>
      </c>
    </row>
    <row r="364" spans="1:13" ht="12">
      <c r="A364" s="114"/>
      <c r="C364" s="32"/>
      <c r="E364" s="114">
        <v>13</v>
      </c>
      <c r="F364" s="114"/>
      <c r="G364" s="2"/>
      <c r="H364" s="2"/>
      <c r="I364" s="2"/>
      <c r="J364" s="2"/>
      <c r="K364" s="2"/>
      <c r="L364" s="26"/>
      <c r="M364" s="26"/>
    </row>
    <row r="365" spans="3:13" ht="12">
      <c r="C365" s="32"/>
      <c r="F365" s="41" t="s">
        <v>1</v>
      </c>
      <c r="G365" s="41" t="s">
        <v>1</v>
      </c>
      <c r="H365" s="42"/>
      <c r="I365" s="41"/>
      <c r="J365" s="42"/>
      <c r="K365" s="42"/>
      <c r="L365" s="42" t="s">
        <v>1</v>
      </c>
      <c r="M365" s="42" t="s">
        <v>1</v>
      </c>
    </row>
    <row r="366" spans="1:13" ht="12">
      <c r="A366" s="114">
        <v>14</v>
      </c>
      <c r="C366" s="26" t="s">
        <v>104</v>
      </c>
      <c r="E366" s="114">
        <v>14</v>
      </c>
      <c r="F366" s="114"/>
      <c r="G366" s="81"/>
      <c r="H366" s="84">
        <f>SUM(H361:H365)</f>
        <v>5069484</v>
      </c>
      <c r="I366" s="81"/>
      <c r="J366" s="84">
        <f>SUM(J361:J365)</f>
        <v>4191426.62</v>
      </c>
      <c r="K366" s="84"/>
      <c r="L366" s="26"/>
      <c r="M366" s="84">
        <f>SUM(M361:M365)</f>
        <v>2778460</v>
      </c>
    </row>
    <row r="367" spans="1:13" ht="12">
      <c r="A367" s="114"/>
      <c r="C367" s="32"/>
      <c r="E367" s="114"/>
      <c r="F367" s="41" t="s">
        <v>1</v>
      </c>
      <c r="G367" s="41" t="s">
        <v>1</v>
      </c>
      <c r="H367" s="42"/>
      <c r="I367" s="41"/>
      <c r="J367" s="42"/>
      <c r="K367" s="42"/>
      <c r="L367" s="42" t="s">
        <v>1</v>
      </c>
      <c r="M367" s="42" t="s">
        <v>1</v>
      </c>
    </row>
    <row r="368" spans="1:13" ht="12">
      <c r="A368" s="114">
        <v>15</v>
      </c>
      <c r="C368" s="31" t="s">
        <v>84</v>
      </c>
      <c r="E368" s="114">
        <v>15</v>
      </c>
      <c r="F368" s="114"/>
      <c r="G368" s="81"/>
      <c r="H368" s="84">
        <f>SUM(H359,H366)</f>
        <v>52741279</v>
      </c>
      <c r="I368" s="81"/>
      <c r="J368" s="84">
        <f>SUM(J359,J366)</f>
        <v>51169755.269999996</v>
      </c>
      <c r="K368" s="84"/>
      <c r="L368" s="26"/>
      <c r="M368" s="84">
        <f>SUM(M359,M366)</f>
        <v>48708712</v>
      </c>
    </row>
    <row r="369" spans="1:13" ht="12">
      <c r="A369" s="114"/>
      <c r="C369" s="31"/>
      <c r="E369" s="114"/>
      <c r="F369" s="114"/>
      <c r="G369" s="81"/>
      <c r="H369" s="84"/>
      <c r="I369" s="81"/>
      <c r="J369" s="84"/>
      <c r="K369" s="84"/>
      <c r="L369" s="26"/>
      <c r="M369" s="26"/>
    </row>
    <row r="370" spans="1:13" ht="12">
      <c r="A370" s="114">
        <v>16</v>
      </c>
      <c r="C370" s="31" t="s">
        <v>188</v>
      </c>
      <c r="E370" s="114">
        <v>16</v>
      </c>
      <c r="F370" s="114"/>
      <c r="G370" s="81"/>
      <c r="H370" s="81"/>
      <c r="I370" s="81"/>
      <c r="J370" s="81"/>
      <c r="K370" s="81"/>
      <c r="L370" s="26"/>
      <c r="M370" s="290"/>
    </row>
    <row r="371" spans="1:13" ht="12">
      <c r="A371" s="114">
        <v>17</v>
      </c>
      <c r="C371" s="26" t="s">
        <v>189</v>
      </c>
      <c r="E371" s="114">
        <v>17</v>
      </c>
      <c r="F371" s="114"/>
      <c r="G371" s="81"/>
      <c r="H371" s="81">
        <v>1021166</v>
      </c>
      <c r="I371" s="81"/>
      <c r="J371" s="81">
        <v>95124</v>
      </c>
      <c r="K371" s="81"/>
      <c r="L371" s="26"/>
      <c r="M371" s="290">
        <v>718393</v>
      </c>
    </row>
    <row r="372" spans="1:13" ht="12">
      <c r="A372" s="114">
        <v>18</v>
      </c>
      <c r="E372" s="114">
        <v>18</v>
      </c>
      <c r="F372" s="114"/>
      <c r="G372" s="84"/>
      <c r="H372" s="84"/>
      <c r="I372" s="84"/>
      <c r="J372" s="84"/>
      <c r="K372" s="84"/>
      <c r="L372" s="26"/>
      <c r="M372" s="26"/>
    </row>
    <row r="373" spans="1:13" ht="12">
      <c r="A373" s="114">
        <v>19</v>
      </c>
      <c r="E373" s="114">
        <v>19</v>
      </c>
      <c r="F373" s="114"/>
      <c r="G373" s="84"/>
      <c r="H373" s="84"/>
      <c r="I373" s="84"/>
      <c r="J373" s="84"/>
      <c r="K373" s="84"/>
      <c r="L373" s="26"/>
      <c r="M373" s="26"/>
    </row>
    <row r="374" spans="1:13" ht="12">
      <c r="A374" s="114"/>
      <c r="C374" s="115"/>
      <c r="E374" s="114"/>
      <c r="F374" s="41" t="s">
        <v>1</v>
      </c>
      <c r="G374" s="41" t="s">
        <v>1</v>
      </c>
      <c r="H374" s="42"/>
      <c r="I374" s="41"/>
      <c r="J374" s="42"/>
      <c r="K374" s="42"/>
      <c r="L374" s="42" t="s">
        <v>1</v>
      </c>
      <c r="M374" s="42" t="s">
        <v>1</v>
      </c>
    </row>
    <row r="375" spans="1:13" ht="12">
      <c r="A375" s="114">
        <v>20</v>
      </c>
      <c r="C375" s="115" t="s">
        <v>85</v>
      </c>
      <c r="E375" s="114">
        <v>20</v>
      </c>
      <c r="F375" s="114"/>
      <c r="G375" s="81"/>
      <c r="H375" s="84">
        <f>SUM(H368:H373)</f>
        <v>53762445</v>
      </c>
      <c r="I375" s="81"/>
      <c r="J375" s="84">
        <f>SUM(J368:J373)</f>
        <v>51264879.269999996</v>
      </c>
      <c r="K375" s="84"/>
      <c r="L375" s="26"/>
      <c r="M375" s="84">
        <f>SUM(M368:M373)</f>
        <v>49427105</v>
      </c>
    </row>
    <row r="376" spans="1:13" ht="12">
      <c r="A376" s="117"/>
      <c r="C376" s="31"/>
      <c r="E376" s="69"/>
      <c r="F376" s="41" t="s">
        <v>1</v>
      </c>
      <c r="G376" s="41" t="s">
        <v>1</v>
      </c>
      <c r="H376" s="42" t="s">
        <v>1</v>
      </c>
      <c r="I376" s="41" t="s">
        <v>1</v>
      </c>
      <c r="J376" s="42" t="s">
        <v>1</v>
      </c>
      <c r="K376" s="42"/>
      <c r="L376" s="42" t="s">
        <v>1</v>
      </c>
      <c r="M376" s="42" t="s">
        <v>1</v>
      </c>
    </row>
    <row r="377" spans="3:13" ht="12">
      <c r="C377" s="26" t="s">
        <v>585</v>
      </c>
      <c r="G377" s="41"/>
      <c r="H377" s="74"/>
      <c r="I377" s="41"/>
      <c r="J377" s="74"/>
      <c r="K377" s="74"/>
      <c r="L377" s="26"/>
      <c r="M377" s="26"/>
    </row>
    <row r="378" spans="1:13" ht="12">
      <c r="A378" s="114"/>
      <c r="C378" s="115"/>
      <c r="E378" s="114"/>
      <c r="F378" s="109"/>
      <c r="G378" s="109"/>
      <c r="H378" s="109"/>
      <c r="I378" s="41"/>
      <c r="J378" s="42"/>
      <c r="K378" s="109"/>
      <c r="L378" s="41"/>
      <c r="M378" s="42"/>
    </row>
    <row r="379" spans="1:13" ht="13.5" customHeight="1">
      <c r="A379" s="114"/>
      <c r="C379" s="115"/>
      <c r="E379" s="114"/>
      <c r="H379" s="84"/>
      <c r="I379" s="81"/>
      <c r="J379" s="84"/>
      <c r="K379" s="84"/>
      <c r="L379" s="81"/>
      <c r="M379" s="84"/>
    </row>
    <row r="380" spans="1:13" ht="12">
      <c r="A380" s="117"/>
      <c r="C380" s="31"/>
      <c r="E380" s="69"/>
      <c r="F380" s="109"/>
      <c r="G380" s="109"/>
      <c r="H380" s="109"/>
      <c r="I380" s="41"/>
      <c r="J380" s="42"/>
      <c r="K380" s="109"/>
      <c r="L380" s="41"/>
      <c r="M380" s="42"/>
    </row>
    <row r="382" spans="1:13" s="65" customFormat="1" ht="12">
      <c r="A382" s="38" t="str">
        <f>$A$36</f>
        <v>Institution No.:  GFE</v>
      </c>
      <c r="E382" s="70"/>
      <c r="I382" s="71"/>
      <c r="J382" s="72"/>
      <c r="L382" s="71"/>
      <c r="M382" s="37" t="s">
        <v>81</v>
      </c>
    </row>
    <row r="383" spans="1:13" ht="12.75" customHeight="1">
      <c r="A383" s="400" t="s">
        <v>207</v>
      </c>
      <c r="B383" s="400"/>
      <c r="C383" s="400"/>
      <c r="D383" s="400"/>
      <c r="E383" s="400"/>
      <c r="F383" s="400"/>
      <c r="G383" s="400"/>
      <c r="H383" s="400"/>
      <c r="I383" s="400"/>
      <c r="J383" s="400"/>
      <c r="K383" s="400"/>
      <c r="L383" s="400"/>
      <c r="M383" s="400"/>
    </row>
    <row r="384" spans="1:13" ht="12">
      <c r="A384" s="38" t="s">
        <v>551</v>
      </c>
      <c r="C384" s="26" t="s">
        <v>553</v>
      </c>
      <c r="J384" s="74"/>
      <c r="L384" s="36"/>
      <c r="M384" s="39" t="str">
        <f>$M$3</f>
        <v>Date: 10/1/2009</v>
      </c>
    </row>
    <row r="385" spans="1:13" ht="12">
      <c r="A385" s="40" t="s">
        <v>1</v>
      </c>
      <c r="B385" s="40" t="s">
        <v>1</v>
      </c>
      <c r="C385" s="40" t="s">
        <v>1</v>
      </c>
      <c r="D385" s="40" t="s">
        <v>1</v>
      </c>
      <c r="E385" s="40" t="s">
        <v>1</v>
      </c>
      <c r="F385" s="40" t="s">
        <v>1</v>
      </c>
      <c r="G385" s="40"/>
      <c r="H385" s="40"/>
      <c r="I385" s="41" t="s">
        <v>1</v>
      </c>
      <c r="J385" s="42" t="s">
        <v>1</v>
      </c>
      <c r="K385" s="40" t="s">
        <v>1</v>
      </c>
      <c r="L385" s="41" t="s">
        <v>1</v>
      </c>
      <c r="M385" s="42" t="s">
        <v>1</v>
      </c>
    </row>
    <row r="386" spans="1:13" ht="12">
      <c r="A386" s="43" t="s">
        <v>2</v>
      </c>
      <c r="E386" s="43" t="s">
        <v>2</v>
      </c>
      <c r="F386" s="43"/>
      <c r="G386" s="45"/>
      <c r="H386" s="46" t="s">
        <v>240</v>
      </c>
      <c r="I386" s="45"/>
      <c r="J386" s="46" t="s">
        <v>247</v>
      </c>
      <c r="K386" s="46"/>
      <c r="L386" s="26"/>
      <c r="M386" s="44" t="s">
        <v>576</v>
      </c>
    </row>
    <row r="387" spans="1:13" ht="12">
      <c r="A387" s="43" t="s">
        <v>4</v>
      </c>
      <c r="C387" s="47" t="s">
        <v>20</v>
      </c>
      <c r="E387" s="43" t="s">
        <v>4</v>
      </c>
      <c r="F387" s="43"/>
      <c r="G387" s="45"/>
      <c r="H387" s="46" t="s">
        <v>7</v>
      </c>
      <c r="I387" s="45"/>
      <c r="J387" s="46" t="s">
        <v>7</v>
      </c>
      <c r="K387" s="46"/>
      <c r="L387" s="26"/>
      <c r="M387" s="44" t="s">
        <v>8</v>
      </c>
    </row>
    <row r="388" spans="1:13" ht="12">
      <c r="A388" s="40" t="s">
        <v>1</v>
      </c>
      <c r="B388" s="40" t="s">
        <v>1</v>
      </c>
      <c r="C388" s="40" t="s">
        <v>1</v>
      </c>
      <c r="D388" s="40" t="s">
        <v>1</v>
      </c>
      <c r="E388" s="40" t="s">
        <v>1</v>
      </c>
      <c r="F388" s="40"/>
      <c r="G388" s="41" t="s">
        <v>1</v>
      </c>
      <c r="H388" s="42" t="s">
        <v>1</v>
      </c>
      <c r="I388" s="41" t="s">
        <v>1</v>
      </c>
      <c r="J388" s="42" t="s">
        <v>1</v>
      </c>
      <c r="K388" s="42"/>
      <c r="L388" s="42" t="s">
        <v>1</v>
      </c>
      <c r="M388" s="42" t="s">
        <v>1</v>
      </c>
    </row>
    <row r="389" spans="1:13" ht="12">
      <c r="A389" s="118">
        <v>1</v>
      </c>
      <c r="C389" s="31" t="s">
        <v>583</v>
      </c>
      <c r="E389" s="118">
        <v>1</v>
      </c>
      <c r="F389" s="118"/>
      <c r="G389" s="33"/>
      <c r="H389" s="28"/>
      <c r="I389" s="33"/>
      <c r="J389" s="34"/>
      <c r="K389" s="34"/>
      <c r="L389" s="26"/>
      <c r="M389" s="26"/>
    </row>
    <row r="390" spans="1:13" ht="12">
      <c r="A390" s="118">
        <f aca="true" t="shared" si="17" ref="A390:A412">(A389+1)</f>
        <v>2</v>
      </c>
      <c r="C390" s="26" t="s">
        <v>516</v>
      </c>
      <c r="E390" s="26">
        <v>1</v>
      </c>
      <c r="G390" s="27"/>
      <c r="H390" s="289">
        <v>8511345</v>
      </c>
      <c r="J390" s="28">
        <v>17997300</v>
      </c>
      <c r="K390" s="28"/>
      <c r="L390" s="26"/>
      <c r="M390" s="28">
        <v>17150000</v>
      </c>
    </row>
    <row r="391" spans="1:13" ht="12">
      <c r="A391" s="118">
        <f t="shared" si="17"/>
        <v>3</v>
      </c>
      <c r="C391" s="31"/>
      <c r="E391" s="118">
        <f aca="true" t="shared" si="18" ref="E391:E412">(E390+1)</f>
        <v>2</v>
      </c>
      <c r="F391" s="118"/>
      <c r="G391" s="119"/>
      <c r="H391" s="119"/>
      <c r="I391" s="119"/>
      <c r="J391" s="119"/>
      <c r="K391" s="119"/>
      <c r="L391" s="26"/>
      <c r="M391" s="26"/>
    </row>
    <row r="392" spans="1:14" ht="12">
      <c r="A392" s="118">
        <f t="shared" si="17"/>
        <v>4</v>
      </c>
      <c r="C392" s="31"/>
      <c r="E392" s="118">
        <f t="shared" si="18"/>
        <v>3</v>
      </c>
      <c r="F392" s="118"/>
      <c r="G392" s="119"/>
      <c r="H392" s="119"/>
      <c r="I392" s="119"/>
      <c r="J392" s="119"/>
      <c r="K392" s="119"/>
      <c r="L392" s="26"/>
      <c r="M392" s="26"/>
      <c r="N392" s="272"/>
    </row>
    <row r="393" spans="1:14" ht="12">
      <c r="A393" s="118">
        <f>(A392+1)</f>
        <v>5</v>
      </c>
      <c r="C393" s="32"/>
      <c r="E393" s="118">
        <f>(E392+1)</f>
        <v>4</v>
      </c>
      <c r="F393" s="118"/>
      <c r="G393" s="119"/>
      <c r="H393" s="119"/>
      <c r="I393" s="119"/>
      <c r="J393" s="119"/>
      <c r="K393" s="119"/>
      <c r="L393" s="26"/>
      <c r="M393" s="26"/>
      <c r="N393" s="272"/>
    </row>
    <row r="394" spans="1:13" ht="12">
      <c r="A394" s="118">
        <f t="shared" si="17"/>
        <v>6</v>
      </c>
      <c r="C394" s="32"/>
      <c r="E394" s="118">
        <f t="shared" si="18"/>
        <v>5</v>
      </c>
      <c r="F394" s="118"/>
      <c r="G394" s="119"/>
      <c r="H394" s="119"/>
      <c r="I394" s="119"/>
      <c r="J394" s="119"/>
      <c r="K394" s="119"/>
      <c r="L394" s="26"/>
      <c r="M394" s="26"/>
    </row>
    <row r="395" spans="1:13" ht="12">
      <c r="A395" s="118">
        <f>(A394+1)</f>
        <v>7</v>
      </c>
      <c r="C395" s="31"/>
      <c r="E395" s="118">
        <f>(E394+1)</f>
        <v>6</v>
      </c>
      <c r="F395" s="118"/>
      <c r="G395" s="119"/>
      <c r="H395" s="119"/>
      <c r="I395" s="119"/>
      <c r="J395" s="119"/>
      <c r="K395" s="119"/>
      <c r="L395" s="26"/>
      <c r="M395" s="26"/>
    </row>
    <row r="396" spans="1:13" ht="12">
      <c r="A396" s="118">
        <f>(A395+1)</f>
        <v>8</v>
      </c>
      <c r="C396" s="32"/>
      <c r="E396" s="118">
        <f>(E395+1)</f>
        <v>7</v>
      </c>
      <c r="F396" s="118"/>
      <c r="G396" s="119"/>
      <c r="H396" s="119">
        <v>0</v>
      </c>
      <c r="I396" s="119"/>
      <c r="J396" s="119"/>
      <c r="K396" s="119"/>
      <c r="L396" s="26"/>
      <c r="M396" s="26"/>
    </row>
    <row r="397" spans="1:13" ht="12">
      <c r="A397" s="118">
        <f t="shared" si="17"/>
        <v>9</v>
      </c>
      <c r="C397" s="32"/>
      <c r="E397" s="118">
        <f t="shared" si="18"/>
        <v>8</v>
      </c>
      <c r="F397" s="118"/>
      <c r="G397" s="119"/>
      <c r="H397" s="119"/>
      <c r="I397" s="119"/>
      <c r="J397" s="119"/>
      <c r="K397" s="119"/>
      <c r="L397" s="26"/>
      <c r="M397" s="26"/>
    </row>
    <row r="398" spans="1:13" ht="12">
      <c r="A398" s="118">
        <f t="shared" si="17"/>
        <v>10</v>
      </c>
      <c r="E398" s="118">
        <f t="shared" si="18"/>
        <v>9</v>
      </c>
      <c r="F398" s="118"/>
      <c r="G398" s="119"/>
      <c r="H398" s="119"/>
      <c r="I398" s="119"/>
      <c r="J398" s="119"/>
      <c r="K398" s="119"/>
      <c r="L398" s="26"/>
      <c r="M398" s="26"/>
    </row>
    <row r="399" spans="1:13" ht="12">
      <c r="A399" s="118">
        <f t="shared" si="17"/>
        <v>11</v>
      </c>
      <c r="E399" s="118">
        <f t="shared" si="18"/>
        <v>10</v>
      </c>
      <c r="F399" s="118"/>
      <c r="G399" s="119"/>
      <c r="H399" s="119"/>
      <c r="I399" s="119"/>
      <c r="J399" s="119"/>
      <c r="K399" s="119"/>
      <c r="L399" s="26"/>
      <c r="M399" s="26"/>
    </row>
    <row r="400" spans="1:13" ht="12">
      <c r="A400" s="118">
        <f t="shared" si="17"/>
        <v>12</v>
      </c>
      <c r="E400" s="118">
        <f t="shared" si="18"/>
        <v>11</v>
      </c>
      <c r="F400" s="118"/>
      <c r="G400" s="119"/>
      <c r="H400" s="119"/>
      <c r="I400" s="119"/>
      <c r="J400" s="119"/>
      <c r="K400" s="119"/>
      <c r="L400" s="26"/>
      <c r="M400" s="26"/>
    </row>
    <row r="401" spans="1:13" ht="12">
      <c r="A401" s="118">
        <f t="shared" si="17"/>
        <v>13</v>
      </c>
      <c r="C401" s="32"/>
      <c r="E401" s="118">
        <f t="shared" si="18"/>
        <v>12</v>
      </c>
      <c r="F401" s="118"/>
      <c r="G401" s="119"/>
      <c r="H401" s="119"/>
      <c r="I401" s="119"/>
      <c r="J401" s="119"/>
      <c r="K401" s="119"/>
      <c r="L401" s="26"/>
      <c r="M401" s="26"/>
    </row>
    <row r="402" spans="1:13" ht="12">
      <c r="A402" s="118">
        <f t="shared" si="17"/>
        <v>14</v>
      </c>
      <c r="C402" s="32" t="s">
        <v>183</v>
      </c>
      <c r="E402" s="118">
        <f t="shared" si="18"/>
        <v>13</v>
      </c>
      <c r="F402" s="118"/>
      <c r="G402" s="119"/>
      <c r="H402" s="119"/>
      <c r="I402" s="119"/>
      <c r="J402" s="119"/>
      <c r="K402" s="119"/>
      <c r="L402" s="26"/>
      <c r="M402" s="26"/>
    </row>
    <row r="403" spans="1:13" ht="12">
      <c r="A403" s="118">
        <f t="shared" si="17"/>
        <v>15</v>
      </c>
      <c r="C403" s="32"/>
      <c r="E403" s="118">
        <f t="shared" si="18"/>
        <v>14</v>
      </c>
      <c r="F403" s="118"/>
      <c r="G403" s="119"/>
      <c r="H403" s="119">
        <v>0</v>
      </c>
      <c r="I403" s="119"/>
      <c r="J403" s="119"/>
      <c r="K403" s="119"/>
      <c r="L403" s="26"/>
      <c r="M403" s="26"/>
    </row>
    <row r="404" spans="1:13" ht="12">
      <c r="A404" s="118">
        <f t="shared" si="17"/>
        <v>16</v>
      </c>
      <c r="C404" s="32"/>
      <c r="E404" s="118">
        <f t="shared" si="18"/>
        <v>15</v>
      </c>
      <c r="F404" s="118"/>
      <c r="G404" s="119"/>
      <c r="H404" s="119"/>
      <c r="I404" s="119"/>
      <c r="J404" s="119"/>
      <c r="K404" s="119"/>
      <c r="L404" s="26"/>
      <c r="M404" s="26"/>
    </row>
    <row r="405" spans="1:13" ht="12">
      <c r="A405" s="118">
        <f t="shared" si="17"/>
        <v>17</v>
      </c>
      <c r="C405" s="32"/>
      <c r="E405" s="118">
        <f t="shared" si="18"/>
        <v>16</v>
      </c>
      <c r="F405" s="118"/>
      <c r="G405" s="119"/>
      <c r="H405" s="119"/>
      <c r="I405" s="119"/>
      <c r="J405" s="119"/>
      <c r="K405" s="119"/>
      <c r="L405" s="26"/>
      <c r="M405" s="26"/>
    </row>
    <row r="406" spans="1:13" ht="12">
      <c r="A406" s="118">
        <f t="shared" si="17"/>
        <v>18</v>
      </c>
      <c r="C406" s="32"/>
      <c r="E406" s="118">
        <f t="shared" si="18"/>
        <v>17</v>
      </c>
      <c r="F406" s="118"/>
      <c r="G406" s="119"/>
      <c r="H406" s="119"/>
      <c r="I406" s="119"/>
      <c r="J406" s="119"/>
      <c r="K406" s="119"/>
      <c r="L406" s="26"/>
      <c r="M406" s="26"/>
    </row>
    <row r="407" spans="1:13" ht="12">
      <c r="A407" s="118">
        <f t="shared" si="17"/>
        <v>19</v>
      </c>
      <c r="C407" s="32"/>
      <c r="E407" s="118">
        <f t="shared" si="18"/>
        <v>18</v>
      </c>
      <c r="F407" s="118"/>
      <c r="G407" s="119"/>
      <c r="H407" s="119"/>
      <c r="I407" s="119"/>
      <c r="J407" s="119"/>
      <c r="K407" s="119"/>
      <c r="L407" s="26"/>
      <c r="M407" s="26"/>
    </row>
    <row r="408" spans="1:13" ht="12">
      <c r="A408" s="118">
        <f t="shared" si="17"/>
        <v>20</v>
      </c>
      <c r="C408" s="32"/>
      <c r="E408" s="118">
        <f t="shared" si="18"/>
        <v>19</v>
      </c>
      <c r="F408" s="118"/>
      <c r="G408" s="119"/>
      <c r="H408" s="119"/>
      <c r="I408" s="119"/>
      <c r="J408" s="119"/>
      <c r="K408" s="119"/>
      <c r="L408" s="26"/>
      <c r="M408" s="26"/>
    </row>
    <row r="409" spans="1:13" ht="12">
      <c r="A409" s="118">
        <f t="shared" si="17"/>
        <v>21</v>
      </c>
      <c r="C409" s="32"/>
      <c r="E409" s="118">
        <f t="shared" si="18"/>
        <v>20</v>
      </c>
      <c r="F409" s="118"/>
      <c r="G409" s="119"/>
      <c r="H409" s="119"/>
      <c r="I409" s="119"/>
      <c r="J409" s="119"/>
      <c r="K409" s="119"/>
      <c r="L409" s="26"/>
      <c r="M409" s="26"/>
    </row>
    <row r="410" spans="1:13" ht="12">
      <c r="A410" s="118">
        <f t="shared" si="17"/>
        <v>22</v>
      </c>
      <c r="C410" s="32"/>
      <c r="E410" s="118">
        <f t="shared" si="18"/>
        <v>21</v>
      </c>
      <c r="F410" s="118"/>
      <c r="G410" s="119"/>
      <c r="H410" s="119"/>
      <c r="I410" s="119"/>
      <c r="J410" s="119"/>
      <c r="K410" s="119"/>
      <c r="L410" s="26"/>
      <c r="M410" s="26"/>
    </row>
    <row r="411" spans="1:13" ht="12">
      <c r="A411" s="118">
        <f t="shared" si="17"/>
        <v>23</v>
      </c>
      <c r="C411" s="32"/>
      <c r="E411" s="118">
        <f t="shared" si="18"/>
        <v>22</v>
      </c>
      <c r="F411" s="118"/>
      <c r="G411" s="119"/>
      <c r="H411" s="119"/>
      <c r="I411" s="119"/>
      <c r="J411" s="119"/>
      <c r="K411" s="119"/>
      <c r="L411" s="26"/>
      <c r="M411" s="26"/>
    </row>
    <row r="412" spans="1:13" ht="12">
      <c r="A412" s="118">
        <f t="shared" si="17"/>
        <v>24</v>
      </c>
      <c r="C412" s="32"/>
      <c r="E412" s="118">
        <f t="shared" si="18"/>
        <v>23</v>
      </c>
      <c r="F412" s="118"/>
      <c r="G412" s="119"/>
      <c r="H412" s="119"/>
      <c r="I412" s="119"/>
      <c r="J412" s="119"/>
      <c r="K412" s="119"/>
      <c r="L412" s="26"/>
      <c r="M412" s="26"/>
    </row>
    <row r="413" spans="1:13" ht="12">
      <c r="A413" s="120"/>
      <c r="E413" s="120"/>
      <c r="F413" s="41" t="s">
        <v>1</v>
      </c>
      <c r="G413" s="41" t="s">
        <v>1</v>
      </c>
      <c r="H413" s="42"/>
      <c r="I413" s="41"/>
      <c r="J413" s="42"/>
      <c r="K413" s="42"/>
      <c r="L413" s="42"/>
      <c r="M413" s="42"/>
    </row>
    <row r="414" spans="1:13" ht="13.5" customHeight="1">
      <c r="A414" s="118">
        <f>(A412+1)</f>
        <v>25</v>
      </c>
      <c r="C414" s="31" t="s">
        <v>184</v>
      </c>
      <c r="E414" s="118">
        <f>(E412+1)</f>
        <v>24</v>
      </c>
      <c r="F414" s="118"/>
      <c r="G414" s="122"/>
      <c r="H414" s="121">
        <f aca="true" t="shared" si="19" ref="H414:M414">SUM(H389:H412)</f>
        <v>8511345</v>
      </c>
      <c r="I414" s="121">
        <f t="shared" si="19"/>
        <v>0</v>
      </c>
      <c r="J414" s="121">
        <f t="shared" si="19"/>
        <v>17997300</v>
      </c>
      <c r="K414" s="121">
        <f t="shared" si="19"/>
        <v>0</v>
      </c>
      <c r="L414" s="121">
        <f t="shared" si="19"/>
        <v>0</v>
      </c>
      <c r="M414" s="121">
        <f t="shared" si="19"/>
        <v>17150000</v>
      </c>
    </row>
    <row r="415" spans="1:13" ht="12">
      <c r="A415" s="118"/>
      <c r="C415" s="31"/>
      <c r="E415" s="118"/>
      <c r="F415" s="109" t="s">
        <v>1</v>
      </c>
      <c r="G415" s="109"/>
      <c r="H415" s="109"/>
      <c r="I415" s="41" t="s">
        <v>1</v>
      </c>
      <c r="J415" s="42"/>
      <c r="K415" s="109"/>
      <c r="L415" s="41"/>
      <c r="M415" s="42"/>
    </row>
    <row r="416" ht="12">
      <c r="E416" s="69"/>
    </row>
    <row r="417" ht="12">
      <c r="E417" s="69"/>
    </row>
    <row r="418" spans="1:13" ht="12">
      <c r="A418" s="38" t="str">
        <f>$A$36</f>
        <v>Institution No.:  GFE</v>
      </c>
      <c r="B418" s="65"/>
      <c r="C418" s="65"/>
      <c r="D418" s="65"/>
      <c r="E418" s="70"/>
      <c r="F418" s="65"/>
      <c r="G418" s="65"/>
      <c r="H418" s="65"/>
      <c r="I418" s="71"/>
      <c r="J418" s="72"/>
      <c r="K418" s="65"/>
      <c r="L418" s="71"/>
      <c r="M418" s="37" t="s">
        <v>185</v>
      </c>
    </row>
    <row r="419" spans="1:13" ht="12">
      <c r="A419" s="400" t="s">
        <v>242</v>
      </c>
      <c r="B419" s="400"/>
      <c r="C419" s="400"/>
      <c r="D419" s="400"/>
      <c r="E419" s="400"/>
      <c r="F419" s="400"/>
      <c r="G419" s="400"/>
      <c r="H419" s="400"/>
      <c r="I419" s="400"/>
      <c r="J419" s="400"/>
      <c r="K419" s="400"/>
      <c r="L419" s="400"/>
      <c r="M419" s="400"/>
    </row>
    <row r="420" spans="1:13" ht="12">
      <c r="A420" s="38" t="s">
        <v>551</v>
      </c>
      <c r="C420" s="26" t="s">
        <v>553</v>
      </c>
      <c r="J420" s="74"/>
      <c r="L420" s="36"/>
      <c r="M420" s="39" t="str">
        <f>$M$3</f>
        <v>Date: 10/1/2009</v>
      </c>
    </row>
    <row r="421" spans="1:13" ht="12">
      <c r="A421" s="40" t="s">
        <v>1</v>
      </c>
      <c r="B421" s="40" t="s">
        <v>1</v>
      </c>
      <c r="C421" s="40" t="s">
        <v>1</v>
      </c>
      <c r="D421" s="40" t="s">
        <v>1</v>
      </c>
      <c r="E421" s="40" t="s">
        <v>1</v>
      </c>
      <c r="F421" s="40" t="s">
        <v>1</v>
      </c>
      <c r="G421" s="40"/>
      <c r="H421" s="40"/>
      <c r="I421" s="41" t="s">
        <v>1</v>
      </c>
      <c r="J421" s="42" t="s">
        <v>1</v>
      </c>
      <c r="K421" s="40" t="s">
        <v>1</v>
      </c>
      <c r="L421" s="41" t="s">
        <v>1</v>
      </c>
      <c r="M421" s="42" t="s">
        <v>1</v>
      </c>
    </row>
    <row r="422" spans="1:13" ht="12">
      <c r="A422" s="43" t="s">
        <v>2</v>
      </c>
      <c r="E422" s="43" t="s">
        <v>2</v>
      </c>
      <c r="F422" s="43"/>
      <c r="G422" s="45"/>
      <c r="H422" s="46" t="s">
        <v>240</v>
      </c>
      <c r="I422" s="45"/>
      <c r="J422" s="46" t="s">
        <v>247</v>
      </c>
      <c r="K422" s="46"/>
      <c r="L422" s="26"/>
      <c r="M422" s="44" t="s">
        <v>576</v>
      </c>
    </row>
    <row r="423" spans="1:13" ht="12">
      <c r="A423" s="43" t="s">
        <v>4</v>
      </c>
      <c r="C423" s="47" t="s">
        <v>20</v>
      </c>
      <c r="E423" s="43" t="s">
        <v>4</v>
      </c>
      <c r="F423" s="43"/>
      <c r="G423" s="45"/>
      <c r="H423" s="46" t="s">
        <v>7</v>
      </c>
      <c r="I423" s="45"/>
      <c r="J423" s="46" t="s">
        <v>7</v>
      </c>
      <c r="K423" s="46"/>
      <c r="L423" s="26"/>
      <c r="M423" s="44" t="s">
        <v>8</v>
      </c>
    </row>
    <row r="424" spans="1:13" ht="12">
      <c r="A424" s="40" t="s">
        <v>1</v>
      </c>
      <c r="B424" s="40" t="s">
        <v>1</v>
      </c>
      <c r="C424" s="40" t="s">
        <v>1</v>
      </c>
      <c r="D424" s="40" t="s">
        <v>1</v>
      </c>
      <c r="E424" s="40" t="s">
        <v>1</v>
      </c>
      <c r="F424" s="40"/>
      <c r="G424" s="41" t="s">
        <v>1</v>
      </c>
      <c r="H424" s="42" t="s">
        <v>1</v>
      </c>
      <c r="I424" s="41" t="s">
        <v>1</v>
      </c>
      <c r="J424" s="42" t="s">
        <v>1</v>
      </c>
      <c r="K424" s="42"/>
      <c r="L424" s="42" t="s">
        <v>1</v>
      </c>
      <c r="M424" s="42" t="s">
        <v>1</v>
      </c>
    </row>
    <row r="425" spans="1:13" ht="12">
      <c r="A425" s="26">
        <v>1</v>
      </c>
      <c r="C425" s="26" t="s">
        <v>255</v>
      </c>
      <c r="E425" s="26">
        <v>1</v>
      </c>
      <c r="G425" s="123"/>
      <c r="H425" s="84">
        <v>61214736</v>
      </c>
      <c r="I425" s="123"/>
      <c r="J425" s="123">
        <f>48578178+2012957</f>
        <v>50591135</v>
      </c>
      <c r="K425" s="123"/>
      <c r="L425" s="26"/>
      <c r="M425" s="256">
        <f>51986292-13780-8302777+87694</f>
        <v>43757429</v>
      </c>
    </row>
    <row r="426" spans="1:12" ht="12">
      <c r="A426" s="26">
        <v>2</v>
      </c>
      <c r="G426" s="27"/>
      <c r="H426" s="289"/>
      <c r="K426" s="28"/>
      <c r="L426" s="26"/>
    </row>
    <row r="427" ht="12">
      <c r="E427" s="69"/>
    </row>
    <row r="428" ht="12">
      <c r="E428" s="69"/>
    </row>
    <row r="429" ht="12">
      <c r="E429" s="69"/>
    </row>
    <row r="430" ht="12">
      <c r="E430" s="69"/>
    </row>
    <row r="431" ht="12">
      <c r="E431" s="69"/>
    </row>
    <row r="432" ht="12">
      <c r="E432" s="69"/>
    </row>
    <row r="433" ht="12">
      <c r="E433" s="69"/>
    </row>
    <row r="434" ht="12">
      <c r="E434" s="69"/>
    </row>
    <row r="435" ht="12">
      <c r="E435" s="69"/>
    </row>
    <row r="436" ht="12">
      <c r="E436" s="69"/>
    </row>
    <row r="437" ht="12">
      <c r="E437" s="69"/>
    </row>
    <row r="438" ht="12">
      <c r="E438" s="69"/>
    </row>
    <row r="439" ht="12">
      <c r="E439" s="69"/>
    </row>
    <row r="440" spans="2:6" ht="12.75">
      <c r="B440" s="75"/>
      <c r="C440" s="76"/>
      <c r="D440" s="77"/>
      <c r="E440" s="77"/>
      <c r="F440" s="77"/>
    </row>
    <row r="441" spans="2:6" ht="12.75">
      <c r="B441" s="75"/>
      <c r="C441" s="76"/>
      <c r="D441" s="77"/>
      <c r="E441" s="77"/>
      <c r="F441" s="77"/>
    </row>
    <row r="442" ht="12">
      <c r="E442" s="69"/>
    </row>
    <row r="443" ht="12">
      <c r="E443" s="69"/>
    </row>
    <row r="444" ht="12">
      <c r="E444" s="69"/>
    </row>
    <row r="445" ht="12">
      <c r="E445" s="69"/>
    </row>
    <row r="446" ht="12">
      <c r="E446" s="69"/>
    </row>
    <row r="447" ht="12">
      <c r="E447" s="69"/>
    </row>
    <row r="448" ht="12">
      <c r="E448" s="69"/>
    </row>
    <row r="449" ht="12">
      <c r="E449" s="69"/>
    </row>
    <row r="450" ht="12">
      <c r="E450" s="69"/>
    </row>
    <row r="451" ht="12">
      <c r="E451" s="69"/>
    </row>
    <row r="452" ht="12">
      <c r="E452" s="69"/>
    </row>
    <row r="453" ht="12">
      <c r="E453" s="69"/>
    </row>
    <row r="454" ht="12">
      <c r="E454" s="69"/>
    </row>
    <row r="455" spans="5:13" ht="12">
      <c r="E455" s="69"/>
      <c r="I455" s="36"/>
      <c r="J455" s="74"/>
      <c r="L455" s="36"/>
      <c r="M455" s="74"/>
    </row>
    <row r="456" spans="1:13" s="65" customFormat="1" ht="12">
      <c r="A456" s="38" t="str">
        <f>$A$36</f>
        <v>Institution No.:  GFE</v>
      </c>
      <c r="E456" s="70"/>
      <c r="I456" s="71"/>
      <c r="J456" s="72"/>
      <c r="L456" s="71"/>
      <c r="M456" s="37" t="s">
        <v>22</v>
      </c>
    </row>
    <row r="457" spans="1:13" s="65" customFormat="1" ht="12">
      <c r="A457" s="414" t="s">
        <v>147</v>
      </c>
      <c r="B457" s="414"/>
      <c r="C457" s="414"/>
      <c r="D457" s="414"/>
      <c r="E457" s="414"/>
      <c r="F457" s="414"/>
      <c r="G457" s="414"/>
      <c r="H457" s="414"/>
      <c r="I457" s="414"/>
      <c r="J457" s="414"/>
      <c r="K457" s="414"/>
      <c r="L457" s="414"/>
      <c r="M457" s="414"/>
    </row>
    <row r="458" spans="1:13" ht="12">
      <c r="A458" s="38" t="s">
        <v>551</v>
      </c>
      <c r="C458" s="26" t="s">
        <v>553</v>
      </c>
      <c r="I458" s="124"/>
      <c r="J458" s="74"/>
      <c r="L458" s="36"/>
      <c r="M458" s="39" t="str">
        <f>$M$3</f>
        <v>Date: 10/1/2009</v>
      </c>
    </row>
    <row r="459" spans="1:13" ht="12">
      <c r="A459" s="40" t="s">
        <v>1</v>
      </c>
      <c r="B459" s="40" t="s">
        <v>1</v>
      </c>
      <c r="C459" s="40" t="s">
        <v>1</v>
      </c>
      <c r="D459" s="40" t="s">
        <v>1</v>
      </c>
      <c r="E459" s="40" t="s">
        <v>1</v>
      </c>
      <c r="F459" s="40" t="s">
        <v>1</v>
      </c>
      <c r="G459" s="40"/>
      <c r="H459" s="40"/>
      <c r="I459" s="41" t="s">
        <v>1</v>
      </c>
      <c r="J459" s="42" t="s">
        <v>1</v>
      </c>
      <c r="K459" s="40" t="s">
        <v>1</v>
      </c>
      <c r="L459" s="41" t="s">
        <v>1</v>
      </c>
      <c r="M459" s="42" t="s">
        <v>1</v>
      </c>
    </row>
    <row r="460" spans="1:13" ht="12">
      <c r="A460" s="43" t="s">
        <v>2</v>
      </c>
      <c r="E460" s="43" t="s">
        <v>2</v>
      </c>
      <c r="F460" s="43"/>
      <c r="G460" s="45"/>
      <c r="H460" s="46" t="s">
        <v>240</v>
      </c>
      <c r="I460" s="45"/>
      <c r="J460" s="46" t="s">
        <v>247</v>
      </c>
      <c r="K460" s="46"/>
      <c r="L460" s="26"/>
      <c r="M460" s="44" t="s">
        <v>576</v>
      </c>
    </row>
    <row r="461" spans="1:13" ht="12">
      <c r="A461" s="43" t="s">
        <v>4</v>
      </c>
      <c r="C461" s="47" t="s">
        <v>20</v>
      </c>
      <c r="E461" s="43" t="s">
        <v>4</v>
      </c>
      <c r="F461" s="43"/>
      <c r="G461" s="45" t="s">
        <v>6</v>
      </c>
      <c r="H461" s="46" t="s">
        <v>7</v>
      </c>
      <c r="I461" s="45" t="s">
        <v>6</v>
      </c>
      <c r="J461" s="46" t="s">
        <v>7</v>
      </c>
      <c r="K461" s="46"/>
      <c r="L461" s="44" t="s">
        <v>21</v>
      </c>
      <c r="M461" s="44" t="s">
        <v>8</v>
      </c>
    </row>
    <row r="462" spans="1:13" ht="12">
      <c r="A462" s="40" t="s">
        <v>1</v>
      </c>
      <c r="B462" s="40" t="s">
        <v>1</v>
      </c>
      <c r="C462" s="40" t="s">
        <v>1</v>
      </c>
      <c r="D462" s="40" t="s">
        <v>1</v>
      </c>
      <c r="E462" s="40" t="s">
        <v>1</v>
      </c>
      <c r="F462" s="40"/>
      <c r="G462" s="41" t="s">
        <v>1</v>
      </c>
      <c r="H462" s="42" t="s">
        <v>1</v>
      </c>
      <c r="I462" s="41" t="s">
        <v>1</v>
      </c>
      <c r="J462" s="42" t="s">
        <v>1</v>
      </c>
      <c r="K462" s="42"/>
      <c r="L462" s="42" t="s">
        <v>1</v>
      </c>
      <c r="M462" s="42" t="s">
        <v>1</v>
      </c>
    </row>
    <row r="463" spans="1:13" ht="12">
      <c r="A463" s="30">
        <v>1</v>
      </c>
      <c r="C463" s="31" t="s">
        <v>36</v>
      </c>
      <c r="E463" s="30">
        <v>1</v>
      </c>
      <c r="F463" s="30"/>
      <c r="G463" s="125">
        <f>H463/100645</f>
        <v>342.2319340255353</v>
      </c>
      <c r="H463" s="1">
        <f>28369606+725300+4560860+293357+497596-110045+107259</f>
        <v>34443933</v>
      </c>
      <c r="I463" s="125">
        <f>J463/102698</f>
        <v>392.2957311729537</v>
      </c>
      <c r="J463" s="21">
        <f>32697304+643892+5920943+358461+667387</f>
        <v>40287987</v>
      </c>
      <c r="K463" s="21"/>
      <c r="L463" s="102">
        <v>390.122027692847</v>
      </c>
      <c r="M463" s="21">
        <f>390496+542060+34352354+5104929+2910-133000-194997</f>
        <v>40064752</v>
      </c>
    </row>
    <row r="464" spans="1:13" ht="12">
      <c r="A464" s="30">
        <v>2</v>
      </c>
      <c r="C464" s="31" t="s">
        <v>37</v>
      </c>
      <c r="E464" s="30">
        <v>2</v>
      </c>
      <c r="F464" s="30"/>
      <c r="G464" s="125"/>
      <c r="H464" s="1">
        <f>8107016+455007+1236603+70672+105447-1697028-133660-24939+24308</f>
        <v>8143426</v>
      </c>
      <c r="I464" s="125"/>
      <c r="J464" s="21">
        <f>9437312+130802+489004+1750727+87597+2505+148922-1047495-747826-186177-145102</f>
        <v>9920269</v>
      </c>
      <c r="K464" s="21"/>
      <c r="L464" s="26"/>
      <c r="M464" s="21">
        <f>68616+161623+8863355+20134+195000+1241257-34264-57077</f>
        <v>10458644</v>
      </c>
    </row>
    <row r="465" spans="1:13" ht="12">
      <c r="A465" s="30">
        <v>3</v>
      </c>
      <c r="C465" s="31" t="s">
        <v>209</v>
      </c>
      <c r="E465" s="30">
        <v>3</v>
      </c>
      <c r="F465" s="30"/>
      <c r="G465" s="125">
        <f>H465/42853</f>
        <v>35.626677245467064</v>
      </c>
      <c r="H465" s="1">
        <f>1397407+129303</f>
        <v>1526710</v>
      </c>
      <c r="I465" s="125">
        <f>J465/44996</f>
        <v>34.58716330340475</v>
      </c>
      <c r="J465" s="21">
        <f>1518221+38063</f>
        <v>1556284</v>
      </c>
      <c r="K465" s="21"/>
      <c r="L465" s="102">
        <v>33.48259845319585</v>
      </c>
      <c r="M465" s="21">
        <f>1030583+476000</f>
        <v>1506583</v>
      </c>
    </row>
    <row r="466" spans="1:13" ht="12">
      <c r="A466" s="30">
        <v>4</v>
      </c>
      <c r="C466" s="31" t="s">
        <v>23</v>
      </c>
      <c r="E466" s="30">
        <v>4</v>
      </c>
      <c r="F466" s="30"/>
      <c r="G466" s="125">
        <f aca="true" t="shared" si="20" ref="G466:M466">SUM(G463:G465)</f>
        <v>377.85861127100236</v>
      </c>
      <c r="H466" s="126">
        <f t="shared" si="20"/>
        <v>44114069</v>
      </c>
      <c r="I466" s="125">
        <f t="shared" si="20"/>
        <v>426.88289447635844</v>
      </c>
      <c r="J466" s="19">
        <f t="shared" si="20"/>
        <v>51764540</v>
      </c>
      <c r="K466" s="19"/>
      <c r="L466" s="102">
        <f t="shared" si="20"/>
        <v>423.60462614604285</v>
      </c>
      <c r="M466" s="21">
        <f t="shared" si="20"/>
        <v>52029979</v>
      </c>
    </row>
    <row r="467" spans="1:13" ht="12">
      <c r="A467" s="30">
        <v>5</v>
      </c>
      <c r="E467" s="30">
        <v>5</v>
      </c>
      <c r="F467" s="30"/>
      <c r="G467" s="125"/>
      <c r="H467" s="1"/>
      <c r="I467" s="125"/>
      <c r="J467" s="19"/>
      <c r="K467" s="19"/>
      <c r="L467" s="102"/>
      <c r="M467" s="21"/>
    </row>
    <row r="468" spans="1:13" ht="12">
      <c r="A468" s="30">
        <v>6</v>
      </c>
      <c r="C468" s="31" t="s">
        <v>24</v>
      </c>
      <c r="E468" s="30">
        <v>6</v>
      </c>
      <c r="F468" s="30"/>
      <c r="G468" s="125">
        <v>0</v>
      </c>
      <c r="H468" s="1"/>
      <c r="I468" s="125">
        <v>0</v>
      </c>
      <c r="J468" s="21"/>
      <c r="K468" s="21"/>
      <c r="L468" s="102"/>
      <c r="M468" s="21"/>
    </row>
    <row r="469" spans="1:13" ht="12">
      <c r="A469" s="30">
        <v>7</v>
      </c>
      <c r="C469" s="31" t="s">
        <v>25</v>
      </c>
      <c r="E469" s="30">
        <v>7</v>
      </c>
      <c r="F469" s="30"/>
      <c r="G469" s="125">
        <f>H469/42730</f>
        <v>145.52075824947343</v>
      </c>
      <c r="H469" s="1">
        <f>5585010+633092</f>
        <v>6218102</v>
      </c>
      <c r="I469" s="125">
        <f>J469/46746</f>
        <v>149.04085911093998</v>
      </c>
      <c r="J469" s="21">
        <f>6350802+616262</f>
        <v>6967064</v>
      </c>
      <c r="K469" s="21"/>
      <c r="L469" s="102">
        <v>139.68985581654044</v>
      </c>
      <c r="M469" s="21">
        <f>581335+6039645-91038</f>
        <v>6529942</v>
      </c>
    </row>
    <row r="470" spans="1:13" ht="12">
      <c r="A470" s="30">
        <v>8</v>
      </c>
      <c r="C470" s="31" t="s">
        <v>26</v>
      </c>
      <c r="E470" s="30">
        <v>8</v>
      </c>
      <c r="F470" s="30"/>
      <c r="G470" s="125"/>
      <c r="H470" s="1">
        <f>1574675+149721-174631</f>
        <v>1549765</v>
      </c>
      <c r="I470" s="125"/>
      <c r="J470" s="21">
        <f>146593+1880789-107550-73666-9381</f>
        <v>1836785</v>
      </c>
      <c r="K470" s="21"/>
      <c r="L470" s="102"/>
      <c r="M470" s="21">
        <f>170864+1628363-31066</f>
        <v>1768161</v>
      </c>
    </row>
    <row r="471" spans="1:13" ht="12">
      <c r="A471" s="30">
        <v>9</v>
      </c>
      <c r="C471" s="31" t="s">
        <v>27</v>
      </c>
      <c r="E471" s="30">
        <v>9</v>
      </c>
      <c r="F471" s="30"/>
      <c r="G471" s="125">
        <f aca="true" t="shared" si="21" ref="G471:M471">SUM(G468:G470)</f>
        <v>145.52075824947343</v>
      </c>
      <c r="H471" s="1">
        <f t="shared" si="21"/>
        <v>7767867</v>
      </c>
      <c r="I471" s="125">
        <f t="shared" si="21"/>
        <v>149.04085911093998</v>
      </c>
      <c r="J471" s="19">
        <f t="shared" si="21"/>
        <v>8803849</v>
      </c>
      <c r="K471" s="19"/>
      <c r="L471" s="102">
        <f t="shared" si="21"/>
        <v>139.68985581654044</v>
      </c>
      <c r="M471" s="21">
        <f t="shared" si="21"/>
        <v>8298103</v>
      </c>
    </row>
    <row r="472" spans="1:13" ht="12">
      <c r="A472" s="30">
        <v>10</v>
      </c>
      <c r="E472" s="30">
        <v>10</v>
      </c>
      <c r="F472" s="30"/>
      <c r="G472" s="127"/>
      <c r="H472" s="1"/>
      <c r="I472" s="125"/>
      <c r="J472" s="19"/>
      <c r="K472" s="19"/>
      <c r="L472" s="102"/>
      <c r="M472" s="21"/>
    </row>
    <row r="473" spans="1:13" ht="12">
      <c r="A473" s="30">
        <v>11</v>
      </c>
      <c r="C473" s="31" t="s">
        <v>28</v>
      </c>
      <c r="E473" s="30">
        <v>11</v>
      </c>
      <c r="F473" s="30"/>
      <c r="G473" s="128">
        <f>SUM(G466+G471)</f>
        <v>523.3793695204758</v>
      </c>
      <c r="H473" s="121">
        <f>SUM(H466+H471)</f>
        <v>51881936</v>
      </c>
      <c r="I473" s="125">
        <f>SUM(I466+I471)</f>
        <v>575.9237535872984</v>
      </c>
      <c r="J473" s="19">
        <f>SUM(J466,J471)</f>
        <v>60568389</v>
      </c>
      <c r="K473" s="19"/>
      <c r="L473" s="102">
        <f>SUM(L466+L471)</f>
        <v>563.2944819625833</v>
      </c>
      <c r="M473" s="21">
        <f>SUM(M466,M471)</f>
        <v>60328082</v>
      </c>
    </row>
    <row r="474" spans="1:13" ht="12">
      <c r="A474" s="30">
        <v>12</v>
      </c>
      <c r="E474" s="30">
        <v>12</v>
      </c>
      <c r="F474" s="30"/>
      <c r="G474" s="128"/>
      <c r="H474" s="121"/>
      <c r="I474" s="125"/>
      <c r="J474" s="19"/>
      <c r="K474" s="19"/>
      <c r="L474" s="102"/>
      <c r="M474" s="21"/>
    </row>
    <row r="475" spans="1:13" ht="12">
      <c r="A475" s="30">
        <v>13</v>
      </c>
      <c r="C475" s="31" t="s">
        <v>29</v>
      </c>
      <c r="E475" s="30">
        <v>13</v>
      </c>
      <c r="F475" s="30"/>
      <c r="G475" s="125">
        <v>7.53</v>
      </c>
      <c r="H475" s="1">
        <f>219558+114775+14218+63</f>
        <v>348614</v>
      </c>
      <c r="I475" s="125">
        <f>J475/53677</f>
        <v>9.911973470946588</v>
      </c>
      <c r="J475" s="21">
        <f>259675+253542+18763+65</f>
        <v>532045</v>
      </c>
      <c r="K475" s="21"/>
      <c r="L475" s="102">
        <f>6.16</f>
        <v>6.16</v>
      </c>
      <c r="M475" s="21">
        <f>157834+475</f>
        <v>158309</v>
      </c>
    </row>
    <row r="476" spans="1:13" ht="12">
      <c r="A476" s="30">
        <v>14</v>
      </c>
      <c r="E476" s="30">
        <v>14</v>
      </c>
      <c r="F476" s="30"/>
      <c r="G476" s="125"/>
      <c r="H476" s="1"/>
      <c r="I476" s="125"/>
      <c r="J476" s="21"/>
      <c r="K476" s="21"/>
      <c r="L476" s="102"/>
      <c r="M476" s="21"/>
    </row>
    <row r="477" spans="1:13" ht="12">
      <c r="A477" s="30">
        <v>15</v>
      </c>
      <c r="C477" s="31" t="s">
        <v>30</v>
      </c>
      <c r="E477" s="30">
        <v>15</v>
      </c>
      <c r="F477" s="30"/>
      <c r="G477" s="125"/>
      <c r="H477" s="1">
        <f>802974+7933</f>
        <v>810907</v>
      </c>
      <c r="I477" s="125"/>
      <c r="J477" s="21">
        <f>791593+16790</f>
        <v>808383</v>
      </c>
      <c r="K477" s="21"/>
      <c r="L477" s="102"/>
      <c r="M477" s="21">
        <v>676148</v>
      </c>
    </row>
    <row r="478" spans="1:13" ht="12">
      <c r="A478" s="30">
        <v>16</v>
      </c>
      <c r="C478" s="31"/>
      <c r="E478" s="30">
        <v>16</v>
      </c>
      <c r="F478" s="30"/>
      <c r="G478" s="125"/>
      <c r="H478" s="1"/>
      <c r="I478" s="125"/>
      <c r="J478" s="21"/>
      <c r="K478" s="21"/>
      <c r="L478" s="102"/>
      <c r="M478" s="21"/>
    </row>
    <row r="479" spans="1:13" s="4" customFormat="1" ht="18.75" customHeight="1">
      <c r="A479" s="3">
        <v>17</v>
      </c>
      <c r="C479" s="5" t="s">
        <v>31</v>
      </c>
      <c r="E479" s="3">
        <v>17</v>
      </c>
      <c r="F479" s="3"/>
      <c r="G479" s="7"/>
      <c r="H479" s="8">
        <f>29878+11915390+2022+813068+32-10038+579849+3411-781568-756443-1185269+2</f>
        <v>10610334</v>
      </c>
      <c r="I479" s="125"/>
      <c r="J479" s="21">
        <f>5249+12756559+799+815112+2801930+4-1334202-853471-815112</f>
        <v>13376868</v>
      </c>
      <c r="K479" s="21"/>
      <c r="L479" s="102"/>
      <c r="M479" s="21">
        <f>3907981-41722-343642-1189588+22691847+1247648+300000+34050-2000000-10000000</f>
        <v>14606574</v>
      </c>
    </row>
    <row r="480" spans="1:12" ht="12">
      <c r="A480" s="30">
        <v>18</v>
      </c>
      <c r="C480" s="9"/>
      <c r="E480" s="30">
        <v>18</v>
      </c>
      <c r="F480" s="30"/>
      <c r="G480" s="125"/>
      <c r="H480" s="1"/>
      <c r="I480" s="125"/>
      <c r="J480" s="21"/>
      <c r="K480" s="21"/>
      <c r="L480" s="102"/>
    </row>
    <row r="481" spans="1:12" ht="12">
      <c r="A481" s="30">
        <v>19</v>
      </c>
      <c r="C481" s="9" t="s">
        <v>262</v>
      </c>
      <c r="E481" s="30">
        <v>19</v>
      </c>
      <c r="F481" s="30"/>
      <c r="G481" s="125"/>
      <c r="H481" s="1">
        <f>377884-374473-3411</f>
        <v>0</v>
      </c>
      <c r="I481" s="125"/>
      <c r="J481" s="1"/>
      <c r="K481" s="1"/>
      <c r="L481" s="102"/>
    </row>
    <row r="482" spans="1:12" ht="12">
      <c r="A482" s="30">
        <v>20</v>
      </c>
      <c r="C482" s="9"/>
      <c r="E482" s="30">
        <v>20</v>
      </c>
      <c r="F482" s="30"/>
      <c r="G482" s="125"/>
      <c r="H482" s="1"/>
      <c r="I482" s="125"/>
      <c r="J482" s="21"/>
      <c r="K482" s="21"/>
      <c r="L482" s="102"/>
    </row>
    <row r="483" spans="1:12" ht="12">
      <c r="A483" s="30">
        <v>21</v>
      </c>
      <c r="C483" s="31"/>
      <c r="E483" s="30">
        <v>21</v>
      </c>
      <c r="F483" s="30"/>
      <c r="G483" s="125"/>
      <c r="H483" s="1"/>
      <c r="I483" s="125"/>
      <c r="J483" s="1"/>
      <c r="K483" s="1"/>
      <c r="L483" s="102"/>
    </row>
    <row r="484" spans="1:12" ht="12">
      <c r="A484" s="30">
        <v>22</v>
      </c>
      <c r="C484" s="31"/>
      <c r="E484" s="30">
        <v>22</v>
      </c>
      <c r="F484" s="30"/>
      <c r="G484" s="125"/>
      <c r="H484" s="1"/>
      <c r="I484" s="125"/>
      <c r="J484" s="1"/>
      <c r="K484" s="1"/>
      <c r="L484" s="102"/>
    </row>
    <row r="485" spans="1:12" ht="12">
      <c r="A485" s="30">
        <v>23</v>
      </c>
      <c r="C485" s="31"/>
      <c r="E485" s="30">
        <v>23</v>
      </c>
      <c r="F485" s="30"/>
      <c r="G485" s="125"/>
      <c r="H485" s="1"/>
      <c r="I485" s="125"/>
      <c r="J485" s="1"/>
      <c r="K485" s="1"/>
      <c r="L485" s="102"/>
    </row>
    <row r="486" spans="1:12" ht="12">
      <c r="A486" s="30">
        <v>24</v>
      </c>
      <c r="C486" s="31"/>
      <c r="E486" s="30">
        <v>24</v>
      </c>
      <c r="F486" s="30"/>
      <c r="G486" s="125"/>
      <c r="H486" s="1"/>
      <c r="I486" s="125"/>
      <c r="J486" s="1"/>
      <c r="K486" s="1"/>
      <c r="L486" s="102"/>
    </row>
    <row r="487" spans="1:12" ht="12">
      <c r="A487" s="30"/>
      <c r="C487" s="31"/>
      <c r="E487" s="30"/>
      <c r="F487" s="30"/>
      <c r="G487" s="125"/>
      <c r="H487" s="1"/>
      <c r="I487" s="125"/>
      <c r="J487" s="1"/>
      <c r="K487" s="1"/>
      <c r="L487" s="102"/>
    </row>
    <row r="488" spans="1:12" ht="12">
      <c r="A488" s="30"/>
      <c r="E488" s="30"/>
      <c r="F488" s="30"/>
      <c r="G488" s="125"/>
      <c r="H488" s="1"/>
      <c r="I488" s="125"/>
      <c r="J488" s="1"/>
      <c r="K488" s="1"/>
      <c r="L488" s="102"/>
    </row>
    <row r="489" spans="1:12" ht="12">
      <c r="A489" s="30"/>
      <c r="E489" s="30"/>
      <c r="F489" s="30"/>
      <c r="G489" s="108"/>
      <c r="H489" s="42"/>
      <c r="I489" s="125"/>
      <c r="J489" s="42"/>
      <c r="K489" s="42"/>
      <c r="L489" s="102"/>
    </row>
    <row r="490" spans="1:13" ht="13.5" customHeight="1">
      <c r="A490" s="30">
        <v>25</v>
      </c>
      <c r="C490" s="31" t="s">
        <v>223</v>
      </c>
      <c r="E490" s="30">
        <v>25</v>
      </c>
      <c r="F490" s="30"/>
      <c r="G490" s="128">
        <f aca="true" t="shared" si="22" ref="G490:M490">SUM(G473:G483)</f>
        <v>530.9093695204758</v>
      </c>
      <c r="H490" s="121">
        <f t="shared" si="22"/>
        <v>63651791</v>
      </c>
      <c r="I490" s="125">
        <f t="shared" si="22"/>
        <v>585.835727058245</v>
      </c>
      <c r="J490" s="121">
        <f>SUM(J473:J483)</f>
        <v>75285685</v>
      </c>
      <c r="K490" s="121"/>
      <c r="L490" s="102">
        <f t="shared" si="22"/>
        <v>569.4544819625833</v>
      </c>
      <c r="M490" s="21">
        <f t="shared" si="22"/>
        <v>75769113</v>
      </c>
    </row>
    <row r="491" spans="6:13" ht="12">
      <c r="F491" s="109" t="s">
        <v>1</v>
      </c>
      <c r="G491" s="109"/>
      <c r="H491" s="109"/>
      <c r="I491" s="41"/>
      <c r="J491" s="42"/>
      <c r="K491" s="109"/>
      <c r="L491" s="41"/>
      <c r="M491" s="42"/>
    </row>
    <row r="492" ht="12">
      <c r="A492" s="31"/>
    </row>
    <row r="494" spans="1:13" s="65" customFormat="1" ht="12">
      <c r="A494" s="38" t="str">
        <f>$A$36</f>
        <v>Institution No.:  GFE</v>
      </c>
      <c r="E494" s="70"/>
      <c r="I494" s="71"/>
      <c r="J494" s="72"/>
      <c r="L494" s="71"/>
      <c r="M494" s="37" t="s">
        <v>33</v>
      </c>
    </row>
    <row r="495" spans="1:13" s="65" customFormat="1" ht="12">
      <c r="A495" s="414" t="s">
        <v>148</v>
      </c>
      <c r="B495" s="414"/>
      <c r="C495" s="414"/>
      <c r="D495" s="414"/>
      <c r="E495" s="414"/>
      <c r="F495" s="414"/>
      <c r="G495" s="414"/>
      <c r="H495" s="414"/>
      <c r="I495" s="414"/>
      <c r="J495" s="414"/>
      <c r="K495" s="414"/>
      <c r="L495" s="414"/>
      <c r="M495" s="414"/>
    </row>
    <row r="496" spans="1:13" ht="12">
      <c r="A496" s="38" t="s">
        <v>551</v>
      </c>
      <c r="C496" s="26" t="s">
        <v>553</v>
      </c>
      <c r="F496" s="113"/>
      <c r="G496" s="113"/>
      <c r="H496" s="113"/>
      <c r="I496" s="104"/>
      <c r="J496" s="105"/>
      <c r="L496" s="36"/>
      <c r="M496" s="39" t="str">
        <f>$M$3</f>
        <v>Date: 10/1/2009</v>
      </c>
    </row>
    <row r="497" spans="1:13" ht="12">
      <c r="A497" s="40" t="s">
        <v>1</v>
      </c>
      <c r="B497" s="40" t="s">
        <v>1</v>
      </c>
      <c r="C497" s="40" t="s">
        <v>1</v>
      </c>
      <c r="D497" s="40" t="s">
        <v>1</v>
      </c>
      <c r="E497" s="40" t="s">
        <v>1</v>
      </c>
      <c r="F497" s="40" t="s">
        <v>1</v>
      </c>
      <c r="G497" s="40"/>
      <c r="H497" s="40"/>
      <c r="I497" s="41" t="s">
        <v>1</v>
      </c>
      <c r="J497" s="42" t="s">
        <v>1</v>
      </c>
      <c r="K497" s="40" t="s">
        <v>1</v>
      </c>
      <c r="L497" s="41" t="s">
        <v>1</v>
      </c>
      <c r="M497" s="42" t="s">
        <v>1</v>
      </c>
    </row>
    <row r="498" spans="1:13" ht="12">
      <c r="A498" s="43" t="s">
        <v>2</v>
      </c>
      <c r="E498" s="43" t="s">
        <v>2</v>
      </c>
      <c r="F498" s="43"/>
      <c r="G498" s="45"/>
      <c r="H498" s="46" t="s">
        <v>240</v>
      </c>
      <c r="I498" s="45"/>
      <c r="J498" s="46" t="s">
        <v>247</v>
      </c>
      <c r="K498" s="46"/>
      <c r="L498" s="26"/>
      <c r="M498" s="44" t="s">
        <v>576</v>
      </c>
    </row>
    <row r="499" spans="1:13" ht="12">
      <c r="A499" s="43" t="s">
        <v>4</v>
      </c>
      <c r="C499" s="47" t="s">
        <v>20</v>
      </c>
      <c r="E499" s="43" t="s">
        <v>4</v>
      </c>
      <c r="F499" s="43"/>
      <c r="G499" s="45" t="s">
        <v>6</v>
      </c>
      <c r="H499" s="46" t="s">
        <v>7</v>
      </c>
      <c r="I499" s="45" t="s">
        <v>6</v>
      </c>
      <c r="J499" s="46" t="s">
        <v>7</v>
      </c>
      <c r="K499" s="46"/>
      <c r="L499" s="44" t="s">
        <v>21</v>
      </c>
      <c r="M499" s="44" t="s">
        <v>8</v>
      </c>
    </row>
    <row r="500" spans="1:13" ht="12">
      <c r="A500" s="40" t="s">
        <v>1</v>
      </c>
      <c r="B500" s="40" t="s">
        <v>1</v>
      </c>
      <c r="C500" s="40" t="s">
        <v>1</v>
      </c>
      <c r="D500" s="40" t="s">
        <v>1</v>
      </c>
      <c r="E500" s="40" t="s">
        <v>1</v>
      </c>
      <c r="F500" s="40"/>
      <c r="G500" s="41" t="s">
        <v>1</v>
      </c>
      <c r="H500" s="42" t="s">
        <v>1</v>
      </c>
      <c r="I500" s="41" t="s">
        <v>1</v>
      </c>
      <c r="J500" s="42" t="s">
        <v>1</v>
      </c>
      <c r="K500" s="42"/>
      <c r="L500" s="42" t="s">
        <v>1</v>
      </c>
      <c r="M500" s="42" t="s">
        <v>1</v>
      </c>
    </row>
    <row r="501" spans="1:13" ht="12">
      <c r="A501" s="30">
        <v>1</v>
      </c>
      <c r="C501" s="31" t="s">
        <v>36</v>
      </c>
      <c r="E501" s="30">
        <v>1</v>
      </c>
      <c r="F501" s="30"/>
      <c r="G501" s="130">
        <f>H501/67600</f>
        <v>0.8589792899408284</v>
      </c>
      <c r="H501" s="1">
        <f>55427+2640</f>
        <v>58067</v>
      </c>
      <c r="I501" s="130">
        <v>0</v>
      </c>
      <c r="J501" s="1">
        <f>27789+2659</f>
        <v>30448</v>
      </c>
      <c r="K501" s="1"/>
      <c r="L501" s="256"/>
      <c r="M501" s="28">
        <f>17548</f>
        <v>17548</v>
      </c>
    </row>
    <row r="502" spans="1:13" ht="12">
      <c r="A502" s="30">
        <v>2</v>
      </c>
      <c r="C502" s="31" t="s">
        <v>37</v>
      </c>
      <c r="E502" s="30">
        <v>2</v>
      </c>
      <c r="F502" s="30"/>
      <c r="G502" s="130"/>
      <c r="H502" s="1">
        <f>1967091+33663-1953995-33006</f>
        <v>13753</v>
      </c>
      <c r="I502" s="130"/>
      <c r="J502" s="1">
        <f>2189443+125+33064-984984-977375-220417-32380</f>
        <v>7476</v>
      </c>
      <c r="K502" s="1"/>
      <c r="L502" s="26"/>
      <c r="M502" s="28">
        <v>2500</v>
      </c>
    </row>
    <row r="503" spans="1:12" ht="12">
      <c r="A503" s="30">
        <v>3</v>
      </c>
      <c r="C503" s="31" t="s">
        <v>34</v>
      </c>
      <c r="E503" s="30">
        <v>3</v>
      </c>
      <c r="F503" s="30"/>
      <c r="G503" s="130">
        <v>0</v>
      </c>
      <c r="H503" s="1"/>
      <c r="I503" s="130">
        <v>0</v>
      </c>
      <c r="J503" s="1">
        <v>0</v>
      </c>
      <c r="K503" s="1"/>
      <c r="L503" s="26"/>
    </row>
    <row r="504" spans="1:13" ht="12">
      <c r="A504" s="30">
        <v>4</v>
      </c>
      <c r="C504" s="31" t="s">
        <v>23</v>
      </c>
      <c r="E504" s="30">
        <v>4</v>
      </c>
      <c r="F504" s="30"/>
      <c r="G504" s="130">
        <f aca="true" t="shared" si="23" ref="G504:M504">SUM(G501:G503)</f>
        <v>0.8589792899408284</v>
      </c>
      <c r="H504" s="1">
        <f t="shared" si="23"/>
        <v>71820</v>
      </c>
      <c r="I504" s="130">
        <f t="shared" si="23"/>
        <v>0</v>
      </c>
      <c r="J504" s="1">
        <f t="shared" si="23"/>
        <v>37924</v>
      </c>
      <c r="K504" s="1"/>
      <c r="L504" s="130">
        <f t="shared" si="23"/>
        <v>0</v>
      </c>
      <c r="M504" s="28">
        <f t="shared" si="23"/>
        <v>20048</v>
      </c>
    </row>
    <row r="505" spans="1:12" ht="12">
      <c r="A505" s="30">
        <v>5</v>
      </c>
      <c r="E505" s="30">
        <v>5</v>
      </c>
      <c r="F505" s="30"/>
      <c r="G505" s="130"/>
      <c r="H505" s="1"/>
      <c r="I505" s="130"/>
      <c r="J505" s="1"/>
      <c r="K505" s="1"/>
      <c r="L505" s="26"/>
    </row>
    <row r="506" spans="1:12" ht="12">
      <c r="A506" s="30">
        <v>6</v>
      </c>
      <c r="C506" s="31" t="s">
        <v>24</v>
      </c>
      <c r="E506" s="30">
        <v>6</v>
      </c>
      <c r="F506" s="30"/>
      <c r="G506" s="130">
        <v>0</v>
      </c>
      <c r="H506" s="1"/>
      <c r="I506" s="130">
        <v>0</v>
      </c>
      <c r="J506" s="1"/>
      <c r="K506" s="1"/>
      <c r="L506" s="26"/>
    </row>
    <row r="507" spans="1:12" ht="12">
      <c r="A507" s="30">
        <v>7</v>
      </c>
      <c r="C507" s="31" t="s">
        <v>25</v>
      </c>
      <c r="E507" s="30">
        <v>7</v>
      </c>
      <c r="F507" s="30"/>
      <c r="G507" s="130">
        <v>0</v>
      </c>
      <c r="H507" s="1"/>
      <c r="I507" s="130">
        <v>0</v>
      </c>
      <c r="J507" s="1">
        <v>0</v>
      </c>
      <c r="K507" s="1"/>
      <c r="L507" s="26"/>
    </row>
    <row r="508" spans="1:12" ht="12">
      <c r="A508" s="30">
        <v>8</v>
      </c>
      <c r="C508" s="31" t="s">
        <v>26</v>
      </c>
      <c r="E508" s="30">
        <v>8</v>
      </c>
      <c r="F508" s="30"/>
      <c r="G508" s="130"/>
      <c r="H508" s="1">
        <v>0</v>
      </c>
      <c r="I508" s="130"/>
      <c r="J508" s="1">
        <f>24468-13228-10004-1236</f>
        <v>0</v>
      </c>
      <c r="K508" s="1"/>
      <c r="L508" s="26"/>
    </row>
    <row r="509" spans="1:13" ht="12">
      <c r="A509" s="30">
        <v>9</v>
      </c>
      <c r="C509" s="31" t="s">
        <v>27</v>
      </c>
      <c r="E509" s="30">
        <v>9</v>
      </c>
      <c r="F509" s="30"/>
      <c r="G509" s="130">
        <f aca="true" t="shared" si="24" ref="G509:M509">SUM(G506:G508)</f>
        <v>0</v>
      </c>
      <c r="H509" s="1">
        <f t="shared" si="24"/>
        <v>0</v>
      </c>
      <c r="I509" s="130">
        <f t="shared" si="24"/>
        <v>0</v>
      </c>
      <c r="J509" s="1">
        <f t="shared" si="24"/>
        <v>0</v>
      </c>
      <c r="K509" s="1"/>
      <c r="L509" s="130">
        <f t="shared" si="24"/>
        <v>0</v>
      </c>
      <c r="M509" s="28">
        <f t="shared" si="24"/>
        <v>0</v>
      </c>
    </row>
    <row r="510" spans="1:12" ht="12">
      <c r="A510" s="30">
        <v>10</v>
      </c>
      <c r="E510" s="30">
        <v>10</v>
      </c>
      <c r="F510" s="30"/>
      <c r="G510" s="101"/>
      <c r="H510" s="1"/>
      <c r="I510" s="101"/>
      <c r="J510" s="1"/>
      <c r="K510" s="1"/>
      <c r="L510" s="26"/>
    </row>
    <row r="511" spans="1:13" ht="12">
      <c r="A511" s="30">
        <v>11</v>
      </c>
      <c r="C511" s="31" t="s">
        <v>28</v>
      </c>
      <c r="E511" s="30">
        <v>11</v>
      </c>
      <c r="F511" s="30"/>
      <c r="G511" s="132">
        <f aca="true" t="shared" si="25" ref="G511:M511">SUM(G504+G509)</f>
        <v>0.8589792899408284</v>
      </c>
      <c r="H511" s="121">
        <f t="shared" si="25"/>
        <v>71820</v>
      </c>
      <c r="I511" s="132">
        <f t="shared" si="25"/>
        <v>0</v>
      </c>
      <c r="J511" s="121">
        <f t="shared" si="25"/>
        <v>37924</v>
      </c>
      <c r="K511" s="121"/>
      <c r="L511" s="132">
        <f t="shared" si="25"/>
        <v>0</v>
      </c>
      <c r="M511" s="28">
        <f t="shared" si="25"/>
        <v>20048</v>
      </c>
    </row>
    <row r="512" spans="1:12" ht="12">
      <c r="A512" s="30">
        <v>12</v>
      </c>
      <c r="E512" s="30">
        <v>12</v>
      </c>
      <c r="F512" s="30"/>
      <c r="G512" s="132"/>
      <c r="H512" s="121"/>
      <c r="I512" s="132"/>
      <c r="J512" s="121"/>
      <c r="K512" s="121"/>
      <c r="L512" s="26"/>
    </row>
    <row r="513" spans="1:12" ht="12">
      <c r="A513" s="30">
        <v>13</v>
      </c>
      <c r="C513" s="31" t="s">
        <v>29</v>
      </c>
      <c r="E513" s="30">
        <v>13</v>
      </c>
      <c r="F513" s="30"/>
      <c r="G513" s="130"/>
      <c r="H513" s="1"/>
      <c r="I513" s="130"/>
      <c r="J513" s="1">
        <v>0</v>
      </c>
      <c r="K513" s="1"/>
      <c r="L513" s="26"/>
    </row>
    <row r="514" spans="1:12" ht="12">
      <c r="A514" s="30">
        <v>14</v>
      </c>
      <c r="E514" s="30">
        <v>14</v>
      </c>
      <c r="F514" s="30"/>
      <c r="G514" s="130"/>
      <c r="H514" s="1"/>
      <c r="I514" s="130"/>
      <c r="J514" s="1"/>
      <c r="K514" s="1"/>
      <c r="L514" s="26"/>
    </row>
    <row r="515" spans="1:12" ht="12">
      <c r="A515" s="30">
        <v>15</v>
      </c>
      <c r="C515" s="31" t="s">
        <v>30</v>
      </c>
      <c r="E515" s="30">
        <v>15</v>
      </c>
      <c r="F515" s="30"/>
      <c r="G515" s="130"/>
      <c r="H515" s="1">
        <f>2504</f>
        <v>2504</v>
      </c>
      <c r="I515" s="130"/>
      <c r="J515" s="1">
        <v>1880</v>
      </c>
      <c r="K515" s="1"/>
      <c r="L515" s="26"/>
    </row>
    <row r="516" spans="1:12" ht="12">
      <c r="A516" s="30">
        <v>16</v>
      </c>
      <c r="C516" s="31" t="s">
        <v>31</v>
      </c>
      <c r="E516" s="30">
        <v>16</v>
      </c>
      <c r="F516" s="30"/>
      <c r="G516" s="130"/>
      <c r="H516" s="1">
        <f>8870</f>
        <v>8870</v>
      </c>
      <c r="I516" s="130"/>
      <c r="J516" s="1">
        <v>18526</v>
      </c>
      <c r="K516" s="1"/>
      <c r="L516" s="26"/>
    </row>
    <row r="517" spans="1:12" ht="12">
      <c r="A517" s="30"/>
      <c r="C517" s="31"/>
      <c r="E517" s="30"/>
      <c r="F517" s="30"/>
      <c r="G517" s="130"/>
      <c r="H517" s="1"/>
      <c r="I517" s="130"/>
      <c r="J517" s="1"/>
      <c r="K517" s="1"/>
      <c r="L517" s="26"/>
    </row>
    <row r="518" spans="1:12" ht="12">
      <c r="A518" s="30">
        <v>17</v>
      </c>
      <c r="C518" s="31" t="s">
        <v>32</v>
      </c>
      <c r="E518" s="30">
        <v>17</v>
      </c>
      <c r="F518" s="30"/>
      <c r="G518" s="130"/>
      <c r="H518" s="1"/>
      <c r="I518" s="130"/>
      <c r="J518" s="1">
        <v>0</v>
      </c>
      <c r="K518" s="1"/>
      <c r="L518" s="26"/>
    </row>
    <row r="519" spans="1:12" ht="12">
      <c r="A519" s="30">
        <v>18</v>
      </c>
      <c r="C519" s="31"/>
      <c r="E519" s="30">
        <v>18</v>
      </c>
      <c r="F519" s="30"/>
      <c r="G519" s="130"/>
      <c r="H519" s="119"/>
      <c r="I519" s="130"/>
      <c r="J519" s="119"/>
      <c r="K519" s="119"/>
      <c r="L519" s="26"/>
    </row>
    <row r="520" spans="1:12" ht="12">
      <c r="A520" s="30">
        <v>19</v>
      </c>
      <c r="C520" s="31"/>
      <c r="E520" s="30">
        <v>19</v>
      </c>
      <c r="F520" s="30"/>
      <c r="G520" s="130"/>
      <c r="H520" s="119"/>
      <c r="I520" s="130"/>
      <c r="J520" s="119"/>
      <c r="K520" s="119"/>
      <c r="L520" s="26"/>
    </row>
    <row r="521" spans="1:12" ht="12">
      <c r="A521" s="30">
        <v>20</v>
      </c>
      <c r="C521" s="31"/>
      <c r="E521" s="30">
        <v>20</v>
      </c>
      <c r="F521" s="30"/>
      <c r="G521" s="130"/>
      <c r="H521" s="119"/>
      <c r="I521" s="130"/>
      <c r="J521" s="119"/>
      <c r="K521" s="119"/>
      <c r="L521" s="26"/>
    </row>
    <row r="522" spans="1:12" ht="12">
      <c r="A522" s="30">
        <v>21</v>
      </c>
      <c r="C522" s="31"/>
      <c r="E522" s="30">
        <v>21</v>
      </c>
      <c r="F522" s="30"/>
      <c r="G522" s="130"/>
      <c r="H522" s="119"/>
      <c r="I522" s="130"/>
      <c r="J522" s="119"/>
      <c r="K522" s="119"/>
      <c r="L522" s="26"/>
    </row>
    <row r="523" spans="1:12" ht="12">
      <c r="A523" s="30">
        <v>22</v>
      </c>
      <c r="C523" s="31"/>
      <c r="E523" s="30">
        <v>22</v>
      </c>
      <c r="F523" s="30"/>
      <c r="G523" s="130"/>
      <c r="H523" s="119"/>
      <c r="I523" s="130"/>
      <c r="J523" s="119"/>
      <c r="K523" s="119"/>
      <c r="L523" s="26"/>
    </row>
    <row r="524" spans="1:12" ht="12">
      <c r="A524" s="30">
        <v>23</v>
      </c>
      <c r="C524" s="31"/>
      <c r="E524" s="30">
        <v>23</v>
      </c>
      <c r="F524" s="30"/>
      <c r="G524" s="130"/>
      <c r="H524" s="119"/>
      <c r="I524" s="130"/>
      <c r="J524" s="119"/>
      <c r="K524" s="119"/>
      <c r="L524" s="26"/>
    </row>
    <row r="525" spans="1:12" ht="12">
      <c r="A525" s="30">
        <v>24</v>
      </c>
      <c r="C525" s="31"/>
      <c r="E525" s="30">
        <v>24</v>
      </c>
      <c r="F525" s="30"/>
      <c r="G525" s="130"/>
      <c r="H525" s="119"/>
      <c r="I525" s="130"/>
      <c r="J525" s="119"/>
      <c r="K525" s="119"/>
      <c r="L525" s="26"/>
    </row>
    <row r="526" spans="1:13" ht="12">
      <c r="A526" s="30"/>
      <c r="E526" s="30"/>
      <c r="F526" s="42" t="s">
        <v>1</v>
      </c>
      <c r="G526" s="42" t="s">
        <v>1</v>
      </c>
      <c r="H526" s="42" t="s">
        <v>1</v>
      </c>
      <c r="I526" s="42" t="s">
        <v>1</v>
      </c>
      <c r="J526" s="42" t="s">
        <v>1</v>
      </c>
      <c r="K526" s="42"/>
      <c r="L526" s="42" t="s">
        <v>1</v>
      </c>
      <c r="M526" s="42" t="s">
        <v>1</v>
      </c>
    </row>
    <row r="527" spans="1:13" ht="13.5" customHeight="1">
      <c r="A527" s="30">
        <v>25</v>
      </c>
      <c r="C527" s="31" t="s">
        <v>224</v>
      </c>
      <c r="E527" s="30">
        <v>25</v>
      </c>
      <c r="F527" s="30"/>
      <c r="G527" s="132">
        <f aca="true" t="shared" si="26" ref="G527:M527">SUM(G511:G520)</f>
        <v>0.8589792899408284</v>
      </c>
      <c r="H527" s="121">
        <f t="shared" si="26"/>
        <v>83194</v>
      </c>
      <c r="I527" s="132">
        <f t="shared" si="26"/>
        <v>0</v>
      </c>
      <c r="J527" s="121">
        <f t="shared" si="26"/>
        <v>58330</v>
      </c>
      <c r="K527" s="121"/>
      <c r="L527" s="132">
        <f t="shared" si="26"/>
        <v>0</v>
      </c>
      <c r="M527" s="121">
        <f t="shared" si="26"/>
        <v>20048</v>
      </c>
    </row>
    <row r="528" spans="5:13" ht="12">
      <c r="E528" s="69"/>
      <c r="F528" s="109" t="s">
        <v>1</v>
      </c>
      <c r="G528" s="109"/>
      <c r="H528" s="109"/>
      <c r="I528" s="41" t="s">
        <v>1</v>
      </c>
      <c r="J528" s="42" t="s">
        <v>1</v>
      </c>
      <c r="K528" s="109" t="s">
        <v>1</v>
      </c>
      <c r="L528" s="41" t="s">
        <v>1</v>
      </c>
      <c r="M528" s="42" t="s">
        <v>1</v>
      </c>
    </row>
    <row r="529" spans="1:13" ht="12">
      <c r="A529" s="31"/>
      <c r="J529" s="74"/>
      <c r="M529" s="74"/>
    </row>
    <row r="530" spans="10:13" ht="12">
      <c r="J530" s="74"/>
      <c r="M530" s="74"/>
    </row>
    <row r="531" spans="1:13" s="65" customFormat="1" ht="12">
      <c r="A531" s="38" t="str">
        <f>$A$36</f>
        <v>Institution No.:  GFE</v>
      </c>
      <c r="E531" s="70"/>
      <c r="I531" s="71"/>
      <c r="J531" s="72"/>
      <c r="L531" s="71"/>
      <c r="M531" s="37" t="s">
        <v>35</v>
      </c>
    </row>
    <row r="532" spans="1:13" s="65" customFormat="1" ht="12">
      <c r="A532" s="414" t="s">
        <v>149</v>
      </c>
      <c r="B532" s="414"/>
      <c r="C532" s="414"/>
      <c r="D532" s="414"/>
      <c r="E532" s="414"/>
      <c r="F532" s="414"/>
      <c r="G532" s="414"/>
      <c r="H532" s="414"/>
      <c r="I532" s="414"/>
      <c r="J532" s="414"/>
      <c r="K532" s="414"/>
      <c r="L532" s="414"/>
      <c r="M532" s="414"/>
    </row>
    <row r="533" spans="1:13" ht="12">
      <c r="A533" s="38" t="s">
        <v>551</v>
      </c>
      <c r="C533" s="26" t="s">
        <v>553</v>
      </c>
      <c r="I533" s="124"/>
      <c r="J533" s="105"/>
      <c r="L533" s="36"/>
      <c r="M533" s="39" t="str">
        <f>$M$3</f>
        <v>Date: 10/1/2009</v>
      </c>
    </row>
    <row r="534" spans="1:13" ht="12">
      <c r="A534" s="40" t="s">
        <v>1</v>
      </c>
      <c r="B534" s="40" t="s">
        <v>1</v>
      </c>
      <c r="C534" s="40" t="s">
        <v>1</v>
      </c>
      <c r="D534" s="40" t="s">
        <v>1</v>
      </c>
      <c r="E534" s="40" t="s">
        <v>1</v>
      </c>
      <c r="F534" s="40" t="s">
        <v>1</v>
      </c>
      <c r="G534" s="40"/>
      <c r="H534" s="40"/>
      <c r="I534" s="41" t="s">
        <v>1</v>
      </c>
      <c r="J534" s="42" t="s">
        <v>1</v>
      </c>
      <c r="K534" s="40" t="s">
        <v>1</v>
      </c>
      <c r="L534" s="41" t="s">
        <v>1</v>
      </c>
      <c r="M534" s="42" t="s">
        <v>1</v>
      </c>
    </row>
    <row r="535" spans="1:13" ht="12">
      <c r="A535" s="43" t="s">
        <v>2</v>
      </c>
      <c r="E535" s="43" t="s">
        <v>2</v>
      </c>
      <c r="F535" s="43"/>
      <c r="G535" s="45"/>
      <c r="H535" s="46" t="s">
        <v>240</v>
      </c>
      <c r="I535" s="45"/>
      <c r="J535" s="46" t="s">
        <v>247</v>
      </c>
      <c r="K535" s="46"/>
      <c r="L535" s="26"/>
      <c r="M535" s="44" t="s">
        <v>576</v>
      </c>
    </row>
    <row r="536" spans="1:13" ht="12">
      <c r="A536" s="43" t="s">
        <v>4</v>
      </c>
      <c r="C536" s="47" t="s">
        <v>20</v>
      </c>
      <c r="E536" s="43" t="s">
        <v>4</v>
      </c>
      <c r="F536" s="43"/>
      <c r="G536" s="45" t="s">
        <v>6</v>
      </c>
      <c r="H536" s="46" t="s">
        <v>7</v>
      </c>
      <c r="I536" s="45" t="s">
        <v>6</v>
      </c>
      <c r="J536" s="46" t="s">
        <v>7</v>
      </c>
      <c r="K536" s="46"/>
      <c r="L536" s="44" t="s">
        <v>21</v>
      </c>
      <c r="M536" s="44" t="s">
        <v>8</v>
      </c>
    </row>
    <row r="537" spans="1:13" ht="12">
      <c r="A537" s="40" t="s">
        <v>1</v>
      </c>
      <c r="B537" s="40" t="s">
        <v>1</v>
      </c>
      <c r="C537" s="40" t="s">
        <v>1</v>
      </c>
      <c r="D537" s="40" t="s">
        <v>1</v>
      </c>
      <c r="E537" s="40" t="s">
        <v>1</v>
      </c>
      <c r="F537" s="40"/>
      <c r="G537" s="41" t="s">
        <v>1</v>
      </c>
      <c r="H537" s="42" t="s">
        <v>1</v>
      </c>
      <c r="I537" s="41" t="s">
        <v>1</v>
      </c>
      <c r="J537" s="42" t="s">
        <v>1</v>
      </c>
      <c r="K537" s="42"/>
      <c r="L537" s="42" t="s">
        <v>1</v>
      </c>
      <c r="M537" s="42" t="s">
        <v>1</v>
      </c>
    </row>
    <row r="538" spans="1:13" ht="12">
      <c r="A538" s="30">
        <v>1</v>
      </c>
      <c r="C538" s="31" t="s">
        <v>36</v>
      </c>
      <c r="E538" s="30">
        <v>1</v>
      </c>
      <c r="F538" s="30"/>
      <c r="G538" s="253">
        <f>H538/52130</f>
        <v>1.3217533090351046</v>
      </c>
      <c r="H538" s="2">
        <f>33634+35269</f>
        <v>68903</v>
      </c>
      <c r="I538" s="86">
        <v>0</v>
      </c>
      <c r="J538" s="1">
        <f>28352+8267</f>
        <v>36619</v>
      </c>
      <c r="K538" s="1"/>
      <c r="L538" s="26"/>
      <c r="M538" s="26"/>
    </row>
    <row r="539" spans="1:13" ht="12">
      <c r="A539" s="30">
        <v>2</v>
      </c>
      <c r="C539" s="31" t="s">
        <v>37</v>
      </c>
      <c r="E539" s="30">
        <v>2</v>
      </c>
      <c r="F539" s="30"/>
      <c r="G539" s="253"/>
      <c r="H539" s="2">
        <f>242084+32822-232901-25466</f>
        <v>16539</v>
      </c>
      <c r="I539" s="86"/>
      <c r="J539" s="2">
        <f>268384+286+20960-114787-118644-27408-18636</f>
        <v>10155</v>
      </c>
      <c r="K539" s="2"/>
      <c r="L539" s="26"/>
      <c r="M539" s="26"/>
    </row>
    <row r="540" spans="1:13" ht="12">
      <c r="A540" s="30">
        <v>3</v>
      </c>
      <c r="E540" s="30">
        <v>3</v>
      </c>
      <c r="F540" s="30"/>
      <c r="G540" s="253"/>
      <c r="H540" s="2"/>
      <c r="I540" s="86"/>
      <c r="J540" s="2"/>
      <c r="K540" s="2"/>
      <c r="L540" s="26"/>
      <c r="M540" s="26"/>
    </row>
    <row r="541" spans="1:13" ht="12">
      <c r="A541" s="30">
        <v>4</v>
      </c>
      <c r="C541" s="31" t="s">
        <v>23</v>
      </c>
      <c r="E541" s="30">
        <v>4</v>
      </c>
      <c r="F541" s="30"/>
      <c r="G541" s="253">
        <f aca="true" t="shared" si="27" ref="G541:M541">SUM(G538:G540)</f>
        <v>1.3217533090351046</v>
      </c>
      <c r="H541" s="2">
        <f t="shared" si="27"/>
        <v>85442</v>
      </c>
      <c r="I541" s="86">
        <f t="shared" si="27"/>
        <v>0</v>
      </c>
      <c r="J541" s="2">
        <f t="shared" si="27"/>
        <v>46774</v>
      </c>
      <c r="K541" s="2"/>
      <c r="L541" s="86">
        <f t="shared" si="27"/>
        <v>0</v>
      </c>
      <c r="M541" s="2">
        <f t="shared" si="27"/>
        <v>0</v>
      </c>
    </row>
    <row r="542" spans="1:13" ht="12">
      <c r="A542" s="30">
        <v>5</v>
      </c>
      <c r="E542" s="30">
        <v>5</v>
      </c>
      <c r="F542" s="30"/>
      <c r="G542" s="253"/>
      <c r="H542" s="2"/>
      <c r="I542" s="86"/>
      <c r="J542" s="2"/>
      <c r="K542" s="2"/>
      <c r="L542" s="26"/>
      <c r="M542" s="26"/>
    </row>
    <row r="543" spans="1:13" ht="12">
      <c r="A543" s="30">
        <v>6</v>
      </c>
      <c r="E543" s="30">
        <v>6</v>
      </c>
      <c r="F543" s="30"/>
      <c r="G543" s="253"/>
      <c r="H543" s="2"/>
      <c r="I543" s="86"/>
      <c r="J543" s="2"/>
      <c r="K543" s="2"/>
      <c r="L543" s="26"/>
      <c r="M543" s="26"/>
    </row>
    <row r="544" spans="1:13" ht="12">
      <c r="A544" s="30">
        <v>7</v>
      </c>
      <c r="C544" s="31" t="s">
        <v>25</v>
      </c>
      <c r="E544" s="30">
        <v>7</v>
      </c>
      <c r="F544" s="30"/>
      <c r="G544" s="253">
        <v>0</v>
      </c>
      <c r="H544" s="2">
        <f>17065</f>
        <v>17065</v>
      </c>
      <c r="I544" s="86">
        <v>0</v>
      </c>
      <c r="J544" s="2">
        <v>8567</v>
      </c>
      <c r="K544" s="2"/>
      <c r="L544" s="26"/>
      <c r="M544" s="26"/>
    </row>
    <row r="545" spans="1:13" ht="12">
      <c r="A545" s="30">
        <v>8</v>
      </c>
      <c r="C545" s="31" t="s">
        <v>26</v>
      </c>
      <c r="E545" s="30">
        <v>8</v>
      </c>
      <c r="F545" s="30"/>
      <c r="G545" s="253"/>
      <c r="H545" s="2">
        <f>113672-109815</f>
        <v>3857</v>
      </c>
      <c r="I545" s="86"/>
      <c r="J545" s="2">
        <f>114853-68234-39925-4697</f>
        <v>1997</v>
      </c>
      <c r="K545" s="2"/>
      <c r="L545" s="26"/>
      <c r="M545" s="26"/>
    </row>
    <row r="546" spans="1:13" ht="12">
      <c r="A546" s="30">
        <v>9</v>
      </c>
      <c r="C546" s="31" t="s">
        <v>27</v>
      </c>
      <c r="E546" s="30">
        <v>9</v>
      </c>
      <c r="F546" s="30"/>
      <c r="G546" s="253">
        <f aca="true" t="shared" si="28" ref="G546:M546">SUM(G544:G545)</f>
        <v>0</v>
      </c>
      <c r="H546" s="2">
        <f t="shared" si="28"/>
        <v>20922</v>
      </c>
      <c r="I546" s="86">
        <f t="shared" si="28"/>
        <v>0</v>
      </c>
      <c r="J546" s="2">
        <f t="shared" si="28"/>
        <v>10564</v>
      </c>
      <c r="K546" s="2"/>
      <c r="L546" s="86">
        <f t="shared" si="28"/>
        <v>0</v>
      </c>
      <c r="M546" s="2">
        <f t="shared" si="28"/>
        <v>0</v>
      </c>
    </row>
    <row r="547" spans="1:13" ht="12">
      <c r="A547" s="30">
        <v>10</v>
      </c>
      <c r="E547" s="30">
        <v>10</v>
      </c>
      <c r="F547" s="30"/>
      <c r="G547" s="253"/>
      <c r="H547" s="2"/>
      <c r="I547" s="86"/>
      <c r="J547" s="2"/>
      <c r="K547" s="2"/>
      <c r="L547" s="26"/>
      <c r="M547" s="26"/>
    </row>
    <row r="548" spans="1:13" ht="12">
      <c r="A548" s="30">
        <v>11</v>
      </c>
      <c r="C548" s="31" t="s">
        <v>28</v>
      </c>
      <c r="E548" s="30">
        <v>11</v>
      </c>
      <c r="F548" s="30"/>
      <c r="G548" s="254">
        <f>SUM(G541,G546)</f>
        <v>1.3217533090351046</v>
      </c>
      <c r="H548" s="84">
        <f>SUM(H546,H541)</f>
        <v>106364</v>
      </c>
      <c r="I548" s="83">
        <f>SUM(I541,I546)</f>
        <v>0</v>
      </c>
      <c r="J548" s="84">
        <f>SUM(J546,J541)</f>
        <v>57338</v>
      </c>
      <c r="K548" s="84"/>
      <c r="L548" s="83">
        <f>SUM(L541,L546)</f>
        <v>0</v>
      </c>
      <c r="M548" s="84">
        <f>SUM(M546,M541)</f>
        <v>0</v>
      </c>
    </row>
    <row r="549" spans="1:13" ht="12">
      <c r="A549" s="30">
        <v>12</v>
      </c>
      <c r="E549" s="30">
        <v>12</v>
      </c>
      <c r="F549" s="30"/>
      <c r="G549" s="254"/>
      <c r="H549" s="84"/>
      <c r="I549" s="83"/>
      <c r="J549" s="84"/>
      <c r="K549" s="84"/>
      <c r="L549" s="26"/>
      <c r="M549" s="26"/>
    </row>
    <row r="550" spans="1:13" ht="12">
      <c r="A550" s="30">
        <v>13</v>
      </c>
      <c r="C550" s="31" t="s">
        <v>38</v>
      </c>
      <c r="E550" s="30">
        <v>13</v>
      </c>
      <c r="F550" s="30"/>
      <c r="G550" s="135"/>
      <c r="H550" s="2">
        <f>370+7</f>
        <v>377</v>
      </c>
      <c r="I550" s="86"/>
      <c r="J550" s="2">
        <v>0</v>
      </c>
      <c r="K550" s="2"/>
      <c r="L550" s="26"/>
      <c r="M550" s="26"/>
    </row>
    <row r="551" spans="1:13" ht="12">
      <c r="A551" s="30">
        <v>14</v>
      </c>
      <c r="E551" s="30">
        <v>14</v>
      </c>
      <c r="F551" s="30"/>
      <c r="G551" s="135"/>
      <c r="H551" s="2"/>
      <c r="I551" s="86"/>
      <c r="J551" s="2"/>
      <c r="K551" s="2"/>
      <c r="L551" s="26"/>
      <c r="M551" s="26"/>
    </row>
    <row r="552" spans="1:13" ht="12">
      <c r="A552" s="30">
        <v>15</v>
      </c>
      <c r="C552" s="31" t="s">
        <v>30</v>
      </c>
      <c r="E552" s="30">
        <v>15</v>
      </c>
      <c r="F552" s="30"/>
      <c r="G552" s="135"/>
      <c r="H552" s="2"/>
      <c r="I552" s="86"/>
      <c r="J552" s="2">
        <v>0</v>
      </c>
      <c r="K552" s="2"/>
      <c r="L552" s="26"/>
      <c r="M552" s="26"/>
    </row>
    <row r="553" spans="1:13" ht="12">
      <c r="A553" s="30">
        <v>16</v>
      </c>
      <c r="C553" s="31" t="s">
        <v>31</v>
      </c>
      <c r="E553" s="30">
        <v>16</v>
      </c>
      <c r="F553" s="30"/>
      <c r="G553" s="135"/>
      <c r="H553" s="2">
        <f>47</f>
        <v>47</v>
      </c>
      <c r="I553" s="86"/>
      <c r="J553" s="2">
        <f>320</f>
        <v>320</v>
      </c>
      <c r="K553" s="2"/>
      <c r="L553" s="26"/>
      <c r="M553" s="26"/>
    </row>
    <row r="554" spans="1:13" ht="12">
      <c r="A554" s="30"/>
      <c r="C554" s="31"/>
      <c r="E554" s="30"/>
      <c r="F554" s="30"/>
      <c r="G554" s="135"/>
      <c r="H554" s="2"/>
      <c r="I554" s="86"/>
      <c r="J554" s="2"/>
      <c r="K554" s="2"/>
      <c r="L554" s="26"/>
      <c r="M554" s="26"/>
    </row>
    <row r="555" spans="1:13" ht="12">
      <c r="A555" s="30">
        <v>17</v>
      </c>
      <c r="C555" s="31" t="s">
        <v>32</v>
      </c>
      <c r="E555" s="30">
        <v>17</v>
      </c>
      <c r="F555" s="30"/>
      <c r="G555" s="135"/>
      <c r="H555" s="2"/>
      <c r="I555" s="86"/>
      <c r="J555" s="2">
        <v>0</v>
      </c>
      <c r="K555" s="2"/>
      <c r="L555" s="26"/>
      <c r="M555" s="26"/>
    </row>
    <row r="556" spans="1:13" ht="12">
      <c r="A556" s="30">
        <v>18</v>
      </c>
      <c r="C556" s="31"/>
      <c r="E556" s="30">
        <v>18</v>
      </c>
      <c r="F556" s="30"/>
      <c r="G556" s="135"/>
      <c r="H556" s="2"/>
      <c r="I556" s="86"/>
      <c r="J556" s="2"/>
      <c r="K556" s="2"/>
      <c r="L556" s="26"/>
      <c r="M556" s="26"/>
    </row>
    <row r="557" spans="1:13" ht="12">
      <c r="A557" s="30">
        <v>19</v>
      </c>
      <c r="C557" s="31"/>
      <c r="E557" s="30">
        <v>19</v>
      </c>
      <c r="F557" s="30"/>
      <c r="G557" s="135"/>
      <c r="H557" s="2"/>
      <c r="I557" s="86"/>
      <c r="J557" s="2"/>
      <c r="K557" s="2"/>
      <c r="L557" s="26"/>
      <c r="M557" s="26"/>
    </row>
    <row r="558" spans="1:13" ht="12">
      <c r="A558" s="30">
        <v>20</v>
      </c>
      <c r="C558" s="31"/>
      <c r="E558" s="30">
        <v>20</v>
      </c>
      <c r="F558" s="30"/>
      <c r="G558" s="135"/>
      <c r="H558" s="2"/>
      <c r="I558" s="86"/>
      <c r="J558" s="2"/>
      <c r="K558" s="2"/>
      <c r="L558" s="26"/>
      <c r="M558" s="26"/>
    </row>
    <row r="559" spans="1:13" ht="12">
      <c r="A559" s="30">
        <v>21</v>
      </c>
      <c r="C559" s="31"/>
      <c r="E559" s="30">
        <v>21</v>
      </c>
      <c r="F559" s="30"/>
      <c r="G559" s="135"/>
      <c r="H559" s="2"/>
      <c r="I559" s="86"/>
      <c r="J559" s="2"/>
      <c r="K559" s="2"/>
      <c r="L559" s="26"/>
      <c r="M559" s="26"/>
    </row>
    <row r="560" spans="1:13" ht="12">
      <c r="A560" s="30">
        <v>22</v>
      </c>
      <c r="C560" s="31"/>
      <c r="E560" s="30">
        <v>22</v>
      </c>
      <c r="F560" s="30"/>
      <c r="G560" s="135"/>
      <c r="H560" s="2"/>
      <c r="I560" s="86"/>
      <c r="J560" s="2"/>
      <c r="K560" s="2"/>
      <c r="L560" s="26"/>
      <c r="M560" s="26"/>
    </row>
    <row r="561" spans="1:13" ht="12">
      <c r="A561" s="30">
        <v>23</v>
      </c>
      <c r="C561" s="31"/>
      <c r="E561" s="30">
        <v>23</v>
      </c>
      <c r="F561" s="30"/>
      <c r="G561" s="135"/>
      <c r="H561" s="2"/>
      <c r="I561" s="86"/>
      <c r="J561" s="2"/>
      <c r="K561" s="2"/>
      <c r="L561" s="26"/>
      <c r="M561" s="26"/>
    </row>
    <row r="562" spans="1:13" ht="12">
      <c r="A562" s="30">
        <v>24</v>
      </c>
      <c r="C562" s="31"/>
      <c r="E562" s="30">
        <v>24</v>
      </c>
      <c r="F562" s="30"/>
      <c r="G562" s="135"/>
      <c r="H562" s="2"/>
      <c r="I562" s="86"/>
      <c r="J562" s="2"/>
      <c r="K562" s="2"/>
      <c r="L562" s="26"/>
      <c r="M562" s="26"/>
    </row>
    <row r="563" spans="5:13" ht="12">
      <c r="E563" s="69"/>
      <c r="F563" s="42" t="s">
        <v>1</v>
      </c>
      <c r="G563" s="42" t="s">
        <v>1</v>
      </c>
      <c r="H563" s="42" t="s">
        <v>1</v>
      </c>
      <c r="I563" s="42" t="s">
        <v>1</v>
      </c>
      <c r="J563" s="42" t="s">
        <v>1</v>
      </c>
      <c r="K563" s="42"/>
      <c r="L563" s="42" t="s">
        <v>1</v>
      </c>
      <c r="M563" s="42" t="s">
        <v>1</v>
      </c>
    </row>
    <row r="564" spans="1:13" ht="13.5" customHeight="1">
      <c r="A564" s="30">
        <v>25</v>
      </c>
      <c r="C564" s="31" t="s">
        <v>225</v>
      </c>
      <c r="E564" s="30">
        <v>25</v>
      </c>
      <c r="F564" s="30"/>
      <c r="G564" s="136">
        <f>SUM(G548:G555)</f>
        <v>1.3217533090351046</v>
      </c>
      <c r="H564" s="84">
        <f>SUM(H548:H555)</f>
        <v>106788</v>
      </c>
      <c r="I564" s="83">
        <f>SUM(I548:I555)</f>
        <v>0</v>
      </c>
      <c r="J564" s="84">
        <f>SUM(J548:J555)</f>
        <v>57658</v>
      </c>
      <c r="K564" s="84"/>
      <c r="L564" s="121">
        <f>SUM(L548:L557)</f>
        <v>0</v>
      </c>
      <c r="M564" s="121">
        <f>SUM(M548:M557)</f>
        <v>0</v>
      </c>
    </row>
    <row r="565" spans="5:13" ht="12">
      <c r="E565" s="69"/>
      <c r="F565" s="109" t="s">
        <v>1</v>
      </c>
      <c r="G565" s="109"/>
      <c r="H565" s="109"/>
      <c r="I565" s="41" t="s">
        <v>1</v>
      </c>
      <c r="J565" s="42" t="s">
        <v>1</v>
      </c>
      <c r="K565" s="109" t="s">
        <v>1</v>
      </c>
      <c r="L565" s="41" t="s">
        <v>1</v>
      </c>
      <c r="M565" s="42" t="s">
        <v>1</v>
      </c>
    </row>
    <row r="566" spans="1:13" ht="12">
      <c r="A566" s="31"/>
      <c r="J566" s="74"/>
      <c r="M566" s="74"/>
    </row>
    <row r="567" spans="10:13" ht="12">
      <c r="J567" s="74"/>
      <c r="M567" s="74"/>
    </row>
    <row r="568" spans="1:13" s="65" customFormat="1" ht="12">
      <c r="A568" s="38" t="str">
        <f>$A$36</f>
        <v>Institution No.:  GFE</v>
      </c>
      <c r="E568" s="70"/>
      <c r="I568" s="71"/>
      <c r="J568" s="72"/>
      <c r="L568" s="71"/>
      <c r="M568" s="37" t="s">
        <v>39</v>
      </c>
    </row>
    <row r="569" spans="1:13" s="65" customFormat="1" ht="12">
      <c r="A569" s="414" t="s">
        <v>150</v>
      </c>
      <c r="B569" s="414"/>
      <c r="C569" s="414"/>
      <c r="D569" s="414"/>
      <c r="E569" s="414"/>
      <c r="F569" s="414"/>
      <c r="G569" s="414"/>
      <c r="H569" s="414"/>
      <c r="I569" s="414"/>
      <c r="J569" s="414"/>
      <c r="K569" s="414"/>
      <c r="L569" s="414"/>
      <c r="M569" s="414"/>
    </row>
    <row r="570" spans="1:13" ht="12">
      <c r="A570" s="38" t="s">
        <v>551</v>
      </c>
      <c r="C570" s="26" t="s">
        <v>553</v>
      </c>
      <c r="I570" s="124"/>
      <c r="J570" s="105"/>
      <c r="L570" s="36"/>
      <c r="M570" s="39" t="str">
        <f>$M$3</f>
        <v>Date: 10/1/2009</v>
      </c>
    </row>
    <row r="571" spans="1:13" ht="12">
      <c r="A571" s="40" t="s">
        <v>1</v>
      </c>
      <c r="B571" s="40" t="s">
        <v>1</v>
      </c>
      <c r="C571" s="40" t="s">
        <v>1</v>
      </c>
      <c r="D571" s="40" t="s">
        <v>1</v>
      </c>
      <c r="E571" s="40" t="s">
        <v>1</v>
      </c>
      <c r="F571" s="40" t="s">
        <v>1</v>
      </c>
      <c r="G571" s="40"/>
      <c r="H571" s="40"/>
      <c r="I571" s="41" t="s">
        <v>1</v>
      </c>
      <c r="J571" s="42" t="s">
        <v>1</v>
      </c>
      <c r="K571" s="40" t="s">
        <v>1</v>
      </c>
      <c r="L571" s="41" t="s">
        <v>1</v>
      </c>
      <c r="M571" s="42" t="s">
        <v>1</v>
      </c>
    </row>
    <row r="572" spans="1:13" ht="12">
      <c r="A572" s="43" t="s">
        <v>2</v>
      </c>
      <c r="E572" s="43" t="s">
        <v>2</v>
      </c>
      <c r="F572" s="43"/>
      <c r="G572" s="45"/>
      <c r="H572" s="46" t="s">
        <v>240</v>
      </c>
      <c r="I572" s="45"/>
      <c r="J572" s="46" t="s">
        <v>247</v>
      </c>
      <c r="K572" s="46"/>
      <c r="L572" s="26"/>
      <c r="M572" s="44" t="s">
        <v>576</v>
      </c>
    </row>
    <row r="573" spans="1:13" ht="12">
      <c r="A573" s="43" t="s">
        <v>4</v>
      </c>
      <c r="C573" s="47" t="s">
        <v>20</v>
      </c>
      <c r="E573" s="43" t="s">
        <v>4</v>
      </c>
      <c r="F573" s="43"/>
      <c r="G573" s="45" t="s">
        <v>6</v>
      </c>
      <c r="H573" s="46" t="s">
        <v>7</v>
      </c>
      <c r="I573" s="45" t="s">
        <v>6</v>
      </c>
      <c r="J573" s="46" t="s">
        <v>7</v>
      </c>
      <c r="K573" s="46"/>
      <c r="L573" s="44" t="s">
        <v>21</v>
      </c>
      <c r="M573" s="44" t="s">
        <v>8</v>
      </c>
    </row>
    <row r="574" spans="1:13" ht="12">
      <c r="A574" s="40" t="s">
        <v>1</v>
      </c>
      <c r="B574" s="40" t="s">
        <v>1</v>
      </c>
      <c r="C574" s="40" t="s">
        <v>1</v>
      </c>
      <c r="D574" s="40" t="s">
        <v>1</v>
      </c>
      <c r="E574" s="40" t="s">
        <v>1</v>
      </c>
      <c r="F574" s="40"/>
      <c r="G574" s="41" t="s">
        <v>1</v>
      </c>
      <c r="H574" s="42" t="s">
        <v>1</v>
      </c>
      <c r="I574" s="137" t="s">
        <v>1</v>
      </c>
      <c r="J574" s="42" t="s">
        <v>1</v>
      </c>
      <c r="K574" s="42"/>
      <c r="L574" s="42" t="s">
        <v>1</v>
      </c>
      <c r="M574" s="42" t="s">
        <v>1</v>
      </c>
    </row>
    <row r="575" spans="1:13" ht="12">
      <c r="A575" s="30">
        <v>1</v>
      </c>
      <c r="C575" s="31" t="s">
        <v>36</v>
      </c>
      <c r="E575" s="30">
        <v>1</v>
      </c>
      <c r="F575" s="30"/>
      <c r="G575" s="138">
        <f>H575/109843</f>
        <v>66.65103830011927</v>
      </c>
      <c r="H575" s="1">
        <f>2450804+133327+10250+4408773-712+195176+125973-96423+93982</f>
        <v>7321150</v>
      </c>
      <c r="I575" s="138">
        <f>J575/115332</f>
        <v>68.43124197967606</v>
      </c>
      <c r="J575" s="21">
        <f>2389140+102517+48261+4999115+230553+122726</f>
        <v>7892312</v>
      </c>
      <c r="K575" s="21"/>
      <c r="L575" s="138">
        <v>69.68186626434986</v>
      </c>
      <c r="M575" s="28">
        <f>3591491+9000+5255669+61389+119000-1000000</f>
        <v>8036549</v>
      </c>
    </row>
    <row r="576" spans="1:13" ht="12">
      <c r="A576" s="30">
        <v>2</v>
      </c>
      <c r="C576" s="31" t="s">
        <v>37</v>
      </c>
      <c r="E576" s="30">
        <v>2</v>
      </c>
      <c r="F576" s="30"/>
      <c r="G576" s="138"/>
      <c r="H576" s="1">
        <f>716566+13507+1003254+45461+29742-177141-137601-18024+17568</f>
        <v>1493332</v>
      </c>
      <c r="I576" s="138"/>
      <c r="J576" s="21">
        <f>793757+11084+4384+1144561+50630+27328-52029-164588-38549-135555</f>
        <v>1641023</v>
      </c>
      <c r="K576" s="21"/>
      <c r="L576" s="26"/>
      <c r="M576" s="28">
        <f>920949+1171057+34473+27474-230000</f>
        <v>1923953</v>
      </c>
    </row>
    <row r="577" spans="1:12" ht="12">
      <c r="A577" s="30">
        <v>3</v>
      </c>
      <c r="E577" s="30">
        <v>3</v>
      </c>
      <c r="F577" s="30"/>
      <c r="G577" s="138"/>
      <c r="H577" s="1"/>
      <c r="I577" s="138"/>
      <c r="J577" s="259">
        <v>0</v>
      </c>
      <c r="K577" s="259"/>
      <c r="L577" s="26"/>
    </row>
    <row r="578" spans="1:13" ht="12">
      <c r="A578" s="30">
        <v>4</v>
      </c>
      <c r="C578" s="31" t="s">
        <v>23</v>
      </c>
      <c r="E578" s="30">
        <v>4</v>
      </c>
      <c r="F578" s="30"/>
      <c r="G578" s="138">
        <f aca="true" t="shared" si="29" ref="G578:M578">SUM(G575:G577)</f>
        <v>66.65103830011927</v>
      </c>
      <c r="H578" s="1">
        <f t="shared" si="29"/>
        <v>8814482</v>
      </c>
      <c r="I578" s="138">
        <f t="shared" si="29"/>
        <v>68.43124197967606</v>
      </c>
      <c r="J578" s="19">
        <f t="shared" si="29"/>
        <v>9533335</v>
      </c>
      <c r="K578" s="19"/>
      <c r="L578" s="138">
        <f t="shared" si="29"/>
        <v>69.68186626434986</v>
      </c>
      <c r="M578" s="28">
        <f t="shared" si="29"/>
        <v>9960502</v>
      </c>
    </row>
    <row r="579" spans="1:12" ht="12">
      <c r="A579" s="30">
        <v>5</v>
      </c>
      <c r="E579" s="30">
        <v>5</v>
      </c>
      <c r="F579" s="30"/>
      <c r="G579" s="138"/>
      <c r="H579" s="1"/>
      <c r="I579" s="138"/>
      <c r="J579" s="19"/>
      <c r="K579" s="19"/>
      <c r="L579" s="26"/>
    </row>
    <row r="580" spans="1:12" ht="12">
      <c r="A580" s="30">
        <v>6</v>
      </c>
      <c r="E580" s="30">
        <v>6</v>
      </c>
      <c r="F580" s="30"/>
      <c r="G580" s="138"/>
      <c r="H580" s="1"/>
      <c r="I580" s="138"/>
      <c r="J580" s="19"/>
      <c r="K580" s="19"/>
      <c r="L580" s="26"/>
    </row>
    <row r="581" spans="1:13" ht="12">
      <c r="A581" s="30">
        <v>7</v>
      </c>
      <c r="C581" s="31" t="s">
        <v>25</v>
      </c>
      <c r="E581" s="30">
        <v>7</v>
      </c>
      <c r="F581" s="30"/>
      <c r="G581" s="138">
        <f>H581/53459</f>
        <v>58.65459511027142</v>
      </c>
      <c r="H581" s="1">
        <f>3078403+57557-13580+13236</f>
        <v>3135616</v>
      </c>
      <c r="I581" s="138">
        <f>J581/56139</f>
        <v>56.98213363259053</v>
      </c>
      <c r="J581" s="21">
        <f>3176914-89+22095</f>
        <v>3198920</v>
      </c>
      <c r="K581" s="21"/>
      <c r="L581" s="102">
        <v>61.85753219686849</v>
      </c>
      <c r="M581" s="28">
        <f>3358486+114134</f>
        <v>3472620</v>
      </c>
    </row>
    <row r="582" spans="1:13" ht="12">
      <c r="A582" s="30">
        <v>8</v>
      </c>
      <c r="C582" s="31" t="s">
        <v>26</v>
      </c>
      <c r="E582" s="30">
        <v>8</v>
      </c>
      <c r="F582" s="30"/>
      <c r="G582" s="138"/>
      <c r="H582" s="1">
        <f>857225+15950-128779-3696+3602</f>
        <v>744302</v>
      </c>
      <c r="I582" s="138"/>
      <c r="J582" s="21">
        <f>941420+4945-70840-53681-7786</f>
        <v>814058</v>
      </c>
      <c r="K582" s="21"/>
      <c r="L582" s="26"/>
      <c r="M582" s="28">
        <f>967782</f>
        <v>967782</v>
      </c>
    </row>
    <row r="583" spans="1:13" ht="12">
      <c r="A583" s="30">
        <v>9</v>
      </c>
      <c r="C583" s="31" t="s">
        <v>27</v>
      </c>
      <c r="E583" s="30">
        <v>9</v>
      </c>
      <c r="F583" s="30"/>
      <c r="G583" s="138">
        <f aca="true" t="shared" si="30" ref="G583:M583">SUM(G581:G582)</f>
        <v>58.65459511027142</v>
      </c>
      <c r="H583" s="1">
        <f t="shared" si="30"/>
        <v>3879918</v>
      </c>
      <c r="I583" s="138">
        <f t="shared" si="30"/>
        <v>56.98213363259053</v>
      </c>
      <c r="J583" s="19">
        <f t="shared" si="30"/>
        <v>4012978</v>
      </c>
      <c r="K583" s="19"/>
      <c r="L583" s="102">
        <f t="shared" si="30"/>
        <v>61.85753219686849</v>
      </c>
      <c r="M583" s="28">
        <f t="shared" si="30"/>
        <v>4440402</v>
      </c>
    </row>
    <row r="584" spans="1:12" ht="12">
      <c r="A584" s="30">
        <v>10</v>
      </c>
      <c r="E584" s="30">
        <v>10</v>
      </c>
      <c r="F584" s="30"/>
      <c r="G584" s="138"/>
      <c r="H584" s="1"/>
      <c r="I584" s="138"/>
      <c r="J584" s="19"/>
      <c r="K584" s="19"/>
      <c r="L584" s="26"/>
    </row>
    <row r="585" spans="1:13" ht="12">
      <c r="A585" s="30">
        <v>11</v>
      </c>
      <c r="C585" s="31" t="s">
        <v>28</v>
      </c>
      <c r="E585" s="30">
        <v>11</v>
      </c>
      <c r="F585" s="30"/>
      <c r="G585" s="139">
        <f>SUM(G578,G583)</f>
        <v>125.3056334103907</v>
      </c>
      <c r="H585" s="121">
        <f>SUM(H583,H578)</f>
        <v>12694400</v>
      </c>
      <c r="I585" s="139">
        <f>SUM(I578,I583)</f>
        <v>125.41337561226659</v>
      </c>
      <c r="J585" s="19">
        <f>SUM(J583,J578)</f>
        <v>13546313</v>
      </c>
      <c r="K585" s="19"/>
      <c r="L585" s="139">
        <f>SUM(L578,L583)</f>
        <v>131.53939846121835</v>
      </c>
      <c r="M585" s="28">
        <f>SUM(M583,M578)</f>
        <v>14400904</v>
      </c>
    </row>
    <row r="586" spans="1:12" ht="12">
      <c r="A586" s="30">
        <v>12</v>
      </c>
      <c r="E586" s="30">
        <v>12</v>
      </c>
      <c r="F586" s="30"/>
      <c r="G586" s="139"/>
      <c r="H586" s="121"/>
      <c r="I586" s="139"/>
      <c r="J586" s="19"/>
      <c r="K586" s="19"/>
      <c r="L586" s="26"/>
    </row>
    <row r="587" spans="1:13" ht="12">
      <c r="A587" s="30">
        <v>13</v>
      </c>
      <c r="C587" s="31" t="s">
        <v>38</v>
      </c>
      <c r="E587" s="30">
        <v>13</v>
      </c>
      <c r="F587" s="30"/>
      <c r="G587" s="138">
        <f>H587/26954</f>
        <v>5.381984121095199</v>
      </c>
      <c r="H587" s="1">
        <f>47688+206+96886+286</f>
        <v>145066</v>
      </c>
      <c r="I587" s="138">
        <f>J587/26958</f>
        <v>2.926292751687811</v>
      </c>
      <c r="J587" s="21">
        <f>77719+491+675+2</f>
        <v>78887</v>
      </c>
      <c r="K587" s="21"/>
      <c r="L587" s="26">
        <f>1.37</f>
        <v>1.37</v>
      </c>
      <c r="M587" s="28">
        <f>68795</f>
        <v>68795</v>
      </c>
    </row>
    <row r="588" spans="1:12" ht="12">
      <c r="A588" s="30">
        <v>14</v>
      </c>
      <c r="E588" s="30">
        <v>14</v>
      </c>
      <c r="F588" s="30"/>
      <c r="G588" s="138"/>
      <c r="H588" s="1"/>
      <c r="I588" s="138"/>
      <c r="J588" s="21"/>
      <c r="K588" s="21"/>
      <c r="L588" s="26"/>
    </row>
    <row r="589" spans="1:13" ht="12">
      <c r="A589" s="30">
        <v>15</v>
      </c>
      <c r="C589" s="31" t="s">
        <v>30</v>
      </c>
      <c r="E589" s="30">
        <v>15</v>
      </c>
      <c r="F589" s="30"/>
      <c r="G589" s="138"/>
      <c r="H589" s="1">
        <f>131879-198</f>
        <v>131681</v>
      </c>
      <c r="I589" s="138"/>
      <c r="J589" s="21">
        <f>166473+2841</f>
        <v>169314</v>
      </c>
      <c r="K589" s="21"/>
      <c r="L589" s="26"/>
      <c r="M589" s="28">
        <v>66500</v>
      </c>
    </row>
    <row r="590" spans="1:13" ht="12">
      <c r="A590" s="30">
        <v>16</v>
      </c>
      <c r="C590" s="31" t="s">
        <v>31</v>
      </c>
      <c r="E590" s="30">
        <v>16</v>
      </c>
      <c r="F590" s="30"/>
      <c r="G590" s="138"/>
      <c r="H590" s="1">
        <f>27855+2442461+46403-378864+2098129-1967494+1917684-46403-161878-68805+1240137</f>
        <v>5149225</v>
      </c>
      <c r="I590" s="138"/>
      <c r="J590" s="21">
        <f>2360039+4552-316011+305028-35849-237697-4552</f>
        <v>2075510</v>
      </c>
      <c r="K590" s="21"/>
      <c r="L590" s="26"/>
      <c r="M590" s="28">
        <f>-160161+2486851+1760636-314610+474289-27391-489757-700000-700000</f>
        <v>2329857</v>
      </c>
    </row>
    <row r="591" spans="1:12" ht="12">
      <c r="A591" s="30"/>
      <c r="C591" s="31"/>
      <c r="E591" s="30"/>
      <c r="F591" s="30"/>
      <c r="G591" s="138"/>
      <c r="H591" s="1"/>
      <c r="I591" s="138"/>
      <c r="J591" s="21"/>
      <c r="K591" s="21"/>
      <c r="L591" s="26"/>
    </row>
    <row r="592" spans="1:12" ht="12">
      <c r="A592" s="30">
        <v>17</v>
      </c>
      <c r="C592" s="31" t="s">
        <v>32</v>
      </c>
      <c r="E592" s="30">
        <v>17</v>
      </c>
      <c r="F592" s="30"/>
      <c r="G592" s="138"/>
      <c r="H592" s="1"/>
      <c r="I592" s="138"/>
      <c r="J592" s="21"/>
      <c r="K592" s="21"/>
      <c r="L592" s="26"/>
    </row>
    <row r="593" spans="1:13" ht="12">
      <c r="A593" s="30">
        <v>18</v>
      </c>
      <c r="C593" s="31" t="s">
        <v>40</v>
      </c>
      <c r="E593" s="30">
        <v>18</v>
      </c>
      <c r="F593" s="30"/>
      <c r="G593" s="138"/>
      <c r="H593" s="1">
        <f>1903248-1604429</f>
        <v>298819</v>
      </c>
      <c r="I593" s="138"/>
      <c r="J593" s="21">
        <f>1792584-1446308</f>
        <v>346276</v>
      </c>
      <c r="K593" s="21"/>
      <c r="L593" s="26"/>
      <c r="M593" s="28">
        <v>489757</v>
      </c>
    </row>
    <row r="594" spans="1:12" ht="12">
      <c r="A594" s="30">
        <v>19</v>
      </c>
      <c r="C594" s="31" t="s">
        <v>42</v>
      </c>
      <c r="E594" s="30">
        <v>19</v>
      </c>
      <c r="F594" s="30"/>
      <c r="G594" s="138"/>
      <c r="H594" s="1">
        <v>0</v>
      </c>
      <c r="I594" s="138"/>
      <c r="J594" s="260"/>
      <c r="K594" s="260"/>
      <c r="L594" s="26"/>
    </row>
    <row r="595" spans="1:12" ht="12">
      <c r="A595" s="30">
        <v>20</v>
      </c>
      <c r="C595" s="31" t="s">
        <v>103</v>
      </c>
      <c r="E595" s="30">
        <v>20</v>
      </c>
      <c r="F595" s="30"/>
      <c r="G595" s="138"/>
      <c r="H595" s="1">
        <v>0</v>
      </c>
      <c r="I595" s="138"/>
      <c r="J595" s="1">
        <v>0</v>
      </c>
      <c r="K595" s="1"/>
      <c r="L595" s="26"/>
    </row>
    <row r="596" spans="1:12" ht="12">
      <c r="A596" s="30">
        <v>21</v>
      </c>
      <c r="C596" s="31"/>
      <c r="E596" s="30">
        <v>21</v>
      </c>
      <c r="F596" s="30"/>
      <c r="G596" s="138"/>
      <c r="H596" s="1"/>
      <c r="I596" s="138"/>
      <c r="J596" s="1"/>
      <c r="K596" s="1"/>
      <c r="L596" s="26"/>
    </row>
    <row r="597" spans="1:12" ht="12">
      <c r="A597" s="30">
        <v>22</v>
      </c>
      <c r="C597" s="31"/>
      <c r="E597" s="30">
        <v>22</v>
      </c>
      <c r="F597" s="30"/>
      <c r="G597" s="138"/>
      <c r="H597" s="1"/>
      <c r="I597" s="138"/>
      <c r="J597" s="1"/>
      <c r="K597" s="1"/>
      <c r="L597" s="26"/>
    </row>
    <row r="598" spans="1:12" ht="12">
      <c r="A598" s="30">
        <v>23</v>
      </c>
      <c r="C598" s="31"/>
      <c r="E598" s="30">
        <v>23</v>
      </c>
      <c r="F598" s="30"/>
      <c r="G598" s="138"/>
      <c r="H598" s="1"/>
      <c r="I598" s="138"/>
      <c r="J598" s="1"/>
      <c r="K598" s="1"/>
      <c r="L598" s="26"/>
    </row>
    <row r="599" spans="1:12" ht="12">
      <c r="A599" s="30">
        <v>24</v>
      </c>
      <c r="C599" s="31"/>
      <c r="E599" s="30">
        <v>24</v>
      </c>
      <c r="F599" s="30"/>
      <c r="G599" s="138"/>
      <c r="H599" s="1"/>
      <c r="I599" s="138"/>
      <c r="J599" s="1"/>
      <c r="K599" s="1"/>
      <c r="L599" s="26"/>
    </row>
    <row r="600" spans="5:13" ht="12">
      <c r="E600" s="69"/>
      <c r="F600" s="137" t="s">
        <v>1</v>
      </c>
      <c r="G600" s="137" t="s">
        <v>1</v>
      </c>
      <c r="H600" s="42" t="s">
        <v>1</v>
      </c>
      <c r="I600" s="137" t="s">
        <v>1</v>
      </c>
      <c r="J600" s="42" t="s">
        <v>1</v>
      </c>
      <c r="K600" s="42"/>
      <c r="L600" s="42" t="s">
        <v>1</v>
      </c>
      <c r="M600" s="42" t="s">
        <v>1</v>
      </c>
    </row>
    <row r="601" spans="1:13" ht="13.5" customHeight="1">
      <c r="A601" s="30">
        <v>25</v>
      </c>
      <c r="C601" s="31" t="s">
        <v>226</v>
      </c>
      <c r="E601" s="30">
        <v>25</v>
      </c>
      <c r="F601" s="30"/>
      <c r="G601" s="132">
        <f aca="true" t="shared" si="31" ref="G601:M601">SUM(G585:G598)</f>
        <v>130.6876175314859</v>
      </c>
      <c r="H601" s="121">
        <f t="shared" si="31"/>
        <v>18419191</v>
      </c>
      <c r="I601" s="132">
        <f t="shared" si="31"/>
        <v>128.3396683639544</v>
      </c>
      <c r="J601" s="121">
        <f t="shared" si="31"/>
        <v>16216300</v>
      </c>
      <c r="K601" s="121"/>
      <c r="L601" s="254">
        <f t="shared" si="31"/>
        <v>132.90939846121836</v>
      </c>
      <c r="M601" s="28">
        <f t="shared" si="31"/>
        <v>17355813</v>
      </c>
    </row>
    <row r="602" spans="5:13" ht="12">
      <c r="E602" s="69"/>
      <c r="F602" s="109" t="s">
        <v>1</v>
      </c>
      <c r="G602" s="109"/>
      <c r="H602" s="109"/>
      <c r="I602" s="41"/>
      <c r="J602" s="42"/>
      <c r="K602" s="109"/>
      <c r="L602" s="41"/>
      <c r="M602" s="42"/>
    </row>
    <row r="603" ht="12">
      <c r="A603" s="31"/>
    </row>
    <row r="605" spans="1:13" s="65" customFormat="1" ht="12">
      <c r="A605" s="38" t="str">
        <f>$A$36</f>
        <v>Institution No.:  GFE</v>
      </c>
      <c r="E605" s="70"/>
      <c r="I605" s="71"/>
      <c r="J605" s="72"/>
      <c r="L605" s="71"/>
      <c r="M605" s="37" t="s">
        <v>41</v>
      </c>
    </row>
    <row r="606" spans="1:13" s="65" customFormat="1" ht="12">
      <c r="A606" s="414" t="s">
        <v>151</v>
      </c>
      <c r="B606" s="414"/>
      <c r="C606" s="414"/>
      <c r="D606" s="414"/>
      <c r="E606" s="414"/>
      <c r="F606" s="414"/>
      <c r="G606" s="414"/>
      <c r="H606" s="414"/>
      <c r="I606" s="414"/>
      <c r="J606" s="414"/>
      <c r="K606" s="414"/>
      <c r="L606" s="414"/>
      <c r="M606" s="414"/>
    </row>
    <row r="607" spans="1:13" ht="12">
      <c r="A607" s="38" t="s">
        <v>551</v>
      </c>
      <c r="C607" s="26" t="s">
        <v>553</v>
      </c>
      <c r="I607" s="124"/>
      <c r="J607" s="105"/>
      <c r="L607" s="36"/>
      <c r="M607" s="39" t="str">
        <f>$M$3</f>
        <v>Date: 10/1/2009</v>
      </c>
    </row>
    <row r="608" spans="1:13" ht="12">
      <c r="A608" s="40" t="s">
        <v>1</v>
      </c>
      <c r="B608" s="40" t="s">
        <v>1</v>
      </c>
      <c r="C608" s="40" t="s">
        <v>1</v>
      </c>
      <c r="D608" s="40" t="s">
        <v>1</v>
      </c>
      <c r="E608" s="40" t="s">
        <v>1</v>
      </c>
      <c r="F608" s="40" t="s">
        <v>1</v>
      </c>
      <c r="G608" s="40"/>
      <c r="H608" s="40"/>
      <c r="I608" s="41" t="s">
        <v>1</v>
      </c>
      <c r="J608" s="42" t="s">
        <v>1</v>
      </c>
      <c r="K608" s="40" t="s">
        <v>1</v>
      </c>
      <c r="L608" s="41" t="s">
        <v>1</v>
      </c>
      <c r="M608" s="42" t="s">
        <v>1</v>
      </c>
    </row>
    <row r="609" spans="1:13" ht="12">
      <c r="A609" s="43" t="s">
        <v>2</v>
      </c>
      <c r="E609" s="43" t="s">
        <v>2</v>
      </c>
      <c r="F609" s="43"/>
      <c r="G609" s="45"/>
      <c r="H609" s="46" t="s">
        <v>240</v>
      </c>
      <c r="I609" s="45"/>
      <c r="J609" s="46" t="s">
        <v>247</v>
      </c>
      <c r="K609" s="46"/>
      <c r="L609" s="26"/>
      <c r="M609" s="44" t="s">
        <v>576</v>
      </c>
    </row>
    <row r="610" spans="1:13" ht="12">
      <c r="A610" s="43" t="s">
        <v>4</v>
      </c>
      <c r="C610" s="47" t="s">
        <v>20</v>
      </c>
      <c r="E610" s="43" t="s">
        <v>4</v>
      </c>
      <c r="F610" s="43"/>
      <c r="G610" s="45" t="s">
        <v>6</v>
      </c>
      <c r="H610" s="46" t="s">
        <v>7</v>
      </c>
      <c r="I610" s="45" t="s">
        <v>6</v>
      </c>
      <c r="J610" s="46" t="s">
        <v>7</v>
      </c>
      <c r="K610" s="46"/>
      <c r="L610" s="44" t="s">
        <v>21</v>
      </c>
      <c r="M610" s="44" t="s">
        <v>8</v>
      </c>
    </row>
    <row r="611" spans="1:13" ht="12">
      <c r="A611" s="40" t="s">
        <v>1</v>
      </c>
      <c r="B611" s="40" t="s">
        <v>1</v>
      </c>
      <c r="C611" s="40" t="s">
        <v>1</v>
      </c>
      <c r="D611" s="40" t="s">
        <v>1</v>
      </c>
      <c r="E611" s="40" t="s">
        <v>1</v>
      </c>
      <c r="F611" s="40"/>
      <c r="G611" s="41" t="s">
        <v>1</v>
      </c>
      <c r="H611" s="42" t="s">
        <v>1</v>
      </c>
      <c r="I611" s="41" t="s">
        <v>1</v>
      </c>
      <c r="J611" s="42" t="s">
        <v>1</v>
      </c>
      <c r="K611" s="42"/>
      <c r="L611" s="42" t="s">
        <v>1</v>
      </c>
      <c r="M611" s="42" t="s">
        <v>1</v>
      </c>
    </row>
    <row r="612" spans="1:13" ht="12">
      <c r="A612" s="30">
        <v>1</v>
      </c>
      <c r="C612" s="31" t="s">
        <v>36</v>
      </c>
      <c r="E612" s="30">
        <v>1</v>
      </c>
      <c r="F612" s="30"/>
      <c r="G612" s="86">
        <f>H612/68284</f>
        <v>5.204396344678109</v>
      </c>
      <c r="H612" s="2">
        <f>165+263043+92169</f>
        <v>355377</v>
      </c>
      <c r="I612" s="86">
        <f>J612/71791</f>
        <v>5.636904347341589</v>
      </c>
      <c r="J612" s="21">
        <f>827+4624+258526+140702</f>
        <v>404679</v>
      </c>
      <c r="K612" s="21"/>
      <c r="L612" s="287">
        <v>5.8881336100625425</v>
      </c>
      <c r="M612" s="28">
        <f>267613+182058-26956</f>
        <v>422715</v>
      </c>
    </row>
    <row r="613" spans="1:13" ht="12">
      <c r="A613" s="30">
        <v>2</v>
      </c>
      <c r="C613" s="31" t="s">
        <v>37</v>
      </c>
      <c r="E613" s="30">
        <v>2</v>
      </c>
      <c r="F613" s="30"/>
      <c r="G613" s="86"/>
      <c r="H613" s="2">
        <f>17858+13+93080+22006-17858-28898</f>
        <v>86201</v>
      </c>
      <c r="I613" s="86"/>
      <c r="J613" s="21">
        <f>28921+364+96641+36310-68-24473-4087-30828</f>
        <v>102780</v>
      </c>
      <c r="K613" s="21"/>
      <c r="L613" s="26"/>
      <c r="M613" s="28">
        <f>876+73463+55545-9518</f>
        <v>120366</v>
      </c>
    </row>
    <row r="614" spans="1:12" ht="12">
      <c r="A614" s="30">
        <v>3</v>
      </c>
      <c r="E614" s="30">
        <v>3</v>
      </c>
      <c r="F614" s="30"/>
      <c r="G614" s="86"/>
      <c r="H614" s="2"/>
      <c r="I614" s="86"/>
      <c r="J614" s="21"/>
      <c r="K614" s="21"/>
      <c r="L614" s="26"/>
    </row>
    <row r="615" spans="1:13" ht="12">
      <c r="A615" s="30">
        <v>4</v>
      </c>
      <c r="C615" s="31" t="s">
        <v>23</v>
      </c>
      <c r="E615" s="30">
        <v>4</v>
      </c>
      <c r="F615" s="30"/>
      <c r="G615" s="86">
        <f>SUM(G612:G614)</f>
        <v>5.204396344678109</v>
      </c>
      <c r="H615" s="2">
        <f>SUM(H612:H614)</f>
        <v>441578</v>
      </c>
      <c r="I615" s="86">
        <f>SUM(I612:I614)</f>
        <v>5.636904347341589</v>
      </c>
      <c r="J615" s="19">
        <f>SUM(J612:J613)</f>
        <v>507459</v>
      </c>
      <c r="K615" s="19"/>
      <c r="L615" s="86">
        <f>SUM(L612:L614)</f>
        <v>5.8881336100625425</v>
      </c>
      <c r="M615" s="28">
        <f>SUM(M612:M613)</f>
        <v>543081</v>
      </c>
    </row>
    <row r="616" spans="1:12" ht="12">
      <c r="A616" s="30">
        <v>5</v>
      </c>
      <c r="E616" s="30">
        <v>5</v>
      </c>
      <c r="F616" s="30"/>
      <c r="G616" s="86"/>
      <c r="H616" s="2"/>
      <c r="I616" s="86"/>
      <c r="J616" s="19"/>
      <c r="K616" s="19"/>
      <c r="L616" s="26"/>
    </row>
    <row r="617" spans="1:12" ht="12">
      <c r="A617" s="30">
        <v>6</v>
      </c>
      <c r="E617" s="30">
        <v>6</v>
      </c>
      <c r="F617" s="30"/>
      <c r="G617" s="86"/>
      <c r="H617" s="2"/>
      <c r="I617" s="86"/>
      <c r="J617" s="19"/>
      <c r="K617" s="19"/>
      <c r="L617" s="26"/>
    </row>
    <row r="618" spans="1:13" ht="12">
      <c r="A618" s="30">
        <v>7</v>
      </c>
      <c r="C618" s="31" t="s">
        <v>25</v>
      </c>
      <c r="E618" s="30">
        <v>7</v>
      </c>
      <c r="F618" s="30"/>
      <c r="G618" s="86">
        <f>H618/51154</f>
        <v>7.644192047542714</v>
      </c>
      <c r="H618" s="2">
        <f>205381+185650</f>
        <v>391031</v>
      </c>
      <c r="I618" s="86">
        <f>J618/53737</f>
        <v>6.318849210041498</v>
      </c>
      <c r="J618" s="21">
        <f>152397+187159</f>
        <v>339556</v>
      </c>
      <c r="K618" s="21"/>
      <c r="L618" s="287">
        <v>6.764370917617284</v>
      </c>
      <c r="M618" s="28">
        <f>209717+153780</f>
        <v>363497</v>
      </c>
    </row>
    <row r="619" spans="1:13" ht="12">
      <c r="A619" s="30">
        <v>8</v>
      </c>
      <c r="C619" s="31" t="s">
        <v>26</v>
      </c>
      <c r="E619" s="30">
        <v>8</v>
      </c>
      <c r="F619" s="30"/>
      <c r="G619" s="86"/>
      <c r="H619" s="2">
        <f>96809+41074-44956</f>
        <v>92927</v>
      </c>
      <c r="I619" s="86"/>
      <c r="J619" s="21">
        <f>77030+44404-25394-13669-1404</f>
        <v>80967</v>
      </c>
      <c r="K619" s="21"/>
      <c r="L619" s="26"/>
      <c r="M619" s="28">
        <f>62196+43553</f>
        <v>105749</v>
      </c>
    </row>
    <row r="620" spans="1:13" ht="12">
      <c r="A620" s="30">
        <v>9</v>
      </c>
      <c r="C620" s="31" t="s">
        <v>27</v>
      </c>
      <c r="E620" s="30">
        <v>9</v>
      </c>
      <c r="F620" s="30"/>
      <c r="G620" s="86">
        <f aca="true" t="shared" si="32" ref="G620:M620">SUM(G618:G619)</f>
        <v>7.644192047542714</v>
      </c>
      <c r="H620" s="2">
        <f t="shared" si="32"/>
        <v>483958</v>
      </c>
      <c r="I620" s="86">
        <f t="shared" si="32"/>
        <v>6.318849210041498</v>
      </c>
      <c r="J620" s="19">
        <f t="shared" si="32"/>
        <v>420523</v>
      </c>
      <c r="K620" s="19"/>
      <c r="L620" s="86">
        <f t="shared" si="32"/>
        <v>6.764370917617284</v>
      </c>
      <c r="M620" s="28">
        <f t="shared" si="32"/>
        <v>469246</v>
      </c>
    </row>
    <row r="621" spans="1:12" ht="12">
      <c r="A621" s="30">
        <v>10</v>
      </c>
      <c r="E621" s="30">
        <v>10</v>
      </c>
      <c r="F621" s="30"/>
      <c r="G621" s="86"/>
      <c r="H621" s="2"/>
      <c r="I621" s="86"/>
      <c r="J621" s="19"/>
      <c r="K621" s="19"/>
      <c r="L621" s="26"/>
    </row>
    <row r="622" spans="1:13" ht="12">
      <c r="A622" s="30">
        <v>11</v>
      </c>
      <c r="C622" s="31" t="s">
        <v>28</v>
      </c>
      <c r="E622" s="30">
        <v>11</v>
      </c>
      <c r="F622" s="30"/>
      <c r="G622" s="83">
        <f aca="true" t="shared" si="33" ref="G622:M622">SUM(G620,G615)</f>
        <v>12.848588392220822</v>
      </c>
      <c r="H622" s="84">
        <f t="shared" si="33"/>
        <v>925536</v>
      </c>
      <c r="I622" s="83">
        <f t="shared" si="33"/>
        <v>11.955753557383087</v>
      </c>
      <c r="J622" s="19">
        <f t="shared" si="33"/>
        <v>927982</v>
      </c>
      <c r="K622" s="19"/>
      <c r="L622" s="83">
        <f t="shared" si="33"/>
        <v>12.652504527679827</v>
      </c>
      <c r="M622" s="28">
        <f t="shared" si="33"/>
        <v>1012327</v>
      </c>
    </row>
    <row r="623" spans="1:12" ht="12">
      <c r="A623" s="30">
        <v>12</v>
      </c>
      <c r="E623" s="30">
        <v>12</v>
      </c>
      <c r="F623" s="30"/>
      <c r="G623" s="83"/>
      <c r="H623" s="84"/>
      <c r="I623" s="83"/>
      <c r="J623" s="4"/>
      <c r="K623" s="4"/>
      <c r="L623" s="26"/>
    </row>
    <row r="624" spans="1:13" ht="12">
      <c r="A624" s="30">
        <v>13</v>
      </c>
      <c r="C624" s="31" t="s">
        <v>38</v>
      </c>
      <c r="E624" s="30">
        <v>13</v>
      </c>
      <c r="F624" s="30"/>
      <c r="G624" s="86">
        <f>H624/86800</f>
        <v>0.14694700460829493</v>
      </c>
      <c r="H624" s="2">
        <f>9979+28+2534+214</f>
        <v>12755</v>
      </c>
      <c r="I624" s="86">
        <f>0.22</f>
        <v>0.22</v>
      </c>
      <c r="J624" s="21">
        <f>8737+31+1412+31</f>
        <v>10211</v>
      </c>
      <c r="K624" s="21"/>
      <c r="L624" s="83">
        <v>0.11</v>
      </c>
      <c r="M624" s="28">
        <f>3000+1939+82</f>
        <v>5021</v>
      </c>
    </row>
    <row r="625" spans="1:12" ht="12">
      <c r="A625" s="30">
        <v>14</v>
      </c>
      <c r="E625" s="30">
        <v>14</v>
      </c>
      <c r="F625" s="30"/>
      <c r="G625" s="86"/>
      <c r="H625" s="2"/>
      <c r="I625" s="86"/>
      <c r="J625" s="6"/>
      <c r="K625" s="6"/>
      <c r="L625" s="26"/>
    </row>
    <row r="626" spans="1:13" ht="12">
      <c r="A626" s="30">
        <v>15</v>
      </c>
      <c r="C626" s="31" t="s">
        <v>30</v>
      </c>
      <c r="E626" s="30">
        <v>15</v>
      </c>
      <c r="F626" s="30"/>
      <c r="G626" s="86"/>
      <c r="H626" s="2">
        <f>7009+384</f>
        <v>7393</v>
      </c>
      <c r="I626" s="86"/>
      <c r="J626" s="260">
        <f>6825+447</f>
        <v>7272</v>
      </c>
      <c r="K626" s="260"/>
      <c r="L626" s="26"/>
      <c r="M626" s="28">
        <v>4000</v>
      </c>
    </row>
    <row r="627" spans="1:13" ht="12">
      <c r="A627" s="30">
        <v>16</v>
      </c>
      <c r="C627" s="31" t="s">
        <v>31</v>
      </c>
      <c r="E627" s="30">
        <v>16</v>
      </c>
      <c r="F627" s="30"/>
      <c r="G627" s="86"/>
      <c r="H627" s="2">
        <f>97959+200-13624+21455</f>
        <v>105990</v>
      </c>
      <c r="I627" s="86"/>
      <c r="J627" s="21">
        <f>128569+101673-25396</f>
        <v>204846</v>
      </c>
      <c r="K627" s="21"/>
      <c r="L627" s="26"/>
      <c r="M627" s="28">
        <f>121441-55404+2220816-2000000</f>
        <v>286853</v>
      </c>
    </row>
    <row r="628" spans="1:12" ht="12">
      <c r="A628" s="30"/>
      <c r="C628" s="31"/>
      <c r="E628" s="30"/>
      <c r="F628" s="30"/>
      <c r="G628" s="86"/>
      <c r="H628" s="2"/>
      <c r="I628" s="86"/>
      <c r="J628" s="21"/>
      <c r="K628" s="21"/>
      <c r="L628" s="26"/>
    </row>
    <row r="629" spans="1:12" ht="12">
      <c r="A629" s="30">
        <v>17</v>
      </c>
      <c r="C629" s="31" t="s">
        <v>32</v>
      </c>
      <c r="E629" s="30">
        <v>17</v>
      </c>
      <c r="F629" s="30"/>
      <c r="G629" s="86"/>
      <c r="H629" s="2"/>
      <c r="I629" s="86"/>
      <c r="J629" s="2"/>
      <c r="K629" s="2"/>
      <c r="L629" s="26"/>
    </row>
    <row r="630" spans="1:12" ht="12">
      <c r="A630" s="30">
        <v>18</v>
      </c>
      <c r="E630" s="30">
        <v>18</v>
      </c>
      <c r="F630" s="30"/>
      <c r="G630" s="86"/>
      <c r="H630" s="2"/>
      <c r="I630" s="86"/>
      <c r="J630" s="2"/>
      <c r="K630" s="2"/>
      <c r="L630" s="26"/>
    </row>
    <row r="631" spans="1:12" ht="12">
      <c r="A631" s="30">
        <v>19</v>
      </c>
      <c r="C631" s="31" t="s">
        <v>42</v>
      </c>
      <c r="E631" s="30">
        <v>19</v>
      </c>
      <c r="F631" s="30"/>
      <c r="G631" s="86"/>
      <c r="H631" s="2">
        <v>0</v>
      </c>
      <c r="I631" s="86"/>
      <c r="J631" s="2">
        <v>0</v>
      </c>
      <c r="K631" s="2"/>
      <c r="L631" s="26"/>
    </row>
    <row r="632" spans="1:12" ht="12">
      <c r="A632" s="30">
        <v>20</v>
      </c>
      <c r="C632" s="31"/>
      <c r="E632" s="30">
        <v>20</v>
      </c>
      <c r="F632" s="30"/>
      <c r="G632" s="86"/>
      <c r="H632" s="2"/>
      <c r="I632" s="86"/>
      <c r="J632" s="2"/>
      <c r="K632" s="2"/>
      <c r="L632" s="26"/>
    </row>
    <row r="633" spans="1:12" ht="12">
      <c r="A633" s="30">
        <v>21</v>
      </c>
      <c r="C633" s="31"/>
      <c r="E633" s="30">
        <v>21</v>
      </c>
      <c r="F633" s="30"/>
      <c r="G633" s="86"/>
      <c r="H633" s="2"/>
      <c r="I633" s="86"/>
      <c r="J633" s="2"/>
      <c r="K633" s="2"/>
      <c r="L633" s="26"/>
    </row>
    <row r="634" spans="1:12" ht="12">
      <c r="A634" s="30">
        <v>22</v>
      </c>
      <c r="C634" s="31"/>
      <c r="E634" s="30">
        <v>22</v>
      </c>
      <c r="F634" s="30"/>
      <c r="G634" s="86"/>
      <c r="H634" s="2"/>
      <c r="I634" s="86"/>
      <c r="J634" s="2"/>
      <c r="K634" s="2"/>
      <c r="L634" s="26"/>
    </row>
    <row r="635" spans="1:12" ht="12">
      <c r="A635" s="30">
        <v>23</v>
      </c>
      <c r="C635" s="31"/>
      <c r="E635" s="30">
        <v>23</v>
      </c>
      <c r="F635" s="30"/>
      <c r="G635" s="86"/>
      <c r="H635" s="2"/>
      <c r="I635" s="86"/>
      <c r="J635" s="2"/>
      <c r="K635" s="2"/>
      <c r="L635" s="26"/>
    </row>
    <row r="636" spans="1:12" ht="12">
      <c r="A636" s="30">
        <v>24</v>
      </c>
      <c r="C636" s="31"/>
      <c r="E636" s="30">
        <v>24</v>
      </c>
      <c r="F636" s="30"/>
      <c r="G636" s="86"/>
      <c r="H636" s="2"/>
      <c r="I636" s="86"/>
      <c r="J636" s="2"/>
      <c r="K636" s="2"/>
      <c r="L636" s="26"/>
    </row>
    <row r="637" spans="5:13" ht="12">
      <c r="E637" s="69"/>
      <c r="F637" s="42" t="s">
        <v>1</v>
      </c>
      <c r="G637" s="42" t="s">
        <v>1</v>
      </c>
      <c r="H637" s="42" t="s">
        <v>1</v>
      </c>
      <c r="I637" s="109" t="s">
        <v>1</v>
      </c>
      <c r="J637" s="42" t="s">
        <v>1</v>
      </c>
      <c r="K637" s="42"/>
      <c r="L637" s="42" t="s">
        <v>1</v>
      </c>
      <c r="M637" s="42" t="s">
        <v>1</v>
      </c>
    </row>
    <row r="638" spans="1:13" ht="13.5" customHeight="1">
      <c r="A638" s="30">
        <v>25</v>
      </c>
      <c r="C638" s="31" t="s">
        <v>227</v>
      </c>
      <c r="E638" s="30">
        <v>25</v>
      </c>
      <c r="F638" s="30"/>
      <c r="G638" s="83">
        <f aca="true" t="shared" si="34" ref="G638:M638">SUM(G622:G636)</f>
        <v>12.995535396829117</v>
      </c>
      <c r="H638" s="121">
        <f t="shared" si="34"/>
        <v>1051674</v>
      </c>
      <c r="I638" s="83">
        <f t="shared" si="34"/>
        <v>12.175753557383088</v>
      </c>
      <c r="J638" s="121">
        <f t="shared" si="34"/>
        <v>1150311</v>
      </c>
      <c r="K638" s="121"/>
      <c r="L638" s="128">
        <f t="shared" si="34"/>
        <v>12.762504527679827</v>
      </c>
      <c r="M638" s="28">
        <f t="shared" si="34"/>
        <v>1308201</v>
      </c>
    </row>
    <row r="639" spans="5:13" ht="12">
      <c r="E639" s="69"/>
      <c r="F639" s="109" t="s">
        <v>1</v>
      </c>
      <c r="G639" s="109"/>
      <c r="H639" s="109"/>
      <c r="I639" s="41" t="s">
        <v>1</v>
      </c>
      <c r="J639" s="42" t="s">
        <v>1</v>
      </c>
      <c r="K639" s="109" t="s">
        <v>1</v>
      </c>
      <c r="L639" s="41" t="s">
        <v>1</v>
      </c>
      <c r="M639" s="42" t="s">
        <v>1</v>
      </c>
    </row>
    <row r="641" ht="12">
      <c r="A641" s="31"/>
    </row>
    <row r="642" spans="1:13" s="65" customFormat="1" ht="12">
      <c r="A642" s="38" t="str">
        <f>$A$36</f>
        <v>Institution No.:  GFE</v>
      </c>
      <c r="E642" s="70"/>
      <c r="I642" s="71"/>
      <c r="J642" s="72"/>
      <c r="L642" s="71"/>
      <c r="M642" s="37" t="s">
        <v>43</v>
      </c>
    </row>
    <row r="643" spans="1:13" s="65" customFormat="1" ht="12">
      <c r="A643" s="414" t="s">
        <v>152</v>
      </c>
      <c r="B643" s="414"/>
      <c r="C643" s="414"/>
      <c r="D643" s="414"/>
      <c r="E643" s="414"/>
      <c r="F643" s="414"/>
      <c r="G643" s="414"/>
      <c r="H643" s="414"/>
      <c r="I643" s="414"/>
      <c r="J643" s="414"/>
      <c r="K643" s="414"/>
      <c r="L643" s="414"/>
      <c r="M643" s="414"/>
    </row>
    <row r="644" spans="1:13" ht="12">
      <c r="A644" s="38" t="s">
        <v>551</v>
      </c>
      <c r="C644" s="26" t="s">
        <v>553</v>
      </c>
      <c r="F644" s="113"/>
      <c r="G644" s="113"/>
      <c r="H644" s="113"/>
      <c r="I644" s="104"/>
      <c r="J644" s="74"/>
      <c r="L644" s="36"/>
      <c r="M644" s="39" t="str">
        <f>$M$3</f>
        <v>Date: 10/1/2009</v>
      </c>
    </row>
    <row r="645" spans="1:13" ht="12">
      <c r="A645" s="40" t="s">
        <v>1</v>
      </c>
      <c r="B645" s="40" t="s">
        <v>1</v>
      </c>
      <c r="C645" s="40" t="s">
        <v>1</v>
      </c>
      <c r="D645" s="40" t="s">
        <v>1</v>
      </c>
      <c r="E645" s="40" t="s">
        <v>1</v>
      </c>
      <c r="F645" s="40" t="s">
        <v>1</v>
      </c>
      <c r="G645" s="40"/>
      <c r="H645" s="40"/>
      <c r="I645" s="41" t="s">
        <v>1</v>
      </c>
      <c r="J645" s="42" t="s">
        <v>1</v>
      </c>
      <c r="K645" s="40" t="s">
        <v>1</v>
      </c>
      <c r="L645" s="41" t="s">
        <v>1</v>
      </c>
      <c r="M645" s="42" t="s">
        <v>1</v>
      </c>
    </row>
    <row r="646" spans="1:13" ht="12">
      <c r="A646" s="43" t="s">
        <v>2</v>
      </c>
      <c r="E646" s="43" t="s">
        <v>2</v>
      </c>
      <c r="F646" s="43"/>
      <c r="G646" s="45"/>
      <c r="H646" s="46" t="s">
        <v>240</v>
      </c>
      <c r="I646" s="45"/>
      <c r="J646" s="46" t="s">
        <v>247</v>
      </c>
      <c r="K646" s="46"/>
      <c r="L646" s="26"/>
      <c r="M646" s="44" t="s">
        <v>576</v>
      </c>
    </row>
    <row r="647" spans="1:13" ht="12">
      <c r="A647" s="43" t="s">
        <v>4</v>
      </c>
      <c r="C647" s="47" t="s">
        <v>20</v>
      </c>
      <c r="E647" s="43" t="s">
        <v>4</v>
      </c>
      <c r="F647" s="43"/>
      <c r="G647" s="45" t="s">
        <v>6</v>
      </c>
      <c r="H647" s="46" t="s">
        <v>7</v>
      </c>
      <c r="I647" s="45" t="s">
        <v>6</v>
      </c>
      <c r="J647" s="46" t="s">
        <v>7</v>
      </c>
      <c r="K647" s="46"/>
      <c r="L647" s="44" t="s">
        <v>21</v>
      </c>
      <c r="M647" s="44" t="s">
        <v>8</v>
      </c>
    </row>
    <row r="648" spans="1:13" ht="12">
      <c r="A648" s="40" t="s">
        <v>1</v>
      </c>
      <c r="B648" s="40" t="s">
        <v>1</v>
      </c>
      <c r="C648" s="40" t="s">
        <v>1</v>
      </c>
      <c r="D648" s="40" t="s">
        <v>1</v>
      </c>
      <c r="E648" s="40" t="s">
        <v>1</v>
      </c>
      <c r="F648" s="40"/>
      <c r="G648" s="41" t="s">
        <v>1</v>
      </c>
      <c r="H648" s="42" t="s">
        <v>1</v>
      </c>
      <c r="I648" s="41" t="s">
        <v>1</v>
      </c>
      <c r="J648" s="42" t="s">
        <v>1</v>
      </c>
      <c r="K648" s="42"/>
      <c r="L648" s="42" t="s">
        <v>1</v>
      </c>
      <c r="M648" s="42" t="s">
        <v>1</v>
      </c>
    </row>
    <row r="649" spans="1:13" ht="12">
      <c r="A649" s="30">
        <v>1</v>
      </c>
      <c r="C649" s="31" t="s">
        <v>36</v>
      </c>
      <c r="E649" s="30">
        <v>1</v>
      </c>
      <c r="F649" s="30"/>
      <c r="G649" s="125">
        <f>(H649/123799)</f>
        <v>72.33144048013312</v>
      </c>
      <c r="H649" s="1">
        <f>171818+1324+5795964-67074-790-16863+65376+770+16436+2987599</f>
        <v>8954560</v>
      </c>
      <c r="I649" s="125">
        <f>J649/130363</f>
        <v>77.03420449053796</v>
      </c>
      <c r="J649" s="1">
        <f>475906+5085+6256730+3304689</f>
        <v>10042410</v>
      </c>
      <c r="K649" s="1"/>
      <c r="L649" s="257">
        <f>70.39</f>
        <v>70.39</v>
      </c>
      <c r="M649" s="289">
        <f>120000+78875+6100685+3001497-125037</f>
        <v>9176020</v>
      </c>
    </row>
    <row r="650" spans="1:13" ht="12">
      <c r="A650" s="30">
        <v>2</v>
      </c>
      <c r="C650" s="31" t="s">
        <v>37</v>
      </c>
      <c r="E650" s="30">
        <v>2</v>
      </c>
      <c r="F650" s="30"/>
      <c r="G650" s="125"/>
      <c r="H650" s="1">
        <f>75550+113741+43787+111+1139818-75450-113741-16231-62-4015+15820+60+3914+539792</f>
        <v>1723094</v>
      </c>
      <c r="I650" s="125"/>
      <c r="J650" s="1">
        <f>131139+106617+103802+12+1+1278897-13403-97053-20683-106617+625072</f>
        <v>2007784</v>
      </c>
      <c r="K650" s="1"/>
      <c r="L650" s="26"/>
      <c r="M650" s="289">
        <f>15363+32378+1600736+706895-37411</f>
        <v>2317961</v>
      </c>
    </row>
    <row r="651" spans="1:13" ht="12">
      <c r="A651" s="30">
        <v>3</v>
      </c>
      <c r="E651" s="30">
        <v>3</v>
      </c>
      <c r="F651" s="30"/>
      <c r="G651" s="125"/>
      <c r="H651" s="1"/>
      <c r="I651" s="125"/>
      <c r="J651" s="1"/>
      <c r="K651" s="1"/>
      <c r="L651" s="26"/>
      <c r="M651" s="289"/>
    </row>
    <row r="652" spans="1:13" ht="12">
      <c r="A652" s="30">
        <v>4</v>
      </c>
      <c r="C652" s="31" t="s">
        <v>23</v>
      </c>
      <c r="E652" s="30">
        <v>4</v>
      </c>
      <c r="F652" s="30"/>
      <c r="G652" s="125">
        <f aca="true" t="shared" si="35" ref="G652:M652">SUM(G649:G651)</f>
        <v>72.33144048013312</v>
      </c>
      <c r="H652" s="1">
        <f t="shared" si="35"/>
        <v>10677654</v>
      </c>
      <c r="I652" s="125">
        <f t="shared" si="35"/>
        <v>77.03420449053796</v>
      </c>
      <c r="J652" s="1">
        <f t="shared" si="35"/>
        <v>12050194</v>
      </c>
      <c r="K652" s="1"/>
      <c r="L652" s="125">
        <f t="shared" si="35"/>
        <v>70.39</v>
      </c>
      <c r="M652" s="240">
        <f t="shared" si="35"/>
        <v>11493981</v>
      </c>
    </row>
    <row r="653" spans="1:13" ht="12">
      <c r="A653" s="30">
        <v>5</v>
      </c>
      <c r="E653" s="30">
        <v>5</v>
      </c>
      <c r="F653" s="30"/>
      <c r="G653" s="125"/>
      <c r="H653" s="1"/>
      <c r="I653" s="125"/>
      <c r="J653" s="1"/>
      <c r="K653" s="1"/>
      <c r="L653" s="26"/>
      <c r="M653" s="289"/>
    </row>
    <row r="654" spans="1:13" ht="12">
      <c r="A654" s="30">
        <v>6</v>
      </c>
      <c r="E654" s="30">
        <v>6</v>
      </c>
      <c r="F654" s="30"/>
      <c r="G654" s="125"/>
      <c r="H654" s="1"/>
      <c r="I654" s="125"/>
      <c r="J654" s="1"/>
      <c r="K654" s="1"/>
      <c r="L654" s="26"/>
      <c r="M654" s="289"/>
    </row>
    <row r="655" spans="1:13" ht="12">
      <c r="A655" s="30">
        <v>7</v>
      </c>
      <c r="C655" s="31" t="s">
        <v>25</v>
      </c>
      <c r="E655" s="30">
        <v>7</v>
      </c>
      <c r="F655" s="30"/>
      <c r="G655" s="125">
        <f>H655/64618</f>
        <v>156.69325884428488</v>
      </c>
      <c r="H655" s="1">
        <f>6859184+3266021</f>
        <v>10125205</v>
      </c>
      <c r="I655" s="125">
        <f>J655/68026</f>
        <v>155.26454590891717</v>
      </c>
      <c r="J655" s="1">
        <f>7014970+3047056+500000</f>
        <v>10562026</v>
      </c>
      <c r="K655" s="1"/>
      <c r="L655" s="287">
        <f>133.38</f>
        <v>133.38</v>
      </c>
      <c r="M655" s="289">
        <f>97224+6866118+2462110-351928</f>
        <v>9073524</v>
      </c>
    </row>
    <row r="656" spans="1:13" ht="12">
      <c r="A656" s="30">
        <v>8</v>
      </c>
      <c r="C656" s="31" t="s">
        <v>26</v>
      </c>
      <c r="E656" s="30">
        <v>8</v>
      </c>
      <c r="F656" s="30"/>
      <c r="G656" s="125"/>
      <c r="H656" s="1">
        <f>163672+1577778-163672+759494</f>
        <v>2337272</v>
      </c>
      <c r="I656" s="125"/>
      <c r="J656" s="1">
        <f>168121+1678446-98550-60246-9325+734832</f>
        <v>2413278</v>
      </c>
      <c r="K656" s="1"/>
      <c r="L656" s="26"/>
      <c r="M656" s="289">
        <f>27317+1945175+559292-113466</f>
        <v>2418318</v>
      </c>
    </row>
    <row r="657" spans="1:13" ht="12">
      <c r="A657" s="30">
        <v>9</v>
      </c>
      <c r="C657" s="31" t="s">
        <v>27</v>
      </c>
      <c r="E657" s="30">
        <v>9</v>
      </c>
      <c r="F657" s="30"/>
      <c r="G657" s="125">
        <f aca="true" t="shared" si="36" ref="G657:M657">SUM(G655:G656)</f>
        <v>156.69325884428488</v>
      </c>
      <c r="H657" s="1">
        <f t="shared" si="36"/>
        <v>12462477</v>
      </c>
      <c r="I657" s="125">
        <f t="shared" si="36"/>
        <v>155.26454590891717</v>
      </c>
      <c r="J657" s="1">
        <f t="shared" si="36"/>
        <v>12975304</v>
      </c>
      <c r="K657" s="1"/>
      <c r="L657" s="125">
        <f t="shared" si="36"/>
        <v>133.38</v>
      </c>
      <c r="M657" s="289">
        <f t="shared" si="36"/>
        <v>11491842</v>
      </c>
    </row>
    <row r="658" spans="1:13" ht="12">
      <c r="A658" s="30">
        <v>10</v>
      </c>
      <c r="E658" s="30">
        <v>10</v>
      </c>
      <c r="F658" s="30"/>
      <c r="G658" s="125"/>
      <c r="H658" s="1"/>
      <c r="I658" s="125"/>
      <c r="J658" s="1"/>
      <c r="K658" s="1"/>
      <c r="L658" s="26"/>
      <c r="M658" s="289"/>
    </row>
    <row r="659" spans="1:13" ht="12">
      <c r="A659" s="30">
        <v>11</v>
      </c>
      <c r="C659" s="31" t="s">
        <v>28</v>
      </c>
      <c r="E659" s="30">
        <v>11</v>
      </c>
      <c r="F659" s="30"/>
      <c r="G659" s="125">
        <f aca="true" t="shared" si="37" ref="G659:M659">SUM(G657,G652)</f>
        <v>229.024699324418</v>
      </c>
      <c r="H659" s="1">
        <f t="shared" si="37"/>
        <v>23140131</v>
      </c>
      <c r="I659" s="125">
        <f t="shared" si="37"/>
        <v>232.29875039945512</v>
      </c>
      <c r="J659" s="1">
        <f t="shared" si="37"/>
        <v>25025498</v>
      </c>
      <c r="K659" s="1"/>
      <c r="L659" s="125">
        <f t="shared" si="37"/>
        <v>203.76999999999998</v>
      </c>
      <c r="M659" s="240">
        <f t="shared" si="37"/>
        <v>22985823</v>
      </c>
    </row>
    <row r="660" spans="1:13" ht="12">
      <c r="A660" s="30">
        <v>12</v>
      </c>
      <c r="E660" s="30">
        <v>12</v>
      </c>
      <c r="F660" s="30"/>
      <c r="G660" s="125"/>
      <c r="H660" s="1"/>
      <c r="I660" s="125"/>
      <c r="J660" s="1"/>
      <c r="K660" s="1"/>
      <c r="L660" s="26"/>
      <c r="M660" s="289"/>
    </row>
    <row r="661" spans="1:13" ht="12">
      <c r="A661" s="30">
        <v>13</v>
      </c>
      <c r="C661" s="31" t="s">
        <v>38</v>
      </c>
      <c r="E661" s="30">
        <v>13</v>
      </c>
      <c r="F661" s="30"/>
      <c r="G661" s="125">
        <f>H661/73219</f>
        <v>3.126975238667559</v>
      </c>
      <c r="H661" s="1">
        <f>145476+729+82367+382</f>
        <v>228954</v>
      </c>
      <c r="I661" s="125">
        <f>J661/73148</f>
        <v>3.0283124624049873</v>
      </c>
      <c r="J661" s="1">
        <f>113847+450+106879+339</f>
        <v>221515</v>
      </c>
      <c r="K661" s="1"/>
      <c r="L661" s="125">
        <f>2.55</f>
        <v>2.55</v>
      </c>
      <c r="M661" s="289">
        <f>104819+119+73191+8469</f>
        <v>186598</v>
      </c>
    </row>
    <row r="662" spans="1:13" ht="12">
      <c r="A662" s="30">
        <v>14</v>
      </c>
      <c r="E662" s="30">
        <v>14</v>
      </c>
      <c r="F662" s="30"/>
      <c r="G662" s="125"/>
      <c r="H662" s="1"/>
      <c r="I662" s="125"/>
      <c r="J662" s="1"/>
      <c r="K662" s="1"/>
      <c r="L662" s="26"/>
      <c r="M662" s="289"/>
    </row>
    <row r="663" spans="1:13" ht="12">
      <c r="A663" s="30">
        <v>15</v>
      </c>
      <c r="C663" s="31" t="s">
        <v>30</v>
      </c>
      <c r="E663" s="30">
        <v>15</v>
      </c>
      <c r="F663" s="30"/>
      <c r="G663" s="125"/>
      <c r="H663" s="1">
        <f>202274</f>
        <v>202274</v>
      </c>
      <c r="I663" s="125"/>
      <c r="J663" s="1">
        <f>287565</f>
        <v>287565</v>
      </c>
      <c r="K663" s="1"/>
      <c r="L663" s="26"/>
      <c r="M663" s="289">
        <v>9482</v>
      </c>
    </row>
    <row r="664" spans="1:13" ht="12">
      <c r="A664" s="30">
        <v>16</v>
      </c>
      <c r="C664" s="31" t="s">
        <v>31</v>
      </c>
      <c r="E664" s="30">
        <v>16</v>
      </c>
      <c r="F664" s="30"/>
      <c r="G664" s="125"/>
      <c r="H664" s="1">
        <f>4214006+768+6702186+12234-9030-91603-6776234+89284+6604683-139452-7635655</f>
        <v>2971187</v>
      </c>
      <c r="I664" s="125"/>
      <c r="J664" s="1">
        <f>21406-4308+3536+5273364+880+25000+3319507-232296-25000-7818867-16238+1000000+166915</f>
        <v>1713899</v>
      </c>
      <c r="K664" s="1"/>
      <c r="L664" s="26"/>
      <c r="M664" s="289">
        <f>123114+29406-27348+12697575+25000+212496+4351877-6811454-600777-363066-7700000</f>
        <v>1936823</v>
      </c>
    </row>
    <row r="665" spans="1:13" ht="12">
      <c r="A665" s="30">
        <v>17</v>
      </c>
      <c r="C665" s="31" t="s">
        <v>32</v>
      </c>
      <c r="E665" s="30">
        <v>17</v>
      </c>
      <c r="F665" s="30"/>
      <c r="G665" s="125"/>
      <c r="H665" s="1">
        <f>651932-651932</f>
        <v>0</v>
      </c>
      <c r="I665" s="125"/>
      <c r="J665" s="1"/>
      <c r="K665" s="1"/>
      <c r="L665" s="26"/>
      <c r="M665" s="44"/>
    </row>
    <row r="666" spans="1:13" ht="12">
      <c r="A666" s="30">
        <v>18</v>
      </c>
      <c r="E666" s="30">
        <v>18</v>
      </c>
      <c r="F666" s="30"/>
      <c r="G666" s="125"/>
      <c r="H666" s="1"/>
      <c r="I666" s="125"/>
      <c r="J666" s="1"/>
      <c r="K666" s="1"/>
      <c r="L666" s="26"/>
      <c r="M666" s="44"/>
    </row>
    <row r="667" spans="1:13" ht="12">
      <c r="A667" s="30">
        <v>19</v>
      </c>
      <c r="C667" s="31" t="s">
        <v>42</v>
      </c>
      <c r="E667" s="30">
        <v>19</v>
      </c>
      <c r="F667" s="30"/>
      <c r="G667" s="125"/>
      <c r="H667" s="1">
        <v>0</v>
      </c>
      <c r="I667" s="125"/>
      <c r="J667" s="1">
        <v>0</v>
      </c>
      <c r="K667" s="1"/>
      <c r="L667" s="26"/>
      <c r="M667" s="26"/>
    </row>
    <row r="668" spans="1:13" ht="12">
      <c r="A668" s="30">
        <v>20</v>
      </c>
      <c r="C668" s="31"/>
      <c r="E668" s="30">
        <v>20</v>
      </c>
      <c r="F668" s="30"/>
      <c r="G668" s="125"/>
      <c r="H668" s="1"/>
      <c r="I668" s="125"/>
      <c r="J668" s="1"/>
      <c r="K668" s="1"/>
      <c r="L668" s="26"/>
      <c r="M668" s="26"/>
    </row>
    <row r="669" spans="1:13" ht="12">
      <c r="A669" s="30">
        <v>21</v>
      </c>
      <c r="C669" s="31"/>
      <c r="E669" s="30">
        <v>21</v>
      </c>
      <c r="F669" s="30"/>
      <c r="G669" s="125"/>
      <c r="H669" s="1"/>
      <c r="I669" s="125"/>
      <c r="J669" s="1"/>
      <c r="K669" s="1"/>
      <c r="L669" s="26"/>
      <c r="M669" s="26"/>
    </row>
    <row r="670" spans="1:13" ht="12">
      <c r="A670" s="30">
        <v>22</v>
      </c>
      <c r="C670" s="31"/>
      <c r="E670" s="30">
        <v>22</v>
      </c>
      <c r="F670" s="30"/>
      <c r="G670" s="125"/>
      <c r="H670" s="1"/>
      <c r="I670" s="125"/>
      <c r="J670" s="1"/>
      <c r="K670" s="1"/>
      <c r="L670" s="26"/>
      <c r="M670" s="26"/>
    </row>
    <row r="671" spans="1:13" ht="12">
      <c r="A671" s="30">
        <v>23</v>
      </c>
      <c r="C671" s="31"/>
      <c r="E671" s="30">
        <v>23</v>
      </c>
      <c r="F671" s="30"/>
      <c r="G671" s="125"/>
      <c r="H671" s="1"/>
      <c r="I671" s="125"/>
      <c r="J671" s="1"/>
      <c r="K671" s="1"/>
      <c r="L671" s="26"/>
      <c r="M671" s="26"/>
    </row>
    <row r="672" spans="1:13" ht="12">
      <c r="A672" s="30">
        <v>24</v>
      </c>
      <c r="C672" s="31"/>
      <c r="E672" s="30">
        <v>24</v>
      </c>
      <c r="F672" s="30"/>
      <c r="G672" s="140"/>
      <c r="H672" s="119"/>
      <c r="I672" s="140"/>
      <c r="J672" s="119"/>
      <c r="K672" s="119"/>
      <c r="L672" s="26"/>
      <c r="M672" s="26"/>
    </row>
    <row r="673" spans="5:13" ht="12">
      <c r="E673" s="69"/>
      <c r="F673" s="109" t="s">
        <v>1</v>
      </c>
      <c r="G673" s="109" t="s">
        <v>1</v>
      </c>
      <c r="H673" s="42" t="s">
        <v>1</v>
      </c>
      <c r="I673" s="109" t="s">
        <v>1</v>
      </c>
      <c r="J673" s="42" t="s">
        <v>1</v>
      </c>
      <c r="K673" s="42"/>
      <c r="L673" s="42" t="s">
        <v>1</v>
      </c>
      <c r="M673" s="42" t="s">
        <v>1</v>
      </c>
    </row>
    <row r="674" spans="1:13" ht="13.5" customHeight="1">
      <c r="A674" s="30">
        <v>25</v>
      </c>
      <c r="C674" s="31" t="s">
        <v>228</v>
      </c>
      <c r="E674" s="30">
        <v>25</v>
      </c>
      <c r="F674" s="30"/>
      <c r="G674" s="128">
        <f aca="true" t="shared" si="38" ref="G674:M674">SUM(G659:G672)</f>
        <v>232.15167456308558</v>
      </c>
      <c r="H674" s="121">
        <f t="shared" si="38"/>
        <v>26542546</v>
      </c>
      <c r="I674" s="128">
        <f t="shared" si="38"/>
        <v>235.3270628618601</v>
      </c>
      <c r="J674" s="121">
        <f t="shared" si="38"/>
        <v>27248477</v>
      </c>
      <c r="K674" s="121"/>
      <c r="L674" s="128">
        <f t="shared" si="38"/>
        <v>206.32</v>
      </c>
      <c r="M674" s="289">
        <f t="shared" si="38"/>
        <v>25118726</v>
      </c>
    </row>
    <row r="675" spans="5:13" ht="12">
      <c r="E675" s="69"/>
      <c r="F675" s="109" t="s">
        <v>1</v>
      </c>
      <c r="G675" s="109"/>
      <c r="H675" s="109"/>
      <c r="I675" s="41"/>
      <c r="J675" s="42"/>
      <c r="K675" s="109"/>
      <c r="L675" s="41"/>
      <c r="M675" s="42"/>
    </row>
    <row r="676" ht="12">
      <c r="A676" s="31"/>
    </row>
    <row r="678" spans="1:13" s="65" customFormat="1" ht="12">
      <c r="A678" s="38" t="str">
        <f>$A$36</f>
        <v>Institution No.:  GFE</v>
      </c>
      <c r="E678" s="70"/>
      <c r="I678" s="71"/>
      <c r="J678" s="72"/>
      <c r="L678" s="71"/>
      <c r="M678" s="37" t="s">
        <v>44</v>
      </c>
    </row>
    <row r="679" spans="1:13" s="65" customFormat="1" ht="12">
      <c r="A679" s="414" t="s">
        <v>153</v>
      </c>
      <c r="B679" s="414"/>
      <c r="C679" s="414"/>
      <c r="D679" s="414"/>
      <c r="E679" s="414"/>
      <c r="F679" s="414"/>
      <c r="G679" s="414"/>
      <c r="H679" s="414"/>
      <c r="I679" s="414"/>
      <c r="J679" s="414"/>
      <c r="K679" s="414"/>
      <c r="L679" s="414"/>
      <c r="M679" s="414"/>
    </row>
    <row r="680" spans="1:13" ht="12">
      <c r="A680" s="38" t="s">
        <v>551</v>
      </c>
      <c r="C680" s="26" t="s">
        <v>553</v>
      </c>
      <c r="F680" s="113"/>
      <c r="G680" s="113"/>
      <c r="H680" s="113"/>
      <c r="I680" s="104"/>
      <c r="J680" s="105"/>
      <c r="L680" s="36"/>
      <c r="M680" s="39" t="str">
        <f>$M$3</f>
        <v>Date: 10/1/2009</v>
      </c>
    </row>
    <row r="681" spans="1:13" ht="12">
      <c r="A681" s="40" t="s">
        <v>1</v>
      </c>
      <c r="B681" s="40" t="s">
        <v>1</v>
      </c>
      <c r="C681" s="40" t="s">
        <v>1</v>
      </c>
      <c r="D681" s="40" t="s">
        <v>1</v>
      </c>
      <c r="E681" s="40" t="s">
        <v>1</v>
      </c>
      <c r="F681" s="40" t="s">
        <v>1</v>
      </c>
      <c r="G681" s="40"/>
      <c r="H681" s="40"/>
      <c r="I681" s="41" t="s">
        <v>1</v>
      </c>
      <c r="J681" s="42" t="s">
        <v>1</v>
      </c>
      <c r="K681" s="40" t="s">
        <v>1</v>
      </c>
      <c r="L681" s="41" t="s">
        <v>1</v>
      </c>
      <c r="M681" s="42" t="s">
        <v>1</v>
      </c>
    </row>
    <row r="682" spans="1:13" ht="12">
      <c r="A682" s="43" t="s">
        <v>2</v>
      </c>
      <c r="E682" s="43" t="s">
        <v>2</v>
      </c>
      <c r="F682" s="43"/>
      <c r="G682" s="45"/>
      <c r="H682" s="46" t="s">
        <v>240</v>
      </c>
      <c r="I682" s="45"/>
      <c r="J682" s="46" t="s">
        <v>247</v>
      </c>
      <c r="K682" s="46"/>
      <c r="L682" s="26"/>
      <c r="M682" s="44" t="s">
        <v>576</v>
      </c>
    </row>
    <row r="683" spans="1:13" ht="12">
      <c r="A683" s="43" t="s">
        <v>4</v>
      </c>
      <c r="C683" s="47" t="s">
        <v>20</v>
      </c>
      <c r="E683" s="43" t="s">
        <v>4</v>
      </c>
      <c r="F683" s="43"/>
      <c r="G683" s="45" t="s">
        <v>6</v>
      </c>
      <c r="H683" s="46" t="s">
        <v>7</v>
      </c>
      <c r="I683" s="45" t="s">
        <v>6</v>
      </c>
      <c r="J683" s="46" t="s">
        <v>7</v>
      </c>
      <c r="K683" s="46"/>
      <c r="L683" s="26" t="s">
        <v>21</v>
      </c>
      <c r="M683" s="44" t="s">
        <v>8</v>
      </c>
    </row>
    <row r="684" spans="1:13" ht="12">
      <c r="A684" s="40" t="s">
        <v>1</v>
      </c>
      <c r="B684" s="40" t="s">
        <v>1</v>
      </c>
      <c r="C684" s="40" t="s">
        <v>1</v>
      </c>
      <c r="D684" s="40" t="s">
        <v>1</v>
      </c>
      <c r="E684" s="40" t="s">
        <v>1</v>
      </c>
      <c r="F684" s="40"/>
      <c r="G684" s="41"/>
      <c r="H684" s="42"/>
      <c r="I684" s="41"/>
      <c r="J684" s="42"/>
      <c r="K684" s="42"/>
      <c r="L684" s="42" t="s">
        <v>1</v>
      </c>
      <c r="M684" s="42" t="s">
        <v>1</v>
      </c>
    </row>
    <row r="685" spans="1:13" ht="12">
      <c r="A685" s="30">
        <v>1</v>
      </c>
      <c r="C685" s="31" t="s">
        <v>36</v>
      </c>
      <c r="E685" s="30">
        <v>1</v>
      </c>
      <c r="F685" s="30"/>
      <c r="G685" s="125">
        <f>H685/96617</f>
        <v>20.24779283148928</v>
      </c>
      <c r="H685" s="1">
        <f>1956281</f>
        <v>1956281</v>
      </c>
      <c r="I685" s="141">
        <f>J685/100837</f>
        <v>19.741315191844265</v>
      </c>
      <c r="J685" s="1">
        <f>1876426+114229</f>
        <v>1990655</v>
      </c>
      <c r="K685" s="1"/>
      <c r="L685" s="287">
        <f>18.99</f>
        <v>18.99</v>
      </c>
      <c r="M685" s="28">
        <f>1800570+114229</f>
        <v>1914799</v>
      </c>
    </row>
    <row r="686" spans="1:13" ht="12">
      <c r="A686" s="30">
        <v>2</v>
      </c>
      <c r="C686" s="31" t="s">
        <v>37</v>
      </c>
      <c r="E686" s="30">
        <v>2</v>
      </c>
      <c r="F686" s="30"/>
      <c r="G686" s="125"/>
      <c r="H686" s="1">
        <f>18897+27156+414126-18897-27156</f>
        <v>414126</v>
      </c>
      <c r="I686" s="141"/>
      <c r="J686" s="1">
        <f>30181+23950+399880-23060-7120-23950+26000</f>
        <v>425881</v>
      </c>
      <c r="K686" s="1"/>
      <c r="L686" s="26"/>
      <c r="M686" s="28">
        <f>417987+28557</f>
        <v>446544</v>
      </c>
    </row>
    <row r="687" spans="1:12" ht="12">
      <c r="A687" s="30">
        <v>3</v>
      </c>
      <c r="E687" s="30">
        <v>3</v>
      </c>
      <c r="F687" s="30"/>
      <c r="G687" s="125"/>
      <c r="H687" s="1"/>
      <c r="I687" s="141"/>
      <c r="J687" s="1"/>
      <c r="K687" s="1"/>
      <c r="L687" s="26"/>
    </row>
    <row r="688" spans="1:13" ht="12">
      <c r="A688" s="30">
        <v>4</v>
      </c>
      <c r="C688" s="31" t="s">
        <v>23</v>
      </c>
      <c r="E688" s="30">
        <v>4</v>
      </c>
      <c r="F688" s="30"/>
      <c r="G688" s="125">
        <f aca="true" t="shared" si="39" ref="G688:M688">SUM(G685:G687)</f>
        <v>20.24779283148928</v>
      </c>
      <c r="H688" s="1">
        <f t="shared" si="39"/>
        <v>2370407</v>
      </c>
      <c r="I688" s="141">
        <f t="shared" si="39"/>
        <v>19.741315191844265</v>
      </c>
      <c r="J688" s="1">
        <f>SUM(J685:J687)</f>
        <v>2416536</v>
      </c>
      <c r="K688" s="1"/>
      <c r="L688" s="287">
        <f t="shared" si="39"/>
        <v>18.99</v>
      </c>
      <c r="M688" s="28">
        <f t="shared" si="39"/>
        <v>2361343</v>
      </c>
    </row>
    <row r="689" spans="1:12" ht="12">
      <c r="A689" s="30">
        <v>5</v>
      </c>
      <c r="E689" s="30">
        <v>5</v>
      </c>
      <c r="F689" s="30"/>
      <c r="G689" s="125"/>
      <c r="H689" s="1"/>
      <c r="I689" s="141"/>
      <c r="J689" s="1"/>
      <c r="K689" s="1"/>
      <c r="L689" s="287"/>
    </row>
    <row r="690" spans="1:12" ht="12">
      <c r="A690" s="30">
        <v>6</v>
      </c>
      <c r="E690" s="30">
        <v>6</v>
      </c>
      <c r="F690" s="30"/>
      <c r="G690" s="125"/>
      <c r="H690" s="1"/>
      <c r="I690" s="141"/>
      <c r="J690" s="1"/>
      <c r="K690" s="1"/>
      <c r="L690" s="287"/>
    </row>
    <row r="691" spans="1:13" ht="12">
      <c r="A691" s="30">
        <v>7</v>
      </c>
      <c r="C691" s="31" t="s">
        <v>25</v>
      </c>
      <c r="E691" s="30">
        <v>7</v>
      </c>
      <c r="F691" s="30"/>
      <c r="G691" s="125">
        <f>H691/48441</f>
        <v>194.3165293862637</v>
      </c>
      <c r="H691" s="1">
        <f>9412887</f>
        <v>9412887</v>
      </c>
      <c r="I691" s="141">
        <f>J691/49158</f>
        <v>193.6898165100289</v>
      </c>
      <c r="J691" s="1">
        <f>9521404</f>
        <v>9521404</v>
      </c>
      <c r="K691" s="1"/>
      <c r="L691" s="287">
        <f>183.03</f>
        <v>183.03</v>
      </c>
      <c r="M691" s="28">
        <f>9539185-542027</f>
        <v>8997158</v>
      </c>
    </row>
    <row r="692" spans="1:13" ht="12">
      <c r="A692" s="30">
        <v>8</v>
      </c>
      <c r="C692" s="31" t="s">
        <v>26</v>
      </c>
      <c r="E692" s="30">
        <v>8</v>
      </c>
      <c r="F692" s="30"/>
      <c r="G692" s="125"/>
      <c r="H692" s="1">
        <f>183581+2261172-183581</f>
        <v>2261172</v>
      </c>
      <c r="I692" s="141"/>
      <c r="J692" s="1">
        <f>192041+2449787-115763-66934-9344</f>
        <v>2449787</v>
      </c>
      <c r="K692" s="1"/>
      <c r="L692" s="287"/>
      <c r="M692" s="28">
        <f>2798369-175491</f>
        <v>2622878</v>
      </c>
    </row>
    <row r="693" spans="1:13" ht="12">
      <c r="A693" s="30">
        <v>9</v>
      </c>
      <c r="C693" s="31" t="s">
        <v>27</v>
      </c>
      <c r="E693" s="30">
        <v>9</v>
      </c>
      <c r="F693" s="30"/>
      <c r="G693" s="125">
        <f aca="true" t="shared" si="40" ref="G693:M693">SUM(G691:G692)</f>
        <v>194.3165293862637</v>
      </c>
      <c r="H693" s="1">
        <f t="shared" si="40"/>
        <v>11674059</v>
      </c>
      <c r="I693" s="141">
        <f t="shared" si="40"/>
        <v>193.6898165100289</v>
      </c>
      <c r="J693" s="1">
        <f t="shared" si="40"/>
        <v>11971191</v>
      </c>
      <c r="K693" s="1"/>
      <c r="L693" s="287">
        <f t="shared" si="40"/>
        <v>183.03</v>
      </c>
      <c r="M693" s="28">
        <f t="shared" si="40"/>
        <v>11620036</v>
      </c>
    </row>
    <row r="694" spans="1:12" ht="12">
      <c r="A694" s="30">
        <v>10</v>
      </c>
      <c r="E694" s="30">
        <v>10</v>
      </c>
      <c r="F694" s="30"/>
      <c r="G694" s="125"/>
      <c r="H694" s="1"/>
      <c r="I694" s="141"/>
      <c r="J694" s="1"/>
      <c r="K694" s="1"/>
      <c r="L694" s="287"/>
    </row>
    <row r="695" spans="1:13" ht="12">
      <c r="A695" s="30">
        <v>11</v>
      </c>
      <c r="C695" s="31" t="s">
        <v>28</v>
      </c>
      <c r="E695" s="30">
        <v>11</v>
      </c>
      <c r="F695" s="30"/>
      <c r="G695" s="128">
        <f aca="true" t="shared" si="41" ref="G695:M695">SUM(G693,G688)</f>
        <v>214.564322217753</v>
      </c>
      <c r="H695" s="121">
        <f t="shared" si="41"/>
        <v>14044466</v>
      </c>
      <c r="I695" s="142">
        <f t="shared" si="41"/>
        <v>213.43113170187314</v>
      </c>
      <c r="J695" s="121">
        <f t="shared" si="41"/>
        <v>14387727</v>
      </c>
      <c r="K695" s="121"/>
      <c r="L695" s="287">
        <f t="shared" si="41"/>
        <v>202.02</v>
      </c>
      <c r="M695" s="28">
        <f t="shared" si="41"/>
        <v>13981379</v>
      </c>
    </row>
    <row r="696" spans="1:12" ht="12">
      <c r="A696" s="30">
        <v>12</v>
      </c>
      <c r="E696" s="30">
        <v>12</v>
      </c>
      <c r="F696" s="30"/>
      <c r="G696" s="128"/>
      <c r="H696" s="121"/>
      <c r="I696" s="142"/>
      <c r="J696" s="121"/>
      <c r="K696" s="121"/>
      <c r="L696" s="287"/>
    </row>
    <row r="697" spans="1:13" ht="12">
      <c r="A697" s="30">
        <v>13</v>
      </c>
      <c r="C697" s="31" t="s">
        <v>38</v>
      </c>
      <c r="E697" s="30">
        <v>13</v>
      </c>
      <c r="F697" s="30"/>
      <c r="G697" s="125">
        <f>H697/31888</f>
        <v>3.5008467134972405</v>
      </c>
      <c r="H697" s="1">
        <f>110742+893</f>
        <v>111635</v>
      </c>
      <c r="I697" s="141">
        <f>J697/31825</f>
        <v>2.5133071484681855</v>
      </c>
      <c r="J697" s="1">
        <f>79166+820</f>
        <v>79986</v>
      </c>
      <c r="K697" s="1"/>
      <c r="L697" s="287">
        <f>1.8</f>
        <v>1.8</v>
      </c>
      <c r="M697" s="28">
        <v>57450</v>
      </c>
    </row>
    <row r="698" spans="1:12" ht="12">
      <c r="A698" s="30">
        <v>14</v>
      </c>
      <c r="C698" s="31" t="s">
        <v>46</v>
      </c>
      <c r="E698" s="30">
        <v>14</v>
      </c>
      <c r="F698" s="30"/>
      <c r="G698" s="125"/>
      <c r="H698" s="1"/>
      <c r="I698" s="141"/>
      <c r="J698" s="1"/>
      <c r="K698" s="1"/>
      <c r="L698" s="287"/>
    </row>
    <row r="699" spans="1:12" ht="12">
      <c r="A699" s="30">
        <v>15</v>
      </c>
      <c r="C699" s="31" t="s">
        <v>30</v>
      </c>
      <c r="E699" s="30">
        <v>15</v>
      </c>
      <c r="F699" s="30"/>
      <c r="G699" s="125"/>
      <c r="H699" s="1">
        <v>34875</v>
      </c>
      <c r="I699" s="141"/>
      <c r="J699" s="1">
        <v>43081</v>
      </c>
      <c r="K699" s="1"/>
      <c r="L699" s="26"/>
    </row>
    <row r="700" spans="1:13" ht="12">
      <c r="A700" s="30">
        <v>16</v>
      </c>
      <c r="C700" s="31" t="s">
        <v>45</v>
      </c>
      <c r="E700" s="30">
        <v>16</v>
      </c>
      <c r="F700" s="30"/>
      <c r="G700" s="125"/>
      <c r="H700" s="1">
        <f>14373856-4259601+4259601-4151763-54318-1240137</f>
        <v>8927638</v>
      </c>
      <c r="I700" s="141"/>
      <c r="J700" s="1">
        <f>15032505-8599921</f>
        <v>6432584</v>
      </c>
      <c r="K700" s="1"/>
      <c r="L700" s="26"/>
      <c r="M700" s="28">
        <f>15764705-8406652</f>
        <v>7358053</v>
      </c>
    </row>
    <row r="701" spans="1:13" ht="12">
      <c r="A701" s="30">
        <v>17</v>
      </c>
      <c r="C701" s="31" t="s">
        <v>31</v>
      </c>
      <c r="E701" s="30">
        <v>17</v>
      </c>
      <c r="F701" s="30"/>
      <c r="G701" s="125"/>
      <c r="H701" s="1">
        <f>5778343-1143301-21066+2754903+1143907-2685158-1114947-25125-14798</f>
        <v>4672758</v>
      </c>
      <c r="I701" s="141"/>
      <c r="J701" s="1">
        <f>2283+1866304-941914-12332-58402+1309394</f>
        <v>2165333</v>
      </c>
      <c r="K701" s="1"/>
      <c r="L701" s="26"/>
      <c r="M701" s="28">
        <f>3191388-1050737-10200-5700-3900-10200-722000</f>
        <v>1388651</v>
      </c>
    </row>
    <row r="702" spans="1:12" ht="12">
      <c r="A702" s="30">
        <v>18</v>
      </c>
      <c r="C702" s="31" t="s">
        <v>32</v>
      </c>
      <c r="E702" s="30">
        <v>18</v>
      </c>
      <c r="F702" s="30"/>
      <c r="G702" s="125"/>
      <c r="H702" s="1">
        <f>132851-132851</f>
        <v>0</v>
      </c>
      <c r="I702" s="141"/>
      <c r="J702" s="1"/>
      <c r="K702" s="1"/>
      <c r="L702" s="26"/>
    </row>
    <row r="703" spans="1:12" ht="12">
      <c r="A703" s="30">
        <v>19</v>
      </c>
      <c r="C703" s="31" t="s">
        <v>42</v>
      </c>
      <c r="E703" s="30">
        <v>19</v>
      </c>
      <c r="F703" s="30"/>
      <c r="G703" s="125"/>
      <c r="H703" s="1"/>
      <c r="I703" s="141"/>
      <c r="J703" s="1">
        <v>0</v>
      </c>
      <c r="K703" s="1"/>
      <c r="L703" s="26"/>
    </row>
    <row r="704" spans="1:12" ht="12">
      <c r="A704" s="30">
        <v>20</v>
      </c>
      <c r="C704" s="31"/>
      <c r="E704" s="30">
        <v>20</v>
      </c>
      <c r="F704" s="30"/>
      <c r="G704" s="125"/>
      <c r="H704" s="1"/>
      <c r="I704" s="141"/>
      <c r="J704" s="1"/>
      <c r="K704" s="1"/>
      <c r="L704" s="26"/>
    </row>
    <row r="705" spans="1:12" ht="12">
      <c r="A705" s="30">
        <v>21</v>
      </c>
      <c r="C705" s="31"/>
      <c r="E705" s="30">
        <v>21</v>
      </c>
      <c r="F705" s="30"/>
      <c r="G705" s="125"/>
      <c r="H705" s="1"/>
      <c r="I705" s="141"/>
      <c r="J705" s="1"/>
      <c r="K705" s="1"/>
      <c r="L705" s="26"/>
    </row>
    <row r="706" spans="1:12" ht="12">
      <c r="A706" s="30">
        <v>22</v>
      </c>
      <c r="C706" s="31"/>
      <c r="E706" s="30">
        <v>22</v>
      </c>
      <c r="F706" s="30"/>
      <c r="G706" s="125"/>
      <c r="H706" s="1"/>
      <c r="I706" s="141"/>
      <c r="J706" s="1"/>
      <c r="K706" s="1"/>
      <c r="L706" s="26"/>
    </row>
    <row r="707" spans="1:12" ht="12">
      <c r="A707" s="30">
        <v>23</v>
      </c>
      <c r="C707" s="31"/>
      <c r="E707" s="30">
        <v>23</v>
      </c>
      <c r="F707" s="30"/>
      <c r="G707" s="125"/>
      <c r="H707" s="1"/>
      <c r="I707" s="141"/>
      <c r="J707" s="1"/>
      <c r="K707" s="1"/>
      <c r="L707" s="26"/>
    </row>
    <row r="708" spans="1:13" ht="12">
      <c r="A708" s="30">
        <v>24</v>
      </c>
      <c r="C708" s="31"/>
      <c r="E708" s="30">
        <v>24</v>
      </c>
      <c r="F708" s="30"/>
      <c r="G708" s="140"/>
      <c r="H708" s="119"/>
      <c r="I708" s="143"/>
      <c r="J708" s="119"/>
      <c r="K708" s="119"/>
      <c r="L708" s="26"/>
      <c r="M708" s="26"/>
    </row>
    <row r="709" spans="5:13" ht="12">
      <c r="E709" s="69"/>
      <c r="F709" s="109" t="s">
        <v>1</v>
      </c>
      <c r="G709" s="109" t="s">
        <v>1</v>
      </c>
      <c r="H709" s="42" t="s">
        <v>1</v>
      </c>
      <c r="I709" s="144" t="s">
        <v>1</v>
      </c>
      <c r="J709" s="42" t="s">
        <v>1</v>
      </c>
      <c r="K709" s="42"/>
      <c r="L709" s="42" t="s">
        <v>1</v>
      </c>
      <c r="M709" s="42" t="s">
        <v>1</v>
      </c>
    </row>
    <row r="710" spans="1:13" ht="13.5" customHeight="1">
      <c r="A710" s="30">
        <v>25</v>
      </c>
      <c r="C710" s="145" t="s">
        <v>232</v>
      </c>
      <c r="E710" s="30">
        <v>25</v>
      </c>
      <c r="F710" s="30"/>
      <c r="G710" s="128">
        <f aca="true" t="shared" si="42" ref="G710:M710">SUM(G695:G708)</f>
        <v>218.06516893125024</v>
      </c>
      <c r="H710" s="121">
        <f t="shared" si="42"/>
        <v>27791372</v>
      </c>
      <c r="I710" s="142">
        <f t="shared" si="42"/>
        <v>215.94443885034133</v>
      </c>
      <c r="J710" s="121">
        <f t="shared" si="42"/>
        <v>23108711</v>
      </c>
      <c r="K710" s="121"/>
      <c r="L710" s="288">
        <f t="shared" si="42"/>
        <v>203.82000000000002</v>
      </c>
      <c r="M710" s="28">
        <f t="shared" si="42"/>
        <v>22785533</v>
      </c>
    </row>
    <row r="711" spans="4:13" ht="12">
      <c r="D711" s="100"/>
      <c r="F711" s="109" t="s">
        <v>1</v>
      </c>
      <c r="G711" s="109"/>
      <c r="H711" s="109"/>
      <c r="I711" s="41"/>
      <c r="J711" s="42"/>
      <c r="K711" s="109"/>
      <c r="L711" s="144"/>
      <c r="M711" s="42"/>
    </row>
    <row r="712" spans="1:13" ht="12">
      <c r="A712" s="26" t="s">
        <v>517</v>
      </c>
      <c r="H712" s="84"/>
      <c r="I712" s="81"/>
      <c r="J712" s="84"/>
      <c r="K712" s="81"/>
      <c r="L712" s="81"/>
      <c r="M712" s="81"/>
    </row>
    <row r="713" ht="12">
      <c r="A713" s="31" t="s">
        <v>518</v>
      </c>
    </row>
    <row r="715" spans="1:13" s="65" customFormat="1" ht="12">
      <c r="A715" s="38" t="str">
        <f>$A$36</f>
        <v>Institution No.:  GFE</v>
      </c>
      <c r="E715" s="70"/>
      <c r="I715" s="71"/>
      <c r="J715" s="72"/>
      <c r="L715" s="71"/>
      <c r="M715" s="37" t="s">
        <v>44</v>
      </c>
    </row>
    <row r="716" spans="1:13" s="65" customFormat="1" ht="13.5" customHeight="1">
      <c r="A716" s="414" t="s">
        <v>153</v>
      </c>
      <c r="B716" s="414"/>
      <c r="C716" s="414"/>
      <c r="D716" s="414"/>
      <c r="E716" s="414"/>
      <c r="F716" s="414"/>
      <c r="G716" s="414"/>
      <c r="H716" s="414"/>
      <c r="I716" s="414"/>
      <c r="J716" s="414"/>
      <c r="K716" s="414"/>
      <c r="L716" s="414"/>
      <c r="M716" s="414"/>
    </row>
    <row r="717" spans="1:13" ht="12">
      <c r="A717" s="38" t="s">
        <v>551</v>
      </c>
      <c r="C717" s="26" t="s">
        <v>553</v>
      </c>
      <c r="F717" s="113"/>
      <c r="G717" s="113"/>
      <c r="H717" s="113"/>
      <c r="I717" s="104"/>
      <c r="J717" s="105"/>
      <c r="L717" s="36"/>
      <c r="M717" s="39" t="str">
        <f>$M$3</f>
        <v>Date: 10/1/2009</v>
      </c>
    </row>
    <row r="718" spans="1:13" ht="12">
      <c r="A718" s="40" t="s">
        <v>1</v>
      </c>
      <c r="B718" s="40" t="s">
        <v>1</v>
      </c>
      <c r="C718" s="40" t="s">
        <v>1</v>
      </c>
      <c r="D718" s="40" t="s">
        <v>1</v>
      </c>
      <c r="E718" s="40" t="s">
        <v>1</v>
      </c>
      <c r="F718" s="40" t="s">
        <v>1</v>
      </c>
      <c r="G718" s="40"/>
      <c r="H718" s="40"/>
      <c r="I718" s="41" t="s">
        <v>1</v>
      </c>
      <c r="J718" s="42" t="s">
        <v>1</v>
      </c>
      <c r="K718" s="40" t="s">
        <v>1</v>
      </c>
      <c r="L718" s="41" t="s">
        <v>1</v>
      </c>
      <c r="M718" s="42" t="s">
        <v>1</v>
      </c>
    </row>
    <row r="719" spans="1:13" ht="12">
      <c r="A719" s="43" t="s">
        <v>2</v>
      </c>
      <c r="E719" s="43" t="s">
        <v>2</v>
      </c>
      <c r="F719" s="43"/>
      <c r="G719" s="45"/>
      <c r="H719" s="46" t="s">
        <v>240</v>
      </c>
      <c r="I719" s="45"/>
      <c r="J719" s="46" t="s">
        <v>247</v>
      </c>
      <c r="K719" s="46"/>
      <c r="L719" s="26"/>
      <c r="M719" s="44" t="s">
        <v>576</v>
      </c>
    </row>
    <row r="720" spans="1:13" ht="12">
      <c r="A720" s="43" t="s">
        <v>4</v>
      </c>
      <c r="C720" s="47" t="s">
        <v>20</v>
      </c>
      <c r="E720" s="43" t="s">
        <v>4</v>
      </c>
      <c r="F720" s="43"/>
      <c r="G720" s="45" t="s">
        <v>6</v>
      </c>
      <c r="H720" s="46" t="s">
        <v>7</v>
      </c>
      <c r="I720" s="45" t="s">
        <v>6</v>
      </c>
      <c r="J720" s="46" t="s">
        <v>7</v>
      </c>
      <c r="K720" s="46"/>
      <c r="L720" s="44" t="s">
        <v>21</v>
      </c>
      <c r="M720" s="44" t="s">
        <v>8</v>
      </c>
    </row>
    <row r="721" spans="1:13" ht="12">
      <c r="A721" s="40" t="s">
        <v>1</v>
      </c>
      <c r="B721" s="40" t="s">
        <v>1</v>
      </c>
      <c r="C721" s="40" t="s">
        <v>1</v>
      </c>
      <c r="D721" s="40" t="s">
        <v>1</v>
      </c>
      <c r="E721" s="40" t="s">
        <v>1</v>
      </c>
      <c r="F721" s="40"/>
      <c r="G721" s="41"/>
      <c r="H721" s="42"/>
      <c r="I721" s="41"/>
      <c r="J721" s="42"/>
      <c r="K721" s="42"/>
      <c r="L721" s="42" t="s">
        <v>1</v>
      </c>
      <c r="M721" s="42" t="s">
        <v>1</v>
      </c>
    </row>
    <row r="722" spans="4:13" ht="12">
      <c r="D722" s="100"/>
      <c r="G722" s="50"/>
      <c r="H722" s="50"/>
      <c r="I722" s="50"/>
      <c r="J722" s="50"/>
      <c r="K722" s="50"/>
      <c r="L722" s="26"/>
      <c r="M722" s="26"/>
    </row>
    <row r="723" spans="1:13" ht="12">
      <c r="A723" s="30">
        <v>26</v>
      </c>
      <c r="C723" s="31" t="s">
        <v>47</v>
      </c>
      <c r="E723" s="30">
        <v>26</v>
      </c>
      <c r="F723" s="30"/>
      <c r="G723" s="50"/>
      <c r="H723" s="131"/>
      <c r="I723" s="50"/>
      <c r="J723" s="131"/>
      <c r="K723" s="131"/>
      <c r="L723" s="26"/>
      <c r="M723" s="26"/>
    </row>
    <row r="724" spans="1:13" ht="12">
      <c r="A724" s="30">
        <v>27</v>
      </c>
      <c r="C724" s="31" t="s">
        <v>48</v>
      </c>
      <c r="E724" s="30">
        <v>27</v>
      </c>
      <c r="F724" s="30"/>
      <c r="G724" s="2"/>
      <c r="H724" s="2">
        <f>4122177+7356-5200-696866</f>
        <v>3427467</v>
      </c>
      <c r="I724" s="2"/>
      <c r="J724" s="2">
        <f>5202866-696866</f>
        <v>4506000</v>
      </c>
      <c r="K724" s="2"/>
      <c r="L724" s="26"/>
      <c r="M724" s="272">
        <f>J754</f>
        <v>3876380</v>
      </c>
    </row>
    <row r="725" spans="1:13" ht="12">
      <c r="A725" s="30">
        <v>28</v>
      </c>
      <c r="C725" s="31" t="s">
        <v>49</v>
      </c>
      <c r="E725" s="30">
        <v>28</v>
      </c>
      <c r="F725" s="30"/>
      <c r="G725" s="2"/>
      <c r="H725" s="2">
        <v>0</v>
      </c>
      <c r="I725" s="2"/>
      <c r="J725" s="2">
        <v>0</v>
      </c>
      <c r="K725" s="2"/>
      <c r="L725" s="26"/>
      <c r="M725" s="26"/>
    </row>
    <row r="726" spans="1:13" ht="12">
      <c r="A726" s="30">
        <v>29</v>
      </c>
      <c r="C726" s="32" t="s">
        <v>519</v>
      </c>
      <c r="E726" s="30">
        <v>29</v>
      </c>
      <c r="F726" s="30"/>
      <c r="G726" s="2"/>
      <c r="H726" s="2"/>
      <c r="I726" s="2"/>
      <c r="J726" s="2"/>
      <c r="K726" s="2"/>
      <c r="L726" s="26"/>
      <c r="M726" s="26"/>
    </row>
    <row r="727" spans="1:13" ht="12">
      <c r="A727" s="30">
        <v>30</v>
      </c>
      <c r="C727" s="32" t="s">
        <v>520</v>
      </c>
      <c r="E727" s="30">
        <v>30</v>
      </c>
      <c r="F727" s="30"/>
      <c r="G727" s="2"/>
      <c r="H727" s="2">
        <v>68333</v>
      </c>
      <c r="I727" s="2"/>
      <c r="J727" s="2"/>
      <c r="K727" s="2"/>
      <c r="L727" s="26"/>
      <c r="M727" s="26"/>
    </row>
    <row r="728" spans="1:13" ht="12">
      <c r="A728" s="30">
        <v>31</v>
      </c>
      <c r="C728" s="32" t="s">
        <v>521</v>
      </c>
      <c r="E728" s="30">
        <v>31</v>
      </c>
      <c r="F728" s="30"/>
      <c r="G728" s="2"/>
      <c r="H728" s="2">
        <v>115251</v>
      </c>
      <c r="I728" s="2"/>
      <c r="J728" s="2"/>
      <c r="K728" s="2"/>
      <c r="L728" s="26"/>
      <c r="M728" s="26"/>
    </row>
    <row r="729" spans="1:13" ht="12">
      <c r="A729" s="30">
        <v>32</v>
      </c>
      <c r="C729" s="32" t="s">
        <v>522</v>
      </c>
      <c r="E729" s="30">
        <v>32</v>
      </c>
      <c r="F729" s="30"/>
      <c r="G729" s="2"/>
      <c r="H729" s="84">
        <v>275376</v>
      </c>
      <c r="I729" s="2"/>
      <c r="J729" s="84"/>
      <c r="K729" s="84"/>
      <c r="L729" s="26"/>
      <c r="M729" s="26"/>
    </row>
    <row r="730" spans="1:13" ht="12">
      <c r="A730" s="30">
        <v>33</v>
      </c>
      <c r="C730" s="32" t="s">
        <v>523</v>
      </c>
      <c r="E730" s="30">
        <v>33</v>
      </c>
      <c r="F730" s="30"/>
      <c r="G730" s="2"/>
      <c r="H730" s="84">
        <v>113005</v>
      </c>
      <c r="I730" s="2"/>
      <c r="J730" s="84"/>
      <c r="K730" s="84"/>
      <c r="L730" s="26"/>
      <c r="M730" s="26"/>
    </row>
    <row r="731" spans="1:13" ht="12">
      <c r="A731" s="30">
        <v>34</v>
      </c>
      <c r="C731" s="32" t="s">
        <v>524</v>
      </c>
      <c r="E731" s="30">
        <v>34</v>
      </c>
      <c r="F731" s="30"/>
      <c r="G731" s="2"/>
      <c r="H731" s="84">
        <v>204974</v>
      </c>
      <c r="I731" s="2"/>
      <c r="J731" s="84"/>
      <c r="K731" s="84"/>
      <c r="L731" s="26"/>
      <c r="M731" s="26"/>
    </row>
    <row r="732" spans="1:13" ht="12">
      <c r="A732" s="30"/>
      <c r="C732" s="32" t="s">
        <v>525</v>
      </c>
      <c r="E732" s="30"/>
      <c r="F732" s="30"/>
      <c r="G732" s="2"/>
      <c r="H732" s="84">
        <v>498200</v>
      </c>
      <c r="I732" s="2"/>
      <c r="J732" s="84"/>
      <c r="K732" s="84"/>
      <c r="L732" s="26"/>
      <c r="M732" s="26"/>
    </row>
    <row r="733" spans="1:13" ht="12">
      <c r="A733" s="30"/>
      <c r="C733" s="32" t="s">
        <v>526</v>
      </c>
      <c r="E733" s="30"/>
      <c r="F733" s="30"/>
      <c r="G733" s="2"/>
      <c r="H733" s="84"/>
      <c r="I733" s="2"/>
      <c r="J733" s="84">
        <f>11130</f>
        <v>11130</v>
      </c>
      <c r="K733" s="84"/>
      <c r="L733" s="26"/>
      <c r="M733" s="26"/>
    </row>
    <row r="734" spans="1:13" ht="12.75" customHeight="1">
      <c r="A734" s="30"/>
      <c r="C734" s="32" t="s">
        <v>527</v>
      </c>
      <c r="E734" s="30"/>
      <c r="F734" s="30"/>
      <c r="G734" s="2"/>
      <c r="H734" s="84"/>
      <c r="I734" s="2"/>
      <c r="J734" s="84"/>
      <c r="K734" s="84"/>
      <c r="L734" s="26"/>
      <c r="M734" s="26"/>
    </row>
    <row r="735" spans="1:13" ht="12.75" customHeight="1">
      <c r="A735" s="30"/>
      <c r="C735" s="32" t="s">
        <v>528</v>
      </c>
      <c r="E735" s="30"/>
      <c r="F735" s="30"/>
      <c r="G735" s="2"/>
      <c r="H735" s="84"/>
      <c r="I735" s="2"/>
      <c r="J735" s="84">
        <f>506000</f>
        <v>506000</v>
      </c>
      <c r="K735" s="84"/>
      <c r="L735" s="26"/>
      <c r="M735" s="26"/>
    </row>
    <row r="736" spans="1:13" ht="12">
      <c r="A736" s="30">
        <v>35</v>
      </c>
      <c r="C736" s="31" t="s">
        <v>50</v>
      </c>
      <c r="E736" s="30">
        <v>35</v>
      </c>
      <c r="F736" s="30"/>
      <c r="G736" s="2"/>
      <c r="H736" s="2">
        <v>0</v>
      </c>
      <c r="I736" s="2"/>
      <c r="J736" s="2">
        <v>0</v>
      </c>
      <c r="K736" s="2"/>
      <c r="L736" s="26"/>
      <c r="M736" s="26"/>
    </row>
    <row r="737" spans="1:13" ht="12">
      <c r="A737" s="30">
        <v>36</v>
      </c>
      <c r="C737" s="31" t="s">
        <v>529</v>
      </c>
      <c r="E737" s="30">
        <v>36</v>
      </c>
      <c r="F737" s="30"/>
      <c r="G737" s="2"/>
      <c r="H737" s="2"/>
      <c r="I737" s="2"/>
      <c r="J737" s="2"/>
      <c r="K737" s="2"/>
      <c r="L737" s="26"/>
      <c r="M737" s="26"/>
    </row>
    <row r="738" spans="1:13" ht="12">
      <c r="A738" s="30">
        <v>37</v>
      </c>
      <c r="C738" s="31" t="s">
        <v>530</v>
      </c>
      <c r="E738" s="30">
        <v>37</v>
      </c>
      <c r="F738" s="30"/>
      <c r="G738" s="2"/>
      <c r="H738" s="2"/>
      <c r="I738" s="2"/>
      <c r="J738" s="2"/>
      <c r="K738" s="2"/>
      <c r="L738" s="26"/>
      <c r="M738" s="26"/>
    </row>
    <row r="739" spans="1:13" ht="12">
      <c r="A739" s="30">
        <v>38</v>
      </c>
      <c r="C739" s="31" t="s">
        <v>531</v>
      </c>
      <c r="E739" s="30">
        <v>38</v>
      </c>
      <c r="F739" s="30"/>
      <c r="G739" s="2"/>
      <c r="H739" s="2"/>
      <c r="I739" s="2"/>
      <c r="J739" s="2">
        <v>-4000</v>
      </c>
      <c r="K739" s="2"/>
      <c r="L739" s="26"/>
      <c r="M739" s="26"/>
    </row>
    <row r="740" spans="1:13" ht="12">
      <c r="A740" s="30">
        <v>39</v>
      </c>
      <c r="C740" s="31" t="s">
        <v>532</v>
      </c>
      <c r="E740" s="30">
        <v>39</v>
      </c>
      <c r="F740" s="30"/>
      <c r="G740" s="2"/>
      <c r="H740" s="2">
        <v>-92000</v>
      </c>
      <c r="I740" s="2"/>
      <c r="J740" s="2"/>
      <c r="K740" s="2"/>
      <c r="L740" s="26"/>
      <c r="M740" s="26"/>
    </row>
    <row r="741" spans="1:13" ht="12">
      <c r="A741" s="30">
        <v>40</v>
      </c>
      <c r="C741" s="32" t="s">
        <v>533</v>
      </c>
      <c r="E741" s="30">
        <v>40</v>
      </c>
      <c r="F741" s="30"/>
      <c r="G741" s="2"/>
      <c r="H741" s="2"/>
      <c r="I741" s="2"/>
      <c r="J741" s="2">
        <f>-22800</f>
        <v>-22800</v>
      </c>
      <c r="K741" s="2"/>
      <c r="L741" s="26"/>
      <c r="M741" s="26"/>
    </row>
    <row r="742" spans="1:13" ht="12">
      <c r="A742" s="30">
        <v>41</v>
      </c>
      <c r="C742" s="32" t="s">
        <v>534</v>
      </c>
      <c r="E742" s="30">
        <v>41</v>
      </c>
      <c r="F742" s="30"/>
      <c r="G742" s="2"/>
      <c r="H742" s="2">
        <v>-35600</v>
      </c>
      <c r="I742" s="2"/>
      <c r="J742" s="2"/>
      <c r="K742" s="2"/>
      <c r="L742" s="26"/>
      <c r="M742" s="26"/>
    </row>
    <row r="743" spans="1:13" ht="12">
      <c r="A743" s="30">
        <v>42</v>
      </c>
      <c r="C743" s="32" t="s">
        <v>535</v>
      </c>
      <c r="E743" s="30">
        <v>42</v>
      </c>
      <c r="F743" s="30"/>
      <c r="G743" s="2"/>
      <c r="H743" s="2">
        <v>-57700</v>
      </c>
      <c r="I743" s="2"/>
      <c r="J743" s="2"/>
      <c r="K743" s="2"/>
      <c r="L743" s="26"/>
      <c r="M743" s="26"/>
    </row>
    <row r="744" spans="1:13" ht="12">
      <c r="A744" s="30">
        <v>43</v>
      </c>
      <c r="C744" s="32" t="s">
        <v>536</v>
      </c>
      <c r="E744" s="30">
        <v>43</v>
      </c>
      <c r="F744" s="30"/>
      <c r="G744" s="2"/>
      <c r="H744" s="2">
        <v>-11306</v>
      </c>
      <c r="I744" s="2"/>
      <c r="J744" s="2"/>
      <c r="K744" s="2"/>
      <c r="L744" s="26"/>
      <c r="M744" s="26"/>
    </row>
    <row r="745" spans="1:13" ht="12">
      <c r="A745" s="30">
        <v>44</v>
      </c>
      <c r="C745" s="32" t="s">
        <v>537</v>
      </c>
      <c r="E745" s="30">
        <v>44</v>
      </c>
      <c r="F745" s="30"/>
      <c r="G745" s="2"/>
      <c r="H745" s="2"/>
      <c r="I745" s="2"/>
      <c r="J745" s="2">
        <f>-65500</f>
        <v>-65500</v>
      </c>
      <c r="K745" s="2"/>
      <c r="L745" s="26"/>
      <c r="M745" s="26"/>
    </row>
    <row r="746" spans="1:13" ht="12">
      <c r="A746" s="30">
        <v>45</v>
      </c>
      <c r="C746" s="32" t="s">
        <v>538</v>
      </c>
      <c r="E746" s="30">
        <v>45</v>
      </c>
      <c r="F746" s="30"/>
      <c r="G746" s="2"/>
      <c r="H746" s="2"/>
      <c r="I746" s="2"/>
      <c r="J746" s="2">
        <v>-505000</v>
      </c>
      <c r="K746" s="2"/>
      <c r="L746" s="26"/>
      <c r="M746" s="26"/>
    </row>
    <row r="747" spans="1:13" ht="12">
      <c r="A747" s="30">
        <v>46</v>
      </c>
      <c r="C747" s="32" t="s">
        <v>539</v>
      </c>
      <c r="E747" s="30">
        <v>46</v>
      </c>
      <c r="F747" s="30"/>
      <c r="G747" s="2"/>
      <c r="H747" s="2"/>
      <c r="I747" s="2"/>
      <c r="J747" s="2">
        <v>-89700</v>
      </c>
      <c r="K747" s="2"/>
      <c r="L747" s="26"/>
      <c r="M747" s="26"/>
    </row>
    <row r="748" spans="1:13" ht="12">
      <c r="A748" s="30">
        <v>47</v>
      </c>
      <c r="C748" s="32" t="s">
        <v>540</v>
      </c>
      <c r="E748" s="30">
        <v>47</v>
      </c>
      <c r="F748" s="30"/>
      <c r="G748" s="2"/>
      <c r="H748" s="2"/>
      <c r="I748" s="2"/>
      <c r="J748" s="2">
        <f>-101000</f>
        <v>-101000</v>
      </c>
      <c r="K748" s="2"/>
      <c r="L748" s="26"/>
      <c r="M748" s="26"/>
    </row>
    <row r="749" spans="1:13" ht="12">
      <c r="A749" s="30">
        <v>48</v>
      </c>
      <c r="C749" s="32" t="s">
        <v>541</v>
      </c>
      <c r="E749" s="30">
        <v>48</v>
      </c>
      <c r="F749" s="30"/>
      <c r="G749" s="2"/>
      <c r="H749" s="2"/>
      <c r="I749" s="2"/>
      <c r="J749" s="2">
        <f>-201000</f>
        <v>-201000</v>
      </c>
      <c r="K749" s="2"/>
      <c r="L749" s="26"/>
      <c r="M749" s="26"/>
    </row>
    <row r="750" spans="1:13" ht="12">
      <c r="A750" s="30">
        <v>49</v>
      </c>
      <c r="C750" s="32" t="s">
        <v>542</v>
      </c>
      <c r="E750" s="30">
        <v>49</v>
      </c>
      <c r="F750" s="30"/>
      <c r="G750" s="2"/>
      <c r="H750" s="2"/>
      <c r="I750" s="2"/>
      <c r="J750" s="2">
        <v>-35900</v>
      </c>
      <c r="K750" s="2"/>
      <c r="L750" s="26"/>
      <c r="M750" s="26"/>
    </row>
    <row r="751" spans="1:13" ht="12">
      <c r="A751" s="30">
        <v>50</v>
      </c>
      <c r="C751" s="32" t="s">
        <v>543</v>
      </c>
      <c r="E751" s="30">
        <v>50</v>
      </c>
      <c r="F751" s="30"/>
      <c r="G751" s="2"/>
      <c r="H751" s="2"/>
      <c r="I751" s="2"/>
      <c r="J751" s="2">
        <f>-22500</f>
        <v>-22500</v>
      </c>
      <c r="K751" s="2"/>
      <c r="L751" s="26"/>
      <c r="M751" s="26"/>
    </row>
    <row r="752" spans="1:13" ht="12">
      <c r="A752" s="30">
        <v>51</v>
      </c>
      <c r="C752" s="32" t="s">
        <v>544</v>
      </c>
      <c r="E752" s="30">
        <v>51</v>
      </c>
      <c r="F752" s="30"/>
      <c r="G752" s="2"/>
      <c r="H752" s="2"/>
      <c r="I752" s="2"/>
      <c r="J752" s="2">
        <f>-10950</f>
        <v>-10950</v>
      </c>
      <c r="K752" s="2"/>
      <c r="L752" s="26"/>
      <c r="M752" s="26"/>
    </row>
    <row r="753" spans="1:13" ht="12">
      <c r="A753" s="30">
        <v>52</v>
      </c>
      <c r="C753" s="32" t="s">
        <v>545</v>
      </c>
      <c r="E753" s="30">
        <v>52</v>
      </c>
      <c r="F753" s="30"/>
      <c r="G753" s="2"/>
      <c r="H753" s="2"/>
      <c r="I753" s="2"/>
      <c r="J753" s="2">
        <f>-88400</f>
        <v>-88400</v>
      </c>
      <c r="K753" s="2"/>
      <c r="L753" s="26"/>
      <c r="M753" s="26"/>
    </row>
    <row r="754" spans="1:13" ht="12">
      <c r="A754" s="30">
        <v>53</v>
      </c>
      <c r="C754" s="31" t="s">
        <v>51</v>
      </c>
      <c r="E754" s="30">
        <v>53</v>
      </c>
      <c r="F754" s="30"/>
      <c r="G754" s="81"/>
      <c r="H754" s="84">
        <f>SUM(H724:H753)</f>
        <v>4506000</v>
      </c>
      <c r="I754" s="81"/>
      <c r="J754" s="84">
        <f>SUM(J724:J753)</f>
        <v>3876380</v>
      </c>
      <c r="K754" s="84"/>
      <c r="L754" s="26"/>
      <c r="M754" s="84">
        <f>SUM(M724:M753)</f>
        <v>3876380</v>
      </c>
    </row>
    <row r="755" spans="1:13" ht="12">
      <c r="A755" s="30">
        <v>54</v>
      </c>
      <c r="E755" s="30">
        <v>54</v>
      </c>
      <c r="F755" s="30"/>
      <c r="G755" s="81"/>
      <c r="H755" s="2"/>
      <c r="I755" s="81"/>
      <c r="J755" s="2"/>
      <c r="K755" s="2"/>
      <c r="L755" s="26"/>
      <c r="M755" s="26"/>
    </row>
    <row r="756" spans="1:13" ht="12">
      <c r="A756" s="30">
        <v>55</v>
      </c>
      <c r="C756" s="31" t="s">
        <v>52</v>
      </c>
      <c r="E756" s="30">
        <f>(E755+1)</f>
        <v>55</v>
      </c>
      <c r="F756" s="30"/>
      <c r="G756" s="2"/>
      <c r="H756" s="2">
        <v>160.4</v>
      </c>
      <c r="I756" s="2"/>
      <c r="J756" s="2">
        <v>160</v>
      </c>
      <c r="K756" s="2"/>
      <c r="L756" s="26"/>
      <c r="M756" s="26">
        <v>160</v>
      </c>
    </row>
    <row r="757" spans="1:13" ht="12">
      <c r="A757" s="30"/>
      <c r="C757" s="31"/>
      <c r="E757" s="30"/>
      <c r="F757" s="32"/>
      <c r="G757" s="32"/>
      <c r="H757" s="2"/>
      <c r="I757" s="2"/>
      <c r="J757" s="2"/>
      <c r="K757" s="2"/>
      <c r="L757" s="2"/>
      <c r="M757" s="2"/>
    </row>
    <row r="758" spans="1:13" ht="12">
      <c r="A758" s="30"/>
      <c r="C758" s="31"/>
      <c r="E758" s="30"/>
      <c r="F758" s="32"/>
      <c r="G758" s="32"/>
      <c r="H758" s="2"/>
      <c r="I758" s="2"/>
      <c r="J758" s="2"/>
      <c r="K758" s="2"/>
      <c r="L758" s="2"/>
      <c r="M758" s="2"/>
    </row>
    <row r="759" s="65" customFormat="1" ht="12"/>
    <row r="760" spans="1:13" s="65" customFormat="1" ht="12">
      <c r="A760" s="38" t="str">
        <f>$A$36</f>
        <v>Institution No.:  GFE</v>
      </c>
      <c r="E760" s="70"/>
      <c r="I760" s="71"/>
      <c r="J760" s="72"/>
      <c r="L760" s="71"/>
      <c r="M760" s="37" t="s">
        <v>53</v>
      </c>
    </row>
    <row r="761" spans="1:13" s="65" customFormat="1" ht="12">
      <c r="A761" s="414" t="s">
        <v>154</v>
      </c>
      <c r="B761" s="414"/>
      <c r="C761" s="414"/>
      <c r="D761" s="414"/>
      <c r="E761" s="414"/>
      <c r="F761" s="414"/>
      <c r="G761" s="414"/>
      <c r="H761" s="414"/>
      <c r="I761" s="414"/>
      <c r="J761" s="414"/>
      <c r="K761" s="414"/>
      <c r="L761" s="414"/>
      <c r="M761" s="414"/>
    </row>
    <row r="762" spans="1:13" ht="12">
      <c r="A762" s="38" t="s">
        <v>551</v>
      </c>
      <c r="C762" s="26" t="s">
        <v>553</v>
      </c>
      <c r="F762" s="113"/>
      <c r="G762" s="113"/>
      <c r="H762" s="113"/>
      <c r="I762" s="104"/>
      <c r="J762" s="105"/>
      <c r="L762" s="36"/>
      <c r="M762" s="39" t="str">
        <f>$M$3</f>
        <v>Date: 10/1/2009</v>
      </c>
    </row>
    <row r="763" spans="1:13" ht="12">
      <c r="A763" s="40" t="s">
        <v>1</v>
      </c>
      <c r="B763" s="40" t="s">
        <v>1</v>
      </c>
      <c r="C763" s="40" t="s">
        <v>1</v>
      </c>
      <c r="D763" s="40" t="s">
        <v>1</v>
      </c>
      <c r="E763" s="40" t="s">
        <v>1</v>
      </c>
      <c r="F763" s="40" t="s">
        <v>1</v>
      </c>
      <c r="G763" s="40"/>
      <c r="H763" s="40"/>
      <c r="I763" s="41" t="s">
        <v>1</v>
      </c>
      <c r="J763" s="42" t="s">
        <v>1</v>
      </c>
      <c r="K763" s="40" t="s">
        <v>1</v>
      </c>
      <c r="L763" s="41" t="s">
        <v>1</v>
      </c>
      <c r="M763" s="42" t="s">
        <v>1</v>
      </c>
    </row>
    <row r="764" spans="1:13" ht="12">
      <c r="A764" s="43" t="s">
        <v>2</v>
      </c>
      <c r="E764" s="43" t="s">
        <v>2</v>
      </c>
      <c r="F764" s="43"/>
      <c r="G764" s="45"/>
      <c r="H764" s="46" t="s">
        <v>240</v>
      </c>
      <c r="I764" s="45"/>
      <c r="J764" s="46" t="s">
        <v>247</v>
      </c>
      <c r="K764" s="46"/>
      <c r="L764" s="26"/>
      <c r="M764" s="44" t="s">
        <v>576</v>
      </c>
    </row>
    <row r="765" spans="1:13" ht="12">
      <c r="A765" s="43" t="s">
        <v>4</v>
      </c>
      <c r="C765" s="47" t="s">
        <v>20</v>
      </c>
      <c r="E765" s="43" t="s">
        <v>4</v>
      </c>
      <c r="F765" s="43"/>
      <c r="G765" s="36"/>
      <c r="H765" s="46" t="s">
        <v>7</v>
      </c>
      <c r="I765" s="36"/>
      <c r="J765" s="46" t="s">
        <v>7</v>
      </c>
      <c r="K765" s="46"/>
      <c r="L765" s="26"/>
      <c r="M765" s="44" t="s">
        <v>8</v>
      </c>
    </row>
    <row r="766" spans="1:13" ht="12">
      <c r="A766" s="40" t="s">
        <v>1</v>
      </c>
      <c r="B766" s="40" t="s">
        <v>1</v>
      </c>
      <c r="C766" s="40" t="s">
        <v>1</v>
      </c>
      <c r="D766" s="40" t="s">
        <v>1</v>
      </c>
      <c r="E766" s="40" t="s">
        <v>1</v>
      </c>
      <c r="F766" s="40"/>
      <c r="G766" s="41" t="s">
        <v>1</v>
      </c>
      <c r="H766" s="42" t="s">
        <v>1</v>
      </c>
      <c r="I766" s="41" t="s">
        <v>1</v>
      </c>
      <c r="J766" s="42" t="s">
        <v>1</v>
      </c>
      <c r="K766" s="42"/>
      <c r="L766" s="42" t="s">
        <v>1</v>
      </c>
      <c r="M766" s="42" t="s">
        <v>1</v>
      </c>
    </row>
    <row r="767" spans="1:13" ht="12">
      <c r="A767" s="30">
        <v>1</v>
      </c>
      <c r="C767" s="31" t="s">
        <v>54</v>
      </c>
      <c r="E767" s="30">
        <v>1</v>
      </c>
      <c r="F767" s="30"/>
      <c r="G767" s="1"/>
      <c r="H767" s="1">
        <f>-6322915-749+6965659+46403+781568</f>
        <v>1469966</v>
      </c>
      <c r="I767" s="1"/>
      <c r="J767" s="1">
        <f>2317-596338+4552+815112+25000-2317+1257838</f>
        <v>1506164</v>
      </c>
      <c r="K767" s="1"/>
      <c r="L767" s="26"/>
      <c r="M767" s="28">
        <f>686133+1000000</f>
        <v>1686133</v>
      </c>
    </row>
    <row r="768" spans="1:13" ht="12">
      <c r="A768" s="30">
        <f aca="true" t="shared" si="43" ref="A768:A785">(A767+1)</f>
        <v>2</v>
      </c>
      <c r="C768" s="32"/>
      <c r="E768" s="30">
        <f aca="true" t="shared" si="44" ref="E768:E785">(E767+1)</f>
        <v>2</v>
      </c>
      <c r="F768" s="30"/>
      <c r="G768" s="33"/>
      <c r="H768" s="34"/>
      <c r="I768" s="33"/>
      <c r="J768" s="34"/>
      <c r="K768" s="34"/>
      <c r="L768" s="26"/>
      <c r="M768" s="26"/>
    </row>
    <row r="769" spans="1:13" ht="12">
      <c r="A769" s="30">
        <f t="shared" si="43"/>
        <v>3</v>
      </c>
      <c r="C769" s="32"/>
      <c r="E769" s="30">
        <f t="shared" si="44"/>
        <v>3</v>
      </c>
      <c r="F769" s="30"/>
      <c r="G769" s="33"/>
      <c r="H769" s="34"/>
      <c r="I769" s="33"/>
      <c r="J769" s="34"/>
      <c r="K769" s="34"/>
      <c r="L769" s="26"/>
      <c r="M769" s="26"/>
    </row>
    <row r="770" spans="1:13" ht="12">
      <c r="A770" s="30">
        <f t="shared" si="43"/>
        <v>4</v>
      </c>
      <c r="C770" s="32"/>
      <c r="E770" s="30">
        <f t="shared" si="44"/>
        <v>4</v>
      </c>
      <c r="F770" s="30"/>
      <c r="G770" s="33"/>
      <c r="H770" s="34"/>
      <c r="I770" s="33"/>
      <c r="J770" s="34"/>
      <c r="K770" s="34"/>
      <c r="L770" s="26"/>
      <c r="M770" s="26"/>
    </row>
    <row r="771" spans="1:13" ht="12">
      <c r="A771" s="30">
        <f t="shared" si="43"/>
        <v>5</v>
      </c>
      <c r="C771" s="32"/>
      <c r="E771" s="30">
        <f t="shared" si="44"/>
        <v>5</v>
      </c>
      <c r="F771" s="30"/>
      <c r="G771" s="33"/>
      <c r="H771" s="34"/>
      <c r="I771" s="33"/>
      <c r="J771" s="34"/>
      <c r="K771" s="34"/>
      <c r="L771" s="26"/>
      <c r="M771" s="26"/>
    </row>
    <row r="772" spans="1:13" ht="12">
      <c r="A772" s="30">
        <f t="shared" si="43"/>
        <v>6</v>
      </c>
      <c r="C772" s="32"/>
      <c r="E772" s="30">
        <f t="shared" si="44"/>
        <v>6</v>
      </c>
      <c r="F772" s="30"/>
      <c r="G772" s="33"/>
      <c r="H772" s="34"/>
      <c r="I772" s="33"/>
      <c r="J772" s="34"/>
      <c r="K772" s="34"/>
      <c r="L772" s="26"/>
      <c r="M772" s="26"/>
    </row>
    <row r="773" spans="1:13" ht="12">
      <c r="A773" s="30">
        <f t="shared" si="43"/>
        <v>7</v>
      </c>
      <c r="C773" s="32"/>
      <c r="E773" s="30">
        <f t="shared" si="44"/>
        <v>7</v>
      </c>
      <c r="F773" s="30"/>
      <c r="G773" s="33"/>
      <c r="H773" s="34"/>
      <c r="I773" s="33"/>
      <c r="J773" s="34"/>
      <c r="K773" s="34"/>
      <c r="L773" s="26"/>
      <c r="M773" s="26"/>
    </row>
    <row r="774" spans="1:13" ht="12">
      <c r="A774" s="30">
        <f t="shared" si="43"/>
        <v>8</v>
      </c>
      <c r="C774" s="32"/>
      <c r="E774" s="30">
        <f t="shared" si="44"/>
        <v>8</v>
      </c>
      <c r="F774" s="30"/>
      <c r="G774" s="33"/>
      <c r="H774" s="34"/>
      <c r="I774" s="33"/>
      <c r="J774" s="34"/>
      <c r="K774" s="34"/>
      <c r="L774" s="26"/>
      <c r="M774" s="26"/>
    </row>
    <row r="775" spans="1:13" ht="12">
      <c r="A775" s="30">
        <f t="shared" si="43"/>
        <v>9</v>
      </c>
      <c r="C775" s="32"/>
      <c r="E775" s="30">
        <f t="shared" si="44"/>
        <v>9</v>
      </c>
      <c r="F775" s="30"/>
      <c r="G775" s="33"/>
      <c r="H775" s="34"/>
      <c r="I775" s="33"/>
      <c r="J775" s="34"/>
      <c r="K775" s="34"/>
      <c r="L775" s="26"/>
      <c r="M775" s="26"/>
    </row>
    <row r="776" spans="1:13" ht="12">
      <c r="A776" s="30">
        <f t="shared" si="43"/>
        <v>10</v>
      </c>
      <c r="C776" s="32"/>
      <c r="E776" s="30">
        <f t="shared" si="44"/>
        <v>10</v>
      </c>
      <c r="F776" s="30"/>
      <c r="G776" s="33"/>
      <c r="H776" s="34"/>
      <c r="I776" s="33"/>
      <c r="J776" s="34"/>
      <c r="K776" s="34"/>
      <c r="L776" s="26"/>
      <c r="M776" s="26"/>
    </row>
    <row r="777" spans="1:13" ht="12">
      <c r="A777" s="30">
        <f t="shared" si="43"/>
        <v>11</v>
      </c>
      <c r="C777" s="32"/>
      <c r="E777" s="30">
        <f t="shared" si="44"/>
        <v>11</v>
      </c>
      <c r="F777" s="30"/>
      <c r="G777" s="33"/>
      <c r="H777" s="34"/>
      <c r="I777" s="33"/>
      <c r="J777" s="34"/>
      <c r="K777" s="34"/>
      <c r="L777" s="26"/>
      <c r="M777" s="26"/>
    </row>
    <row r="778" spans="1:13" ht="12">
      <c r="A778" s="30">
        <f t="shared" si="43"/>
        <v>12</v>
      </c>
      <c r="C778" s="32"/>
      <c r="E778" s="30">
        <f t="shared" si="44"/>
        <v>12</v>
      </c>
      <c r="F778" s="30"/>
      <c r="G778" s="33"/>
      <c r="H778" s="34"/>
      <c r="I778" s="33"/>
      <c r="J778" s="34"/>
      <c r="K778" s="34"/>
      <c r="L778" s="26"/>
      <c r="M778" s="26"/>
    </row>
    <row r="779" spans="1:13" ht="12">
      <c r="A779" s="30">
        <f t="shared" si="43"/>
        <v>13</v>
      </c>
      <c r="C779" s="32"/>
      <c r="E779" s="30">
        <f t="shared" si="44"/>
        <v>13</v>
      </c>
      <c r="F779" s="30"/>
      <c r="G779" s="33"/>
      <c r="H779" s="34"/>
      <c r="I779" s="33"/>
      <c r="J779" s="34"/>
      <c r="K779" s="34"/>
      <c r="L779" s="26"/>
      <c r="M779" s="26"/>
    </row>
    <row r="780" spans="1:13" ht="12">
      <c r="A780" s="30">
        <f t="shared" si="43"/>
        <v>14</v>
      </c>
      <c r="C780" s="32"/>
      <c r="E780" s="30">
        <f t="shared" si="44"/>
        <v>14</v>
      </c>
      <c r="F780" s="30"/>
      <c r="G780" s="33"/>
      <c r="H780" s="34"/>
      <c r="I780" s="33"/>
      <c r="J780" s="34"/>
      <c r="K780" s="34"/>
      <c r="L780" s="26"/>
      <c r="M780" s="26"/>
    </row>
    <row r="781" spans="1:13" ht="12">
      <c r="A781" s="30">
        <f t="shared" si="43"/>
        <v>15</v>
      </c>
      <c r="C781" s="32"/>
      <c r="E781" s="30">
        <f t="shared" si="44"/>
        <v>15</v>
      </c>
      <c r="F781" s="30"/>
      <c r="G781" s="33"/>
      <c r="H781" s="34"/>
      <c r="I781" s="33"/>
      <c r="J781" s="34"/>
      <c r="K781" s="34"/>
      <c r="L781" s="26"/>
      <c r="M781" s="26"/>
    </row>
    <row r="782" spans="1:13" ht="12">
      <c r="A782" s="30">
        <f t="shared" si="43"/>
        <v>16</v>
      </c>
      <c r="C782" s="32"/>
      <c r="E782" s="30">
        <f t="shared" si="44"/>
        <v>16</v>
      </c>
      <c r="F782" s="30"/>
      <c r="G782" s="33"/>
      <c r="H782" s="34"/>
      <c r="I782" s="33"/>
      <c r="J782" s="34"/>
      <c r="K782" s="34"/>
      <c r="L782" s="26"/>
      <c r="M782" s="26"/>
    </row>
    <row r="783" spans="1:13" ht="12">
      <c r="A783" s="30">
        <f t="shared" si="43"/>
        <v>17</v>
      </c>
      <c r="C783" s="32"/>
      <c r="E783" s="30">
        <f t="shared" si="44"/>
        <v>17</v>
      </c>
      <c r="F783" s="30"/>
      <c r="G783" s="33"/>
      <c r="H783" s="34"/>
      <c r="I783" s="33"/>
      <c r="J783" s="34"/>
      <c r="K783" s="34"/>
      <c r="L783" s="26"/>
      <c r="M783" s="26"/>
    </row>
    <row r="784" spans="1:13" ht="12">
      <c r="A784" s="30">
        <f t="shared" si="43"/>
        <v>18</v>
      </c>
      <c r="C784" s="32"/>
      <c r="E784" s="30">
        <f t="shared" si="44"/>
        <v>18</v>
      </c>
      <c r="F784" s="30"/>
      <c r="G784" s="33"/>
      <c r="H784" s="34"/>
      <c r="I784" s="33"/>
      <c r="J784" s="34"/>
      <c r="K784" s="34"/>
      <c r="L784" s="26"/>
      <c r="M784" s="26"/>
    </row>
    <row r="785" spans="1:13" ht="12">
      <c r="A785" s="30">
        <f t="shared" si="43"/>
        <v>19</v>
      </c>
      <c r="C785" s="32"/>
      <c r="E785" s="30">
        <f t="shared" si="44"/>
        <v>19</v>
      </c>
      <c r="F785" s="30"/>
      <c r="G785" s="33"/>
      <c r="H785" s="34"/>
      <c r="I785" s="33"/>
      <c r="J785" s="34"/>
      <c r="K785" s="34"/>
      <c r="L785" s="26"/>
      <c r="M785" s="26"/>
    </row>
    <row r="786" spans="1:13" ht="12">
      <c r="A786" s="30">
        <v>20</v>
      </c>
      <c r="E786" s="30">
        <v>20</v>
      </c>
      <c r="F786" s="30"/>
      <c r="G786" s="41"/>
      <c r="H786" s="42"/>
      <c r="I786" s="41"/>
      <c r="J786" s="42"/>
      <c r="K786" s="42"/>
      <c r="L786" s="26"/>
      <c r="M786" s="26"/>
    </row>
    <row r="787" spans="1:13" ht="12">
      <c r="A787" s="30">
        <v>21</v>
      </c>
      <c r="E787" s="30">
        <v>21</v>
      </c>
      <c r="F787" s="30"/>
      <c r="G787" s="41"/>
      <c r="H787" s="74"/>
      <c r="I787" s="41"/>
      <c r="J787" s="74"/>
      <c r="K787" s="74"/>
      <c r="L787" s="26"/>
      <c r="M787" s="26"/>
    </row>
    <row r="788" spans="1:13" ht="12">
      <c r="A788" s="30">
        <v>22</v>
      </c>
      <c r="E788" s="30">
        <v>22</v>
      </c>
      <c r="F788" s="30"/>
      <c r="G788" s="36"/>
      <c r="H788" s="74"/>
      <c r="I788" s="36"/>
      <c r="J788" s="74"/>
      <c r="K788" s="74"/>
      <c r="L788" s="26"/>
      <c r="M788" s="26"/>
    </row>
    <row r="789" spans="1:13" ht="12">
      <c r="A789" s="30">
        <v>23</v>
      </c>
      <c r="D789" s="100"/>
      <c r="E789" s="30">
        <v>23</v>
      </c>
      <c r="F789" s="30"/>
      <c r="G789" s="27"/>
      <c r="H789" s="74"/>
      <c r="J789" s="74"/>
      <c r="K789" s="74"/>
      <c r="L789" s="26"/>
      <c r="M789" s="26"/>
    </row>
    <row r="790" spans="1:13" ht="12">
      <c r="A790" s="30">
        <v>24</v>
      </c>
      <c r="D790" s="100"/>
      <c r="E790" s="30">
        <v>24</v>
      </c>
      <c r="F790" s="30"/>
      <c r="G790" s="27"/>
      <c r="H790" s="74"/>
      <c r="J790" s="74"/>
      <c r="K790" s="74"/>
      <c r="L790" s="26"/>
      <c r="M790" s="26"/>
    </row>
    <row r="791" spans="6:13" ht="12">
      <c r="F791" s="41" t="s">
        <v>1</v>
      </c>
      <c r="G791" s="41" t="s">
        <v>1</v>
      </c>
      <c r="H791" s="42"/>
      <c r="I791" s="41"/>
      <c r="J791" s="42"/>
      <c r="K791" s="42"/>
      <c r="L791" s="42" t="s">
        <v>1</v>
      </c>
      <c r="M791" s="42" t="s">
        <v>1</v>
      </c>
    </row>
    <row r="792" spans="1:13" ht="13.5" customHeight="1">
      <c r="A792" s="30">
        <v>25</v>
      </c>
      <c r="C792" s="31" t="s">
        <v>229</v>
      </c>
      <c r="E792" s="30">
        <v>25</v>
      </c>
      <c r="F792" s="30"/>
      <c r="G792" s="122"/>
      <c r="H792" s="121">
        <f>SUM(H767:H790)</f>
        <v>1469966</v>
      </c>
      <c r="I792" s="122"/>
      <c r="J792" s="121">
        <f>SUM(J767:J790)</f>
        <v>1506164</v>
      </c>
      <c r="K792" s="121"/>
      <c r="L792" s="26"/>
      <c r="M792" s="121">
        <f>SUM(M767:M790)</f>
        <v>1686133</v>
      </c>
    </row>
    <row r="793" spans="4:13" ht="12">
      <c r="D793" s="100"/>
      <c r="F793" s="41" t="s">
        <v>1</v>
      </c>
      <c r="G793" s="41" t="s">
        <v>1</v>
      </c>
      <c r="H793" s="42"/>
      <c r="I793" s="41"/>
      <c r="J793" s="42"/>
      <c r="K793" s="42"/>
      <c r="L793" s="42" t="s">
        <v>1</v>
      </c>
      <c r="M793" s="42" t="s">
        <v>1</v>
      </c>
    </row>
    <row r="794" spans="3:13" ht="12">
      <c r="C794" s="26" t="s">
        <v>546</v>
      </c>
      <c r="F794" s="109"/>
      <c r="G794" s="109"/>
      <c r="H794" s="109"/>
      <c r="I794" s="41"/>
      <c r="J794" s="42"/>
      <c r="K794" s="109"/>
      <c r="L794" s="41"/>
      <c r="M794" s="42"/>
    </row>
    <row r="795" spans="9:13" ht="12">
      <c r="I795" s="36"/>
      <c r="J795" s="74"/>
      <c r="L795" s="36"/>
      <c r="M795" s="74"/>
    </row>
    <row r="796" spans="9:13" s="4" customFormat="1" ht="12">
      <c r="I796" s="10"/>
      <c r="J796" s="11"/>
      <c r="L796" s="10"/>
      <c r="M796" s="11"/>
    </row>
    <row r="797" ht="12">
      <c r="A797" s="31"/>
    </row>
    <row r="799" spans="1:13" s="65" customFormat="1" ht="12">
      <c r="A799" s="38" t="str">
        <f>$A$36</f>
        <v>Institution No.:  GFE</v>
      </c>
      <c r="E799" s="70"/>
      <c r="I799" s="71"/>
      <c r="J799" s="72"/>
      <c r="L799" s="71"/>
      <c r="M799" s="37" t="s">
        <v>55</v>
      </c>
    </row>
    <row r="800" spans="1:13" s="65" customFormat="1" ht="12">
      <c r="A800" s="414" t="s">
        <v>155</v>
      </c>
      <c r="B800" s="414"/>
      <c r="C800" s="414"/>
      <c r="D800" s="414"/>
      <c r="E800" s="414"/>
      <c r="F800" s="414"/>
      <c r="G800" s="414"/>
      <c r="H800" s="414"/>
      <c r="I800" s="414"/>
      <c r="J800" s="414"/>
      <c r="K800" s="414"/>
      <c r="L800" s="414"/>
      <c r="M800" s="414"/>
    </row>
    <row r="801" spans="1:13" ht="12">
      <c r="A801" s="38" t="s">
        <v>551</v>
      </c>
      <c r="C801" s="26" t="s">
        <v>553</v>
      </c>
      <c r="I801" s="146"/>
      <c r="J801" s="74"/>
      <c r="L801" s="36"/>
      <c r="M801" s="39" t="str">
        <f>$M$3</f>
        <v>Date: 10/1/2009</v>
      </c>
    </row>
    <row r="802" spans="1:13" ht="12">
      <c r="A802" s="40" t="s">
        <v>1</v>
      </c>
      <c r="B802" s="40" t="s">
        <v>1</v>
      </c>
      <c r="C802" s="40" t="s">
        <v>1</v>
      </c>
      <c r="D802" s="40" t="s">
        <v>1</v>
      </c>
      <c r="E802" s="40" t="s">
        <v>1</v>
      </c>
      <c r="F802" s="40" t="s">
        <v>1</v>
      </c>
      <c r="G802" s="40"/>
      <c r="H802" s="40"/>
      <c r="I802" s="41" t="s">
        <v>1</v>
      </c>
      <c r="J802" s="42" t="s">
        <v>1</v>
      </c>
      <c r="K802" s="40" t="s">
        <v>1</v>
      </c>
      <c r="L802" s="41" t="s">
        <v>1</v>
      </c>
      <c r="M802" s="42" t="s">
        <v>1</v>
      </c>
    </row>
    <row r="803" spans="1:13" ht="12">
      <c r="A803" s="43" t="s">
        <v>2</v>
      </c>
      <c r="E803" s="43" t="s">
        <v>2</v>
      </c>
      <c r="F803" s="44"/>
      <c r="G803" s="45"/>
      <c r="H803" s="44" t="s">
        <v>238</v>
      </c>
      <c r="I803" s="45"/>
      <c r="J803" s="46" t="s">
        <v>240</v>
      </c>
      <c r="K803" s="44"/>
      <c r="L803" s="45"/>
      <c r="M803" s="46" t="s">
        <v>247</v>
      </c>
    </row>
    <row r="804" spans="1:13" ht="12">
      <c r="A804" s="43" t="s">
        <v>4</v>
      </c>
      <c r="C804" s="47" t="s">
        <v>20</v>
      </c>
      <c r="E804" s="43" t="s">
        <v>4</v>
      </c>
      <c r="F804" s="44"/>
      <c r="G804" s="45" t="s">
        <v>21</v>
      </c>
      <c r="H804" s="46" t="s">
        <v>7</v>
      </c>
      <c r="I804" s="45" t="s">
        <v>21</v>
      </c>
      <c r="J804" s="46" t="s">
        <v>7</v>
      </c>
      <c r="K804" s="44"/>
      <c r="L804" s="45" t="s">
        <v>21</v>
      </c>
      <c r="M804" s="46" t="s">
        <v>8</v>
      </c>
    </row>
    <row r="805" spans="1:13" ht="12">
      <c r="A805" s="40" t="s">
        <v>1</v>
      </c>
      <c r="B805" s="40" t="s">
        <v>1</v>
      </c>
      <c r="C805" s="40" t="s">
        <v>1</v>
      </c>
      <c r="D805" s="40" t="s">
        <v>1</v>
      </c>
      <c r="E805" s="40" t="s">
        <v>1</v>
      </c>
      <c r="F805" s="40" t="s">
        <v>1</v>
      </c>
      <c r="G805" s="40"/>
      <c r="H805" s="40"/>
      <c r="I805" s="41" t="s">
        <v>1</v>
      </c>
      <c r="J805" s="42" t="s">
        <v>1</v>
      </c>
      <c r="K805" s="40" t="s">
        <v>1</v>
      </c>
      <c r="L805" s="41" t="s">
        <v>1</v>
      </c>
      <c r="M805" s="42" t="s">
        <v>1</v>
      </c>
    </row>
    <row r="806" spans="1:13" ht="12">
      <c r="A806" s="30">
        <v>1</v>
      </c>
      <c r="C806" s="31" t="s">
        <v>36</v>
      </c>
      <c r="E806" s="30">
        <v>1</v>
      </c>
      <c r="F806" s="30"/>
      <c r="G806" s="126">
        <v>0</v>
      </c>
      <c r="H806" s="1">
        <v>0</v>
      </c>
      <c r="I806" s="126">
        <v>0</v>
      </c>
      <c r="J806" s="1">
        <v>0</v>
      </c>
      <c r="K806" s="1"/>
      <c r="L806" s="26"/>
      <c r="M806" s="26"/>
    </row>
    <row r="807" spans="1:13" ht="12">
      <c r="A807" s="30">
        <v>2</v>
      </c>
      <c r="C807" s="31" t="s">
        <v>37</v>
      </c>
      <c r="E807" s="30">
        <v>2</v>
      </c>
      <c r="F807" s="30"/>
      <c r="G807" s="126"/>
      <c r="H807" s="1"/>
      <c r="I807" s="126"/>
      <c r="J807" s="1">
        <f>1573-1573</f>
        <v>0</v>
      </c>
      <c r="K807" s="1"/>
      <c r="L807" s="26"/>
      <c r="M807" s="26"/>
    </row>
    <row r="808" spans="1:13" ht="12">
      <c r="A808" s="30">
        <v>3</v>
      </c>
      <c r="E808" s="30">
        <v>3</v>
      </c>
      <c r="F808" s="30"/>
      <c r="G808" s="126"/>
      <c r="H808" s="1"/>
      <c r="I808" s="126"/>
      <c r="J808" s="1"/>
      <c r="K808" s="1"/>
      <c r="L808" s="26"/>
      <c r="M808" s="26"/>
    </row>
    <row r="809" spans="1:13" ht="12">
      <c r="A809" s="30">
        <v>4</v>
      </c>
      <c r="C809" s="31" t="s">
        <v>23</v>
      </c>
      <c r="E809" s="30">
        <v>4</v>
      </c>
      <c r="F809" s="30"/>
      <c r="G809" s="126">
        <v>0</v>
      </c>
      <c r="H809" s="1">
        <f>SUM(H806:H808)</f>
        <v>0</v>
      </c>
      <c r="I809" s="126">
        <v>0</v>
      </c>
      <c r="J809" s="1">
        <f>SUM(J806:J808)</f>
        <v>0</v>
      </c>
      <c r="K809" s="1"/>
      <c r="L809" s="26"/>
      <c r="M809" s="1">
        <f>SUM(M806:M808)</f>
        <v>0</v>
      </c>
    </row>
    <row r="810" spans="1:13" ht="12">
      <c r="A810" s="30">
        <v>5</v>
      </c>
      <c r="E810" s="30">
        <v>5</v>
      </c>
      <c r="F810" s="30"/>
      <c r="G810" s="126"/>
      <c r="H810" s="1"/>
      <c r="I810" s="126"/>
      <c r="J810" s="1"/>
      <c r="K810" s="1"/>
      <c r="L810" s="26"/>
      <c r="M810" s="26"/>
    </row>
    <row r="811" spans="1:13" ht="12">
      <c r="A811" s="30">
        <v>6</v>
      </c>
      <c r="E811" s="30">
        <v>6</v>
      </c>
      <c r="F811" s="30"/>
      <c r="G811" s="126"/>
      <c r="H811" s="1"/>
      <c r="I811" s="126"/>
      <c r="J811" s="1"/>
      <c r="K811" s="1"/>
      <c r="L811" s="26"/>
      <c r="M811" s="26"/>
    </row>
    <row r="812" spans="1:13" ht="12">
      <c r="A812" s="30">
        <v>7</v>
      </c>
      <c r="C812" s="31" t="s">
        <v>25</v>
      </c>
      <c r="E812" s="30">
        <v>7</v>
      </c>
      <c r="F812" s="30"/>
      <c r="G812" s="126">
        <v>0</v>
      </c>
      <c r="H812" s="1">
        <v>0</v>
      </c>
      <c r="I812" s="126">
        <v>0</v>
      </c>
      <c r="J812" s="1">
        <v>0</v>
      </c>
      <c r="K812" s="1"/>
      <c r="L812" s="26"/>
      <c r="M812" s="26"/>
    </row>
    <row r="813" spans="1:13" ht="12">
      <c r="A813" s="30">
        <v>8</v>
      </c>
      <c r="C813" s="31" t="s">
        <v>26</v>
      </c>
      <c r="E813" s="30">
        <v>8</v>
      </c>
      <c r="F813" s="30"/>
      <c r="G813" s="126"/>
      <c r="H813" s="1">
        <v>0</v>
      </c>
      <c r="I813" s="126"/>
      <c r="J813" s="1">
        <v>0</v>
      </c>
      <c r="K813" s="1"/>
      <c r="L813" s="26"/>
      <c r="M813" s="26"/>
    </row>
    <row r="814" spans="1:13" ht="12">
      <c r="A814" s="30">
        <v>9</v>
      </c>
      <c r="C814" s="31" t="s">
        <v>27</v>
      </c>
      <c r="E814" s="30">
        <v>9</v>
      </c>
      <c r="F814" s="30"/>
      <c r="G814" s="126">
        <v>0</v>
      </c>
      <c r="H814" s="1">
        <f>SUM(H812:H813)</f>
        <v>0</v>
      </c>
      <c r="I814" s="126">
        <v>0</v>
      </c>
      <c r="J814" s="1">
        <f>SUM(J812:J813)</f>
        <v>0</v>
      </c>
      <c r="K814" s="1"/>
      <c r="L814" s="26"/>
      <c r="M814" s="1">
        <f>SUM(M812:M813)</f>
        <v>0</v>
      </c>
    </row>
    <row r="815" spans="1:13" ht="12">
      <c r="A815" s="30">
        <v>10</v>
      </c>
      <c r="E815" s="30">
        <v>10</v>
      </c>
      <c r="F815" s="30"/>
      <c r="G815" s="126"/>
      <c r="H815" s="1"/>
      <c r="I815" s="126"/>
      <c r="J815" s="1"/>
      <c r="K815" s="1"/>
      <c r="L815" s="26"/>
      <c r="M815" s="26"/>
    </row>
    <row r="816" spans="1:13" ht="12">
      <c r="A816" s="30">
        <v>11</v>
      </c>
      <c r="C816" s="31" t="s">
        <v>28</v>
      </c>
      <c r="E816" s="30">
        <v>11</v>
      </c>
      <c r="F816" s="30"/>
      <c r="G816" s="126">
        <v>0</v>
      </c>
      <c r="H816" s="1">
        <f>SUM(H814,H809)</f>
        <v>0</v>
      </c>
      <c r="I816" s="126">
        <v>0</v>
      </c>
      <c r="J816" s="1">
        <f>SUM(J814,J809)</f>
        <v>0</v>
      </c>
      <c r="K816" s="1"/>
      <c r="L816" s="26"/>
      <c r="M816" s="1">
        <f>SUM(M814,M809)</f>
        <v>0</v>
      </c>
    </row>
    <row r="817" spans="1:13" ht="12">
      <c r="A817" s="30">
        <v>12</v>
      </c>
      <c r="E817" s="30">
        <v>12</v>
      </c>
      <c r="F817" s="30"/>
      <c r="G817" s="126"/>
      <c r="H817" s="1"/>
      <c r="I817" s="126"/>
      <c r="J817" s="1"/>
      <c r="K817" s="1"/>
      <c r="L817" s="26"/>
      <c r="M817" s="26"/>
    </row>
    <row r="818" spans="1:13" ht="12">
      <c r="A818" s="30">
        <v>13</v>
      </c>
      <c r="C818" s="31" t="s">
        <v>38</v>
      </c>
      <c r="E818" s="30">
        <v>13</v>
      </c>
      <c r="F818" s="30"/>
      <c r="G818" s="126"/>
      <c r="H818" s="1">
        <v>0</v>
      </c>
      <c r="I818" s="126"/>
      <c r="J818" s="1">
        <v>0</v>
      </c>
      <c r="K818" s="1"/>
      <c r="L818" s="26"/>
      <c r="M818" s="26"/>
    </row>
    <row r="819" spans="1:13" ht="12">
      <c r="A819" s="30">
        <v>14</v>
      </c>
      <c r="E819" s="30">
        <v>14</v>
      </c>
      <c r="F819" s="30"/>
      <c r="G819" s="126"/>
      <c r="H819" s="1"/>
      <c r="I819" s="126"/>
      <c r="J819" s="1"/>
      <c r="K819" s="1"/>
      <c r="L819" s="26"/>
      <c r="M819" s="26"/>
    </row>
    <row r="820" spans="1:13" ht="12">
      <c r="A820" s="30">
        <v>15</v>
      </c>
      <c r="C820" s="31" t="s">
        <v>30</v>
      </c>
      <c r="E820" s="30">
        <v>15</v>
      </c>
      <c r="F820" s="30"/>
      <c r="G820" s="126"/>
      <c r="H820" s="1">
        <v>0</v>
      </c>
      <c r="I820" s="126"/>
      <c r="J820" s="1">
        <v>0</v>
      </c>
      <c r="K820" s="1"/>
      <c r="L820" s="26"/>
      <c r="M820" s="26"/>
    </row>
    <row r="821" spans="1:13" ht="12">
      <c r="A821" s="30">
        <v>16</v>
      </c>
      <c r="C821" s="31" t="s">
        <v>31</v>
      </c>
      <c r="E821" s="30">
        <v>16</v>
      </c>
      <c r="F821" s="30"/>
      <c r="G821" s="126"/>
      <c r="H821" s="1">
        <f>9661-3057</f>
        <v>6604</v>
      </c>
      <c r="I821" s="126"/>
      <c r="J821" s="1"/>
      <c r="K821" s="1"/>
      <c r="L821" s="26"/>
      <c r="M821" s="26"/>
    </row>
    <row r="822" spans="1:13" ht="12">
      <c r="A822" s="30">
        <v>17</v>
      </c>
      <c r="C822" s="31" t="s">
        <v>32</v>
      </c>
      <c r="E822" s="30">
        <v>17</v>
      </c>
      <c r="F822" s="30"/>
      <c r="G822" s="126"/>
      <c r="H822" s="1">
        <v>0</v>
      </c>
      <c r="I822" s="126"/>
      <c r="J822" s="1">
        <v>0</v>
      </c>
      <c r="K822" s="1"/>
      <c r="L822" s="26"/>
      <c r="M822" s="26"/>
    </row>
    <row r="823" spans="1:13" ht="12">
      <c r="A823" s="30">
        <v>18</v>
      </c>
      <c r="C823" s="31"/>
      <c r="E823" s="30">
        <v>18</v>
      </c>
      <c r="F823" s="30"/>
      <c r="G823" s="126"/>
      <c r="H823" s="1"/>
      <c r="I823" s="126"/>
      <c r="J823" s="1"/>
      <c r="K823" s="1"/>
      <c r="L823" s="26"/>
      <c r="M823" s="26"/>
    </row>
    <row r="824" spans="1:13" ht="12">
      <c r="A824" s="30">
        <v>19</v>
      </c>
      <c r="C824" s="31"/>
      <c r="E824" s="30">
        <v>19</v>
      </c>
      <c r="F824" s="30"/>
      <c r="G824" s="126"/>
      <c r="H824" s="1"/>
      <c r="I824" s="126"/>
      <c r="J824" s="1"/>
      <c r="K824" s="1"/>
      <c r="L824" s="26"/>
      <c r="M824" s="26"/>
    </row>
    <row r="825" spans="1:13" ht="12">
      <c r="A825" s="30">
        <v>20</v>
      </c>
      <c r="C825" s="31"/>
      <c r="E825" s="30">
        <v>20</v>
      </c>
      <c r="F825" s="30"/>
      <c r="G825" s="126"/>
      <c r="H825" s="1"/>
      <c r="I825" s="126"/>
      <c r="J825" s="1"/>
      <c r="K825" s="1"/>
      <c r="L825" s="26"/>
      <c r="M825" s="26"/>
    </row>
    <row r="826" spans="1:13" ht="12">
      <c r="A826" s="30">
        <v>21</v>
      </c>
      <c r="C826" s="31"/>
      <c r="E826" s="30">
        <v>21</v>
      </c>
      <c r="F826" s="30"/>
      <c r="G826" s="126"/>
      <c r="H826" s="1"/>
      <c r="I826" s="126"/>
      <c r="J826" s="1"/>
      <c r="K826" s="1"/>
      <c r="L826" s="26"/>
      <c r="M826" s="26"/>
    </row>
    <row r="827" spans="1:13" ht="12">
      <c r="A827" s="30">
        <v>22</v>
      </c>
      <c r="C827" s="31"/>
      <c r="E827" s="30">
        <v>22</v>
      </c>
      <c r="F827" s="30"/>
      <c r="G827" s="126"/>
      <c r="H827" s="1"/>
      <c r="I827" s="126"/>
      <c r="J827" s="1"/>
      <c r="K827" s="1"/>
      <c r="L827" s="26"/>
      <c r="M827" s="26"/>
    </row>
    <row r="828" spans="1:13" ht="12">
      <c r="A828" s="30">
        <v>23</v>
      </c>
      <c r="C828" s="31"/>
      <c r="E828" s="30">
        <v>23</v>
      </c>
      <c r="F828" s="30"/>
      <c r="G828" s="126"/>
      <c r="H828" s="1"/>
      <c r="I828" s="126"/>
      <c r="J828" s="1"/>
      <c r="K828" s="1"/>
      <c r="L828" s="26"/>
      <c r="M828" s="26"/>
    </row>
    <row r="829" spans="1:13" ht="12">
      <c r="A829" s="30">
        <v>24</v>
      </c>
      <c r="C829" s="31"/>
      <c r="E829" s="30">
        <v>24</v>
      </c>
      <c r="F829" s="30"/>
      <c r="G829" s="90"/>
      <c r="H829" s="119"/>
      <c r="I829" s="90"/>
      <c r="J829" s="119"/>
      <c r="K829" s="119"/>
      <c r="L829" s="26"/>
      <c r="M829" s="26"/>
    </row>
    <row r="830" spans="1:13" ht="12">
      <c r="A830" s="40" t="s">
        <v>1</v>
      </c>
      <c r="B830" s="40" t="s">
        <v>1</v>
      </c>
      <c r="C830" s="40" t="s">
        <v>1</v>
      </c>
      <c r="D830" s="40" t="s">
        <v>1</v>
      </c>
      <c r="E830" s="40" t="s">
        <v>1</v>
      </c>
      <c r="F830" s="40"/>
      <c r="G830" s="41" t="s">
        <v>1</v>
      </c>
      <c r="H830" s="42" t="s">
        <v>1</v>
      </c>
      <c r="I830" s="41" t="s">
        <v>1</v>
      </c>
      <c r="J830" s="42" t="s">
        <v>1</v>
      </c>
      <c r="K830" s="42"/>
      <c r="L830" s="42" t="s">
        <v>1</v>
      </c>
      <c r="M830" s="42" t="s">
        <v>1</v>
      </c>
    </row>
    <row r="831" spans="1:13" ht="13.5" customHeight="1">
      <c r="A831" s="30">
        <v>25</v>
      </c>
      <c r="C831" s="31" t="s">
        <v>230</v>
      </c>
      <c r="E831" s="30">
        <v>25</v>
      </c>
      <c r="F831" s="30"/>
      <c r="G831" s="129">
        <f aca="true" t="shared" si="45" ref="G831:M831">SUM(G816:G829)</f>
        <v>0</v>
      </c>
      <c r="H831" s="121">
        <f t="shared" si="45"/>
        <v>6604</v>
      </c>
      <c r="I831" s="129">
        <f t="shared" si="45"/>
        <v>0</v>
      </c>
      <c r="J831" s="121">
        <f t="shared" si="45"/>
        <v>0</v>
      </c>
      <c r="K831" s="121"/>
      <c r="L831" s="121">
        <f t="shared" si="45"/>
        <v>0</v>
      </c>
      <c r="M831" s="121">
        <f t="shared" si="45"/>
        <v>0</v>
      </c>
    </row>
    <row r="832" spans="5:13" ht="12">
      <c r="E832" s="69"/>
      <c r="F832" s="109" t="s">
        <v>1</v>
      </c>
      <c r="G832" s="109"/>
      <c r="H832" s="109"/>
      <c r="I832" s="41"/>
      <c r="J832" s="42"/>
      <c r="K832" s="109"/>
      <c r="L832" s="41"/>
      <c r="M832" s="42"/>
    </row>
    <row r="834" spans="1:13" ht="12">
      <c r="A834" s="31"/>
      <c r="J834" s="74"/>
      <c r="M834" s="74"/>
    </row>
    <row r="835" spans="1:13" s="65" customFormat="1" ht="12">
      <c r="A835" s="38" t="str">
        <f>$A$36</f>
        <v>Institution No.:  GFE</v>
      </c>
      <c r="E835" s="70"/>
      <c r="I835" s="71"/>
      <c r="J835" s="72"/>
      <c r="L835" s="71"/>
      <c r="M835" s="37" t="s">
        <v>56</v>
      </c>
    </row>
    <row r="836" spans="1:13" s="65" customFormat="1" ht="12">
      <c r="A836" s="416" t="s">
        <v>57</v>
      </c>
      <c r="B836" s="416"/>
      <c r="C836" s="416"/>
      <c r="D836" s="416"/>
      <c r="E836" s="416"/>
      <c r="F836" s="416"/>
      <c r="G836" s="416"/>
      <c r="H836" s="416"/>
      <c r="I836" s="416"/>
      <c r="J836" s="416"/>
      <c r="K836" s="416"/>
      <c r="L836" s="416"/>
      <c r="M836" s="416"/>
    </row>
    <row r="837" spans="1:13" ht="12">
      <c r="A837" s="38" t="s">
        <v>551</v>
      </c>
      <c r="C837" s="26" t="s">
        <v>553</v>
      </c>
      <c r="J837" s="148"/>
      <c r="L837" s="36"/>
      <c r="M837" s="39" t="str">
        <f>$M$3</f>
        <v>Date: 10/1/2009</v>
      </c>
    </row>
    <row r="838" spans="1:13" ht="12">
      <c r="A838" s="40" t="s">
        <v>1</v>
      </c>
      <c r="B838" s="40" t="s">
        <v>1</v>
      </c>
      <c r="C838" s="40" t="s">
        <v>1</v>
      </c>
      <c r="D838" s="40" t="s">
        <v>1</v>
      </c>
      <c r="E838" s="40" t="s">
        <v>1</v>
      </c>
      <c r="F838" s="40" t="s">
        <v>1</v>
      </c>
      <c r="G838" s="40"/>
      <c r="H838" s="40"/>
      <c r="I838" s="41" t="s">
        <v>1</v>
      </c>
      <c r="J838" s="42" t="s">
        <v>1</v>
      </c>
      <c r="K838" s="40" t="s">
        <v>1</v>
      </c>
      <c r="L838" s="41" t="s">
        <v>1</v>
      </c>
      <c r="M838" s="42" t="s">
        <v>1</v>
      </c>
    </row>
    <row r="839" spans="1:13" ht="12">
      <c r="A839" s="43" t="s">
        <v>2</v>
      </c>
      <c r="E839" s="43" t="s">
        <v>2</v>
      </c>
      <c r="F839" s="43"/>
      <c r="G839" s="45"/>
      <c r="H839" s="46" t="s">
        <v>240</v>
      </c>
      <c r="I839" s="45"/>
      <c r="J839" s="46" t="s">
        <v>247</v>
      </c>
      <c r="K839" s="46"/>
      <c r="L839" s="26"/>
      <c r="M839" s="44" t="s">
        <v>576</v>
      </c>
    </row>
    <row r="840" spans="1:13" ht="12">
      <c r="A840" s="43" t="s">
        <v>4</v>
      </c>
      <c r="C840" s="47" t="s">
        <v>20</v>
      </c>
      <c r="E840" s="43" t="s">
        <v>4</v>
      </c>
      <c r="F840" s="43"/>
      <c r="G840" s="45"/>
      <c r="H840" s="46" t="s">
        <v>7</v>
      </c>
      <c r="I840" s="45"/>
      <c r="J840" s="46" t="s">
        <v>7</v>
      </c>
      <c r="K840" s="46"/>
      <c r="L840" s="26"/>
      <c r="M840" s="44" t="s">
        <v>8</v>
      </c>
    </row>
    <row r="841" spans="1:13" ht="12">
      <c r="A841" s="40" t="s">
        <v>1</v>
      </c>
      <c r="B841" s="40" t="s">
        <v>1</v>
      </c>
      <c r="C841" s="40" t="s">
        <v>1</v>
      </c>
      <c r="D841" s="40" t="s">
        <v>1</v>
      </c>
      <c r="E841" s="40" t="s">
        <v>1</v>
      </c>
      <c r="F841" s="40"/>
      <c r="G841" s="41" t="s">
        <v>1</v>
      </c>
      <c r="H841" s="42" t="s">
        <v>1</v>
      </c>
      <c r="I841" s="41" t="s">
        <v>1</v>
      </c>
      <c r="J841" s="42" t="s">
        <v>1</v>
      </c>
      <c r="K841" s="42"/>
      <c r="L841" s="42" t="s">
        <v>1</v>
      </c>
      <c r="M841" s="42" t="s">
        <v>1</v>
      </c>
    </row>
    <row r="842" spans="1:13" ht="12">
      <c r="A842" s="114">
        <v>1</v>
      </c>
      <c r="C842" s="26" t="s">
        <v>58</v>
      </c>
      <c r="E842" s="114">
        <v>1</v>
      </c>
      <c r="F842" s="114"/>
      <c r="G842" s="1"/>
      <c r="H842" s="1">
        <f>130135+111661+5290887+1883221-5290887+5156941-1868281+1820983</f>
        <v>7234660</v>
      </c>
      <c r="I842" s="1"/>
      <c r="J842" s="1">
        <f>6862790+14854</f>
        <v>6877644</v>
      </c>
      <c r="K842" s="1"/>
      <c r="L842" s="26"/>
      <c r="M842" s="256">
        <f>8278326</f>
        <v>8278326</v>
      </c>
    </row>
    <row r="843" spans="1:13" ht="12">
      <c r="A843" s="114">
        <v>2</v>
      </c>
      <c r="E843" s="114">
        <v>2</v>
      </c>
      <c r="F843" s="114"/>
      <c r="G843" s="1"/>
      <c r="H843" s="1"/>
      <c r="I843" s="1"/>
      <c r="J843" s="1">
        <v>0</v>
      </c>
      <c r="K843" s="1"/>
      <c r="L843" s="26"/>
      <c r="M843" s="256"/>
    </row>
    <row r="844" spans="1:13" ht="12">
      <c r="A844" s="114">
        <v>3</v>
      </c>
      <c r="C844" s="32"/>
      <c r="E844" s="114">
        <v>3</v>
      </c>
      <c r="F844" s="114"/>
      <c r="G844" s="1"/>
      <c r="H844" s="1">
        <v>0</v>
      </c>
      <c r="I844" s="1"/>
      <c r="J844" s="1">
        <v>0</v>
      </c>
      <c r="K844" s="1"/>
      <c r="L844" s="26"/>
      <c r="M844" s="256"/>
    </row>
    <row r="845" spans="1:13" ht="12">
      <c r="A845" s="114">
        <v>4</v>
      </c>
      <c r="C845" s="32"/>
      <c r="E845" s="114">
        <v>4</v>
      </c>
      <c r="F845" s="114"/>
      <c r="G845" s="1"/>
      <c r="H845" s="1">
        <v>0</v>
      </c>
      <c r="I845" s="1"/>
      <c r="J845" s="1">
        <v>0</v>
      </c>
      <c r="K845" s="1"/>
      <c r="L845" s="26"/>
      <c r="M845" s="256"/>
    </row>
    <row r="846" spans="1:13" ht="12">
      <c r="A846" s="114">
        <v>5</v>
      </c>
      <c r="C846" s="31"/>
      <c r="E846" s="114">
        <v>5</v>
      </c>
      <c r="F846" s="114"/>
      <c r="G846" s="1"/>
      <c r="H846" s="1">
        <v>0</v>
      </c>
      <c r="I846" s="1"/>
      <c r="J846" s="1">
        <v>0</v>
      </c>
      <c r="K846" s="1"/>
      <c r="L846" s="26"/>
      <c r="M846" s="256"/>
    </row>
    <row r="847" spans="1:13" ht="12">
      <c r="A847" s="114">
        <v>6</v>
      </c>
      <c r="C847" s="32"/>
      <c r="E847" s="114">
        <v>6</v>
      </c>
      <c r="F847" s="114"/>
      <c r="G847" s="1"/>
      <c r="H847" s="1">
        <v>0</v>
      </c>
      <c r="I847" s="1"/>
      <c r="J847" s="1">
        <v>0</v>
      </c>
      <c r="K847" s="1"/>
      <c r="L847" s="26"/>
      <c r="M847" s="256"/>
    </row>
    <row r="848" spans="1:13" ht="12">
      <c r="A848" s="114">
        <v>7</v>
      </c>
      <c r="C848" s="32"/>
      <c r="E848" s="114">
        <v>7</v>
      </c>
      <c r="F848" s="114"/>
      <c r="G848" s="1"/>
      <c r="H848" s="1">
        <v>0</v>
      </c>
      <c r="I848" s="1"/>
      <c r="J848" s="1">
        <v>0</v>
      </c>
      <c r="K848" s="1"/>
      <c r="L848" s="26"/>
      <c r="M848" s="256"/>
    </row>
    <row r="849" spans="1:13" ht="12">
      <c r="A849" s="114">
        <v>8</v>
      </c>
      <c r="E849" s="114">
        <v>8</v>
      </c>
      <c r="F849" s="114"/>
      <c r="G849" s="1"/>
      <c r="H849" s="1">
        <v>0</v>
      </c>
      <c r="I849" s="1"/>
      <c r="J849" s="1">
        <v>0</v>
      </c>
      <c r="K849" s="1"/>
      <c r="L849" s="26"/>
      <c r="M849" s="256"/>
    </row>
    <row r="850" spans="1:13" ht="12">
      <c r="A850" s="114">
        <v>9</v>
      </c>
      <c r="E850" s="114">
        <v>9</v>
      </c>
      <c r="F850" s="114"/>
      <c r="G850" s="1"/>
      <c r="H850" s="1">
        <v>0</v>
      </c>
      <c r="I850" s="1"/>
      <c r="J850" s="1">
        <v>0</v>
      </c>
      <c r="K850" s="1"/>
      <c r="L850" s="26"/>
      <c r="M850" s="256"/>
    </row>
    <row r="851" spans="1:13" ht="12">
      <c r="A851" s="117"/>
      <c r="E851" s="117"/>
      <c r="F851" s="137" t="s">
        <v>1</v>
      </c>
      <c r="G851" s="137" t="s">
        <v>1</v>
      </c>
      <c r="H851" s="137"/>
      <c r="I851" s="137"/>
      <c r="J851" s="137"/>
      <c r="K851" s="137"/>
      <c r="L851" s="137"/>
      <c r="M851" s="176"/>
    </row>
    <row r="852" spans="1:13" ht="12">
      <c r="A852" s="114">
        <v>10</v>
      </c>
      <c r="C852" s="26" t="s">
        <v>86</v>
      </c>
      <c r="E852" s="114">
        <v>10</v>
      </c>
      <c r="F852" s="114"/>
      <c r="G852" s="122"/>
      <c r="H852" s="1">
        <f>SUM(H842:H850)</f>
        <v>7234660</v>
      </c>
      <c r="I852" s="122"/>
      <c r="J852" s="1">
        <f>SUM(J842:J850)</f>
        <v>6877644</v>
      </c>
      <c r="K852" s="1"/>
      <c r="L852" s="26"/>
      <c r="M852" s="251">
        <f>SUM(M842:M850)</f>
        <v>8278326</v>
      </c>
    </row>
    <row r="853" spans="1:13" ht="12">
      <c r="A853" s="114"/>
      <c r="E853" s="114"/>
      <c r="F853" s="137" t="s">
        <v>1</v>
      </c>
      <c r="G853" s="137" t="s">
        <v>1</v>
      </c>
      <c r="H853" s="137"/>
      <c r="I853" s="137"/>
      <c r="J853" s="137"/>
      <c r="K853" s="137"/>
      <c r="L853" s="137"/>
      <c r="M853" s="176"/>
    </row>
    <row r="854" spans="1:13" ht="12">
      <c r="A854" s="114">
        <v>11</v>
      </c>
      <c r="C854" s="32"/>
      <c r="E854" s="114">
        <v>11</v>
      </c>
      <c r="F854" s="114"/>
      <c r="G854" s="1"/>
      <c r="H854" s="1"/>
      <c r="I854" s="1"/>
      <c r="J854" s="1"/>
      <c r="K854" s="1"/>
      <c r="L854" s="26"/>
      <c r="M854" s="256"/>
    </row>
    <row r="855" spans="1:13" ht="12">
      <c r="A855" s="114">
        <v>12</v>
      </c>
      <c r="C855" s="31" t="s">
        <v>157</v>
      </c>
      <c r="E855" s="114">
        <v>12</v>
      </c>
      <c r="F855" s="114"/>
      <c r="G855" s="1"/>
      <c r="H855" s="1">
        <f>706496-7214-180193-1669092-1+2912-25453+19068+87598+15711610+239663+3487910+147213-174504-15563764+15169745-1492314+1454534+1</f>
        <v>17914215</v>
      </c>
      <c r="I855" s="1"/>
      <c r="J855" s="21">
        <f>27345337+3535606-231932-57983-1309394-1000000-500000-140229</f>
        <v>27641405</v>
      </c>
      <c r="K855" s="21"/>
      <c r="L855" s="26"/>
      <c r="M855" s="256">
        <f>-7125580+13507441+718393+1464983+458294-114229-28557+10000000+700000+2000000+7700000-13780+230000+700000</f>
        <v>30196965</v>
      </c>
    </row>
    <row r="856" spans="1:13" ht="12">
      <c r="A856" s="114">
        <v>13</v>
      </c>
      <c r="C856" s="32" t="s">
        <v>547</v>
      </c>
      <c r="E856" s="114">
        <v>13</v>
      </c>
      <c r="F856" s="114"/>
      <c r="G856" s="1"/>
      <c r="H856" s="1">
        <f>374473+1604429+651932+132851</f>
        <v>2763685</v>
      </c>
      <c r="I856" s="1"/>
      <c r="J856" s="1">
        <f>3124931</f>
        <v>3124931</v>
      </c>
      <c r="K856" s="1"/>
      <c r="L856" s="26"/>
      <c r="M856" s="256">
        <f>2000000+600777+722000</f>
        <v>3322777</v>
      </c>
    </row>
    <row r="857" spans="1:13" ht="12">
      <c r="A857" s="114">
        <v>14</v>
      </c>
      <c r="E857" s="114">
        <v>14</v>
      </c>
      <c r="F857" s="114"/>
      <c r="G857" s="1"/>
      <c r="H857" s="1"/>
      <c r="I857" s="1"/>
      <c r="J857" s="1">
        <v>0</v>
      </c>
      <c r="K857" s="1"/>
      <c r="L857" s="26"/>
      <c r="M857" s="256"/>
    </row>
    <row r="858" spans="1:13" ht="12">
      <c r="A858" s="114">
        <v>15</v>
      </c>
      <c r="E858" s="114">
        <v>15</v>
      </c>
      <c r="F858" s="114"/>
      <c r="G858" s="1"/>
      <c r="H858" s="1"/>
      <c r="I858" s="1"/>
      <c r="J858" s="1">
        <v>0</v>
      </c>
      <c r="K858" s="1"/>
      <c r="L858" s="26"/>
      <c r="M858" s="256"/>
    </row>
    <row r="859" spans="1:13" ht="12">
      <c r="A859" s="114">
        <v>16</v>
      </c>
      <c r="E859" s="114">
        <v>16</v>
      </c>
      <c r="F859" s="114"/>
      <c r="G859" s="1"/>
      <c r="H859" s="1">
        <v>0</v>
      </c>
      <c r="I859" s="1"/>
      <c r="J859" s="1">
        <v>0</v>
      </c>
      <c r="K859" s="1"/>
      <c r="L859" s="26"/>
      <c r="M859" s="256"/>
    </row>
    <row r="860" spans="1:13" ht="12">
      <c r="A860" s="114">
        <v>17</v>
      </c>
      <c r="C860" s="115"/>
      <c r="D860" s="116"/>
      <c r="E860" s="114">
        <v>17</v>
      </c>
      <c r="F860" s="114"/>
      <c r="G860" s="1"/>
      <c r="H860" s="1">
        <v>0</v>
      </c>
      <c r="I860" s="1"/>
      <c r="J860" s="1">
        <v>0</v>
      </c>
      <c r="K860" s="1"/>
      <c r="L860" s="26"/>
      <c r="M860" s="256"/>
    </row>
    <row r="861" spans="1:13" ht="12">
      <c r="A861" s="114">
        <v>18</v>
      </c>
      <c r="C861" s="116"/>
      <c r="D861" s="116"/>
      <c r="E861" s="114">
        <v>18</v>
      </c>
      <c r="F861" s="114"/>
      <c r="G861" s="1"/>
      <c r="H861" s="1">
        <v>0</v>
      </c>
      <c r="I861" s="1"/>
      <c r="J861" s="1">
        <v>0</v>
      </c>
      <c r="K861" s="1"/>
      <c r="L861" s="26"/>
      <c r="M861" s="256"/>
    </row>
    <row r="862" spans="1:13" ht="12">
      <c r="A862" s="114"/>
      <c r="C862" s="149"/>
      <c r="D862" s="116"/>
      <c r="E862" s="114"/>
      <c r="F862" s="41" t="s">
        <v>1</v>
      </c>
      <c r="G862" s="41" t="s">
        <v>1</v>
      </c>
      <c r="H862" s="42"/>
      <c r="I862" s="41"/>
      <c r="J862" s="42"/>
      <c r="K862" s="42"/>
      <c r="L862" s="137"/>
      <c r="M862" s="176"/>
    </row>
    <row r="863" spans="1:13" ht="12">
      <c r="A863" s="114">
        <v>19</v>
      </c>
      <c r="C863" s="26" t="s">
        <v>158</v>
      </c>
      <c r="D863" s="116"/>
      <c r="E863" s="114">
        <v>19</v>
      </c>
      <c r="F863" s="114"/>
      <c r="G863" s="121"/>
      <c r="H863" s="121">
        <f>SUM(H854:H861)</f>
        <v>20677900</v>
      </c>
      <c r="I863" s="1"/>
      <c r="J863" s="121">
        <f>SUM(J854:J861)</f>
        <v>30766336</v>
      </c>
      <c r="K863" s="121"/>
      <c r="L863" s="26"/>
      <c r="M863" s="286">
        <f>SUM(M854:M861)</f>
        <v>33519742</v>
      </c>
    </row>
    <row r="864" spans="1:13" ht="12">
      <c r="A864" s="114"/>
      <c r="C864" s="149"/>
      <c r="D864" s="116"/>
      <c r="E864" s="114"/>
      <c r="F864" s="41" t="s">
        <v>1</v>
      </c>
      <c r="G864" s="41" t="s">
        <v>1</v>
      </c>
      <c r="H864" s="42"/>
      <c r="I864" s="41"/>
      <c r="J864" s="42"/>
      <c r="K864" s="42"/>
      <c r="L864" s="137"/>
      <c r="M864" s="176"/>
    </row>
    <row r="865" spans="1:13" ht="12">
      <c r="A865" s="114"/>
      <c r="C865" s="116"/>
      <c r="D865" s="116"/>
      <c r="E865" s="114"/>
      <c r="F865" s="114"/>
      <c r="G865" s="27"/>
      <c r="H865" s="34"/>
      <c r="K865" s="28"/>
      <c r="L865" s="26"/>
      <c r="M865" s="26"/>
    </row>
    <row r="866" spans="1:13" ht="13.5" customHeight="1">
      <c r="A866" s="114">
        <v>20</v>
      </c>
      <c r="C866" s="31" t="s">
        <v>231</v>
      </c>
      <c r="E866" s="114">
        <v>20</v>
      </c>
      <c r="F866" s="114"/>
      <c r="G866" s="122"/>
      <c r="H866" s="121">
        <f>SUM(H852,H863)</f>
        <v>27912560</v>
      </c>
      <c r="I866" s="122"/>
      <c r="J866" s="121">
        <f>SUM(J852,J863)</f>
        <v>37643980</v>
      </c>
      <c r="K866" s="121"/>
      <c r="L866" s="26"/>
      <c r="M866" s="121">
        <f>SUM(M852,M863)</f>
        <v>41798068</v>
      </c>
    </row>
    <row r="867" spans="3:13" ht="13.5" customHeight="1">
      <c r="C867" s="52" t="s">
        <v>87</v>
      </c>
      <c r="E867" s="69"/>
      <c r="F867" s="41" t="s">
        <v>1</v>
      </c>
      <c r="G867" s="41" t="s">
        <v>1</v>
      </c>
      <c r="H867" s="42"/>
      <c r="I867" s="41"/>
      <c r="J867" s="42"/>
      <c r="K867" s="42"/>
      <c r="L867" s="137"/>
      <c r="M867" s="137"/>
    </row>
    <row r="868" ht="12">
      <c r="C868" s="31" t="s">
        <v>0</v>
      </c>
    </row>
    <row r="869" ht="12">
      <c r="D869" s="44"/>
    </row>
    <row r="870" spans="1:13" s="65" customFormat="1" ht="12">
      <c r="A870" s="38" t="str">
        <f>$A$36</f>
        <v>Institution No.:  GFE</v>
      </c>
      <c r="D870" s="147"/>
      <c r="F870" s="70"/>
      <c r="G870" s="70"/>
      <c r="H870" s="70"/>
      <c r="I870" s="71"/>
      <c r="J870" s="72"/>
      <c r="L870" s="150"/>
      <c r="M870" s="112" t="s">
        <v>98</v>
      </c>
    </row>
    <row r="871" spans="1:13" s="65" customFormat="1" ht="12.75" customHeight="1">
      <c r="A871" s="399" t="s">
        <v>156</v>
      </c>
      <c r="B871" s="399"/>
      <c r="C871" s="399"/>
      <c r="D871" s="399"/>
      <c r="E871" s="399"/>
      <c r="F871" s="399"/>
      <c r="G871" s="399"/>
      <c r="H871" s="399"/>
      <c r="I871" s="399"/>
      <c r="J871" s="399"/>
      <c r="K871" s="399"/>
      <c r="L871" s="399"/>
      <c r="M871" s="399"/>
    </row>
    <row r="872" spans="1:13" ht="12">
      <c r="A872" s="38" t="s">
        <v>551</v>
      </c>
      <c r="C872" s="26" t="s">
        <v>572</v>
      </c>
      <c r="D872" s="418"/>
      <c r="E872" s="418"/>
      <c r="F872" s="418"/>
      <c r="G872" s="151"/>
      <c r="H872" s="151"/>
      <c r="M872" s="39" t="str">
        <f>$M$3</f>
        <v>Date: 10/1/2009</v>
      </c>
    </row>
    <row r="873" spans="1:13" ht="12">
      <c r="A873" s="40" t="s">
        <v>1</v>
      </c>
      <c r="B873" s="40" t="s">
        <v>1</v>
      </c>
      <c r="C873" s="40" t="s">
        <v>1</v>
      </c>
      <c r="D873" s="40" t="s">
        <v>1</v>
      </c>
      <c r="E873" s="40" t="s">
        <v>1</v>
      </c>
      <c r="F873" s="40" t="s">
        <v>1</v>
      </c>
      <c r="G873" s="40"/>
      <c r="H873" s="40"/>
      <c r="I873" s="41" t="s">
        <v>1</v>
      </c>
      <c r="J873" s="42" t="s">
        <v>1</v>
      </c>
      <c r="K873" s="40" t="s">
        <v>1</v>
      </c>
      <c r="L873" s="41" t="s">
        <v>1</v>
      </c>
      <c r="M873" s="42" t="s">
        <v>1</v>
      </c>
    </row>
    <row r="874" spans="1:13" ht="12">
      <c r="A874" s="43" t="s">
        <v>2</v>
      </c>
      <c r="D874" s="44"/>
      <c r="E874" s="43" t="s">
        <v>2</v>
      </c>
      <c r="F874" s="44"/>
      <c r="G874" s="405" t="s">
        <v>272</v>
      </c>
      <c r="H874" s="405"/>
      <c r="I874" s="405" t="s">
        <v>241</v>
      </c>
      <c r="J874" s="405"/>
      <c r="K874" s="44"/>
      <c r="L874" s="405" t="s">
        <v>256</v>
      </c>
      <c r="M874" s="405"/>
    </row>
    <row r="875" spans="1:13" ht="12">
      <c r="A875" s="43" t="s">
        <v>4</v>
      </c>
      <c r="C875" s="31" t="s">
        <v>99</v>
      </c>
      <c r="D875" s="44" t="s">
        <v>100</v>
      </c>
      <c r="E875" s="43" t="s">
        <v>4</v>
      </c>
      <c r="F875" s="44"/>
      <c r="G875" s="45" t="s">
        <v>91</v>
      </c>
      <c r="H875" s="46" t="s">
        <v>92</v>
      </c>
      <c r="I875" s="45" t="s">
        <v>91</v>
      </c>
      <c r="J875" s="46" t="s">
        <v>92</v>
      </c>
      <c r="K875" s="44"/>
      <c r="L875" s="45" t="s">
        <v>91</v>
      </c>
      <c r="M875" s="46" t="s">
        <v>92</v>
      </c>
    </row>
    <row r="876" spans="3:13" ht="12">
      <c r="C876" s="26" t="s">
        <v>101</v>
      </c>
      <c r="D876" s="44" t="s">
        <v>102</v>
      </c>
      <c r="E876" s="44"/>
      <c r="F876" s="44"/>
      <c r="G876" s="45" t="s">
        <v>93</v>
      </c>
      <c r="H876" s="46" t="s">
        <v>94</v>
      </c>
      <c r="I876" s="45" t="s">
        <v>93</v>
      </c>
      <c r="J876" s="46" t="s">
        <v>94</v>
      </c>
      <c r="K876" s="44"/>
      <c r="L876" s="45" t="s">
        <v>93</v>
      </c>
      <c r="M876" s="46" t="s">
        <v>94</v>
      </c>
    </row>
    <row r="877" spans="1:13" ht="12">
      <c r="A877" s="40" t="s">
        <v>1</v>
      </c>
      <c r="B877" s="40" t="s">
        <v>1</v>
      </c>
      <c r="C877" s="40" t="s">
        <v>1</v>
      </c>
      <c r="D877" s="40" t="s">
        <v>1</v>
      </c>
      <c r="E877" s="40" t="s">
        <v>1</v>
      </c>
      <c r="F877" s="133" t="s">
        <v>195</v>
      </c>
      <c r="I877" s="41" t="s">
        <v>1</v>
      </c>
      <c r="J877" s="42" t="s">
        <v>1</v>
      </c>
      <c r="K877" s="40" t="s">
        <v>1</v>
      </c>
      <c r="L877" s="41" t="s">
        <v>1</v>
      </c>
      <c r="M877" s="42" t="s">
        <v>1</v>
      </c>
    </row>
    <row r="878" spans="1:13" ht="12">
      <c r="A878" s="40"/>
      <c r="B878" s="40"/>
      <c r="D878" s="47"/>
      <c r="E878" s="40"/>
      <c r="I878" s="41"/>
      <c r="J878" s="42"/>
      <c r="K878" s="109"/>
      <c r="L878" s="41"/>
      <c r="M878" s="42"/>
    </row>
    <row r="879" spans="1:13" ht="12">
      <c r="A879" s="30">
        <v>1</v>
      </c>
      <c r="C879" s="152" t="s">
        <v>95</v>
      </c>
      <c r="D879" s="153"/>
      <c r="E879" s="30">
        <v>1</v>
      </c>
      <c r="F879" s="154"/>
      <c r="G879" s="123"/>
      <c r="H879" s="123"/>
      <c r="I879" s="123"/>
      <c r="J879" s="123"/>
      <c r="K879" s="123"/>
      <c r="L879" s="123"/>
      <c r="M879" s="123"/>
    </row>
    <row r="880" spans="1:13" ht="12">
      <c r="A880" s="30">
        <f aca="true" t="shared" si="46" ref="A880:A902">(A879+1)</f>
        <v>2</v>
      </c>
      <c r="C880" s="278" t="s">
        <v>558</v>
      </c>
      <c r="D880" s="153"/>
      <c r="E880" s="30">
        <f aca="true" t="shared" si="47" ref="E880:E902">(E879+1)</f>
        <v>2</v>
      </c>
      <c r="F880" s="154"/>
      <c r="G880" s="123"/>
      <c r="H880" s="123"/>
      <c r="I880" s="123"/>
      <c r="J880" s="123">
        <v>0</v>
      </c>
      <c r="K880" s="123"/>
      <c r="L880" s="123"/>
      <c r="M880" s="119">
        <v>1367000</v>
      </c>
    </row>
    <row r="881" spans="1:13" ht="24">
      <c r="A881" s="30">
        <f t="shared" si="46"/>
        <v>3</v>
      </c>
      <c r="C881" s="278" t="s">
        <v>559</v>
      </c>
      <c r="D881" s="153"/>
      <c r="E881" s="30">
        <f t="shared" si="47"/>
        <v>3</v>
      </c>
      <c r="F881" s="154"/>
      <c r="G881" s="123"/>
      <c r="H881" s="123"/>
      <c r="J881" s="123"/>
      <c r="K881" s="123"/>
      <c r="L881" s="123"/>
      <c r="M881" s="123">
        <v>8200925</v>
      </c>
    </row>
    <row r="882" spans="1:12" ht="11.25" customHeight="1">
      <c r="A882" s="30">
        <f t="shared" si="46"/>
        <v>4</v>
      </c>
      <c r="C882" s="278" t="s">
        <v>560</v>
      </c>
      <c r="E882" s="30">
        <f t="shared" si="47"/>
        <v>4</v>
      </c>
      <c r="F882" s="154"/>
      <c r="G882" s="123">
        <v>13143313</v>
      </c>
      <c r="H882" s="123"/>
      <c r="I882" s="123">
        <v>13145713</v>
      </c>
      <c r="J882" s="123"/>
      <c r="K882" s="123"/>
      <c r="L882" s="123">
        <v>13142688</v>
      </c>
    </row>
    <row r="883" spans="1:13" ht="12">
      <c r="A883" s="30">
        <f t="shared" si="46"/>
        <v>5</v>
      </c>
      <c r="C883" s="282" t="s">
        <v>561</v>
      </c>
      <c r="D883" s="155"/>
      <c r="E883" s="30">
        <f t="shared" si="47"/>
        <v>5</v>
      </c>
      <c r="F883" s="154"/>
      <c r="G883" s="123"/>
      <c r="H883" s="123"/>
      <c r="I883" s="123"/>
      <c r="J883" s="123">
        <v>5349033</v>
      </c>
      <c r="K883" s="123"/>
      <c r="L883" s="123"/>
      <c r="M883" s="123"/>
    </row>
    <row r="884" spans="1:13" ht="12">
      <c r="A884" s="30">
        <f t="shared" si="46"/>
        <v>6</v>
      </c>
      <c r="C884" s="283" t="s">
        <v>562</v>
      </c>
      <c r="D884" s="155"/>
      <c r="E884" s="30">
        <f t="shared" si="47"/>
        <v>6</v>
      </c>
      <c r="F884" s="154"/>
      <c r="G884" s="123"/>
      <c r="H884" s="123"/>
      <c r="I884" s="123"/>
      <c r="J884" s="123">
        <v>1834143</v>
      </c>
      <c r="K884" s="123"/>
      <c r="L884" s="123"/>
      <c r="M884" s="123"/>
    </row>
    <row r="885" spans="1:13" ht="12">
      <c r="A885" s="30">
        <f t="shared" si="46"/>
        <v>7</v>
      </c>
      <c r="C885" s="283" t="s">
        <v>563</v>
      </c>
      <c r="D885" s="153"/>
      <c r="E885" s="30">
        <f t="shared" si="47"/>
        <v>7</v>
      </c>
      <c r="F885" s="154"/>
      <c r="G885" s="123"/>
      <c r="H885" s="123"/>
      <c r="I885" s="123"/>
      <c r="J885" s="123">
        <v>42032512</v>
      </c>
      <c r="K885" s="123"/>
      <c r="L885" s="123"/>
      <c r="M885" s="123"/>
    </row>
    <row r="886" spans="1:13" ht="13.5" customHeight="1">
      <c r="A886" s="30">
        <f t="shared" si="46"/>
        <v>8</v>
      </c>
      <c r="C886" s="283" t="s">
        <v>566</v>
      </c>
      <c r="D886" s="156"/>
      <c r="E886" s="30">
        <f t="shared" si="47"/>
        <v>8</v>
      </c>
      <c r="F886" s="154"/>
      <c r="G886" s="123"/>
      <c r="H886" s="123"/>
      <c r="I886" s="123"/>
      <c r="J886" s="123">
        <v>4835000</v>
      </c>
      <c r="K886" s="123"/>
      <c r="L886" s="123"/>
      <c r="M886" s="123"/>
    </row>
    <row r="887" spans="1:13" ht="12">
      <c r="A887" s="30">
        <f t="shared" si="46"/>
        <v>9</v>
      </c>
      <c r="C887" s="282" t="s">
        <v>567</v>
      </c>
      <c r="D887" s="155"/>
      <c r="E887" s="30">
        <f t="shared" si="47"/>
        <v>9</v>
      </c>
      <c r="F887" s="154"/>
      <c r="G887" s="123"/>
      <c r="H887" s="123">
        <v>1282093</v>
      </c>
      <c r="I887" s="123"/>
      <c r="J887" s="123"/>
      <c r="K887" s="123"/>
      <c r="L887" s="123"/>
      <c r="M887" s="123"/>
    </row>
    <row r="888" spans="1:13" ht="12">
      <c r="A888" s="30">
        <f t="shared" si="46"/>
        <v>10</v>
      </c>
      <c r="D888" s="155"/>
      <c r="E888" s="30">
        <f t="shared" si="47"/>
        <v>10</v>
      </c>
      <c r="F888" s="154"/>
      <c r="G888" s="123"/>
      <c r="H888" s="123"/>
      <c r="I888" s="123"/>
      <c r="J888" s="123"/>
      <c r="K888" s="123"/>
      <c r="L888" s="123"/>
      <c r="M888" s="123"/>
    </row>
    <row r="889" spans="1:13" ht="12">
      <c r="A889" s="30">
        <f t="shared" si="46"/>
        <v>11</v>
      </c>
      <c r="D889" s="153"/>
      <c r="E889" s="30">
        <f t="shared" si="47"/>
        <v>11</v>
      </c>
      <c r="F889" s="154"/>
      <c r="G889" s="123"/>
      <c r="H889" s="123"/>
      <c r="I889" s="123"/>
      <c r="J889" s="123"/>
      <c r="K889" s="123"/>
      <c r="L889" s="123"/>
      <c r="M889" s="123"/>
    </row>
    <row r="890" spans="1:13" ht="12">
      <c r="A890" s="30">
        <f t="shared" si="46"/>
        <v>12</v>
      </c>
      <c r="C890" s="31"/>
      <c r="D890" s="156"/>
      <c r="E890" s="30">
        <f t="shared" si="47"/>
        <v>12</v>
      </c>
      <c r="F890" s="154"/>
      <c r="G890" s="123"/>
      <c r="H890" s="123"/>
      <c r="I890" s="123"/>
      <c r="J890" s="123"/>
      <c r="K890" s="123"/>
      <c r="L890" s="123"/>
      <c r="M890" s="123"/>
    </row>
    <row r="891" spans="1:13" ht="12">
      <c r="A891" s="30">
        <f t="shared" si="46"/>
        <v>13</v>
      </c>
      <c r="D891" s="156"/>
      <c r="E891" s="30">
        <f t="shared" si="47"/>
        <v>13</v>
      </c>
      <c r="F891" s="154"/>
      <c r="G891" s="123"/>
      <c r="H891" s="123"/>
      <c r="I891" s="123"/>
      <c r="J891" s="123"/>
      <c r="K891" s="123"/>
      <c r="L891" s="123"/>
      <c r="M891" s="123"/>
    </row>
    <row r="892" spans="1:13" ht="12">
      <c r="A892" s="30">
        <f t="shared" si="46"/>
        <v>14</v>
      </c>
      <c r="D892" s="153"/>
      <c r="E892" s="30">
        <f t="shared" si="47"/>
        <v>14</v>
      </c>
      <c r="F892" s="154"/>
      <c r="G892" s="123"/>
      <c r="H892" s="123"/>
      <c r="I892" s="119"/>
      <c r="J892" s="119"/>
      <c r="K892" s="123"/>
      <c r="L892" s="123"/>
      <c r="M892" s="123"/>
    </row>
    <row r="893" spans="1:13" ht="12">
      <c r="A893" s="30">
        <f t="shared" si="46"/>
        <v>15</v>
      </c>
      <c r="D893" s="156"/>
      <c r="E893" s="30">
        <f t="shared" si="47"/>
        <v>15</v>
      </c>
      <c r="F893" s="154"/>
      <c r="G893" s="123"/>
      <c r="H893" s="123"/>
      <c r="I893" s="119"/>
      <c r="J893" s="119"/>
      <c r="K893" s="123"/>
      <c r="L893" s="123"/>
      <c r="M893" s="123"/>
    </row>
    <row r="894" spans="1:13" ht="12">
      <c r="A894" s="30">
        <f t="shared" si="46"/>
        <v>16</v>
      </c>
      <c r="C894" s="32"/>
      <c r="D894" s="155"/>
      <c r="E894" s="30">
        <f t="shared" si="47"/>
        <v>16</v>
      </c>
      <c r="F894" s="154"/>
      <c r="G894" s="123"/>
      <c r="H894" s="123"/>
      <c r="I894" s="119"/>
      <c r="J894" s="119"/>
      <c r="K894" s="119"/>
      <c r="L894" s="119"/>
      <c r="M894" s="119"/>
    </row>
    <row r="895" spans="1:13" ht="12">
      <c r="A895" s="30">
        <f t="shared" si="46"/>
        <v>17</v>
      </c>
      <c r="C895" s="32" t="s">
        <v>96</v>
      </c>
      <c r="D895" s="155"/>
      <c r="E895" s="30">
        <f t="shared" si="47"/>
        <v>17</v>
      </c>
      <c r="F895" s="154"/>
      <c r="G895" s="123"/>
      <c r="H895" s="123"/>
      <c r="I895" s="119"/>
      <c r="J895" s="119"/>
      <c r="K895" s="119"/>
      <c r="L895" s="119"/>
      <c r="M895" s="119"/>
    </row>
    <row r="896" spans="1:12" ht="12">
      <c r="A896" s="30">
        <f t="shared" si="46"/>
        <v>18</v>
      </c>
      <c r="D896" s="155"/>
      <c r="E896" s="30">
        <f t="shared" si="47"/>
        <v>18</v>
      </c>
      <c r="F896" s="154"/>
      <c r="G896" s="123"/>
      <c r="H896" s="123"/>
      <c r="I896" s="119"/>
      <c r="J896" s="119"/>
      <c r="K896" s="119"/>
      <c r="L896" s="119"/>
    </row>
    <row r="897" spans="1:12" ht="12">
      <c r="A897" s="30">
        <f t="shared" si="46"/>
        <v>19</v>
      </c>
      <c r="D897" s="155"/>
      <c r="E897" s="30">
        <f t="shared" si="47"/>
        <v>19</v>
      </c>
      <c r="F897" s="154"/>
      <c r="G897" s="123"/>
      <c r="H897" s="123"/>
      <c r="I897" s="123"/>
      <c r="J897" s="123"/>
      <c r="K897" s="123"/>
      <c r="L897" s="123"/>
    </row>
    <row r="898" spans="1:12" ht="10.5" customHeight="1">
      <c r="A898" s="30">
        <f t="shared" si="46"/>
        <v>20</v>
      </c>
      <c r="D898" s="155"/>
      <c r="E898" s="30">
        <f t="shared" si="47"/>
        <v>20</v>
      </c>
      <c r="F898" s="154"/>
      <c r="G898" s="123"/>
      <c r="H898" s="123"/>
      <c r="I898" s="119"/>
      <c r="J898" s="119"/>
      <c r="K898" s="119"/>
      <c r="L898" s="123"/>
    </row>
    <row r="899" spans="1:13" ht="12">
      <c r="A899" s="30">
        <f t="shared" si="46"/>
        <v>21</v>
      </c>
      <c r="D899" s="155"/>
      <c r="E899" s="30">
        <f t="shared" si="47"/>
        <v>21</v>
      </c>
      <c r="G899" s="123"/>
      <c r="H899" s="123"/>
      <c r="I899" s="123"/>
      <c r="J899" s="123"/>
      <c r="K899" s="123"/>
      <c r="L899" s="123"/>
      <c r="M899" s="123"/>
    </row>
    <row r="900" spans="1:13" ht="12">
      <c r="A900" s="30">
        <f t="shared" si="46"/>
        <v>22</v>
      </c>
      <c r="C900" s="32"/>
      <c r="D900" s="155"/>
      <c r="E900" s="30">
        <f t="shared" si="47"/>
        <v>22</v>
      </c>
      <c r="G900" s="123"/>
      <c r="H900" s="123"/>
      <c r="I900" s="123"/>
      <c r="J900" s="123"/>
      <c r="K900" s="123"/>
      <c r="L900" s="123"/>
      <c r="M900" s="123"/>
    </row>
    <row r="901" spans="1:13" ht="12">
      <c r="A901" s="30">
        <f t="shared" si="46"/>
        <v>23</v>
      </c>
      <c r="D901" s="155"/>
      <c r="E901" s="30">
        <f t="shared" si="47"/>
        <v>23</v>
      </c>
      <c r="F901" s="154"/>
      <c r="G901" s="123"/>
      <c r="H901" s="123"/>
      <c r="I901" s="123"/>
      <c r="J901" s="123"/>
      <c r="K901" s="123"/>
      <c r="L901" s="123"/>
      <c r="M901" s="123"/>
    </row>
    <row r="902" spans="1:13" ht="12">
      <c r="A902" s="30">
        <f t="shared" si="46"/>
        <v>24</v>
      </c>
      <c r="D902" s="155"/>
      <c r="E902" s="30">
        <f t="shared" si="47"/>
        <v>24</v>
      </c>
      <c r="F902" s="154"/>
      <c r="G902" s="123"/>
      <c r="H902" s="123"/>
      <c r="I902" s="123"/>
      <c r="J902" s="123"/>
      <c r="K902" s="119"/>
      <c r="L902" s="119"/>
      <c r="M902" s="123"/>
    </row>
    <row r="903" spans="1:13" ht="12">
      <c r="A903" s="26">
        <v>25</v>
      </c>
      <c r="D903" s="155"/>
      <c r="E903" s="26">
        <v>25</v>
      </c>
      <c r="F903" s="154"/>
      <c r="G903" s="123"/>
      <c r="H903" s="123"/>
      <c r="I903" s="121"/>
      <c r="J903" s="121"/>
      <c r="K903" s="119"/>
      <c r="L903" s="123"/>
      <c r="M903" s="123"/>
    </row>
    <row r="904" spans="3:13" ht="12">
      <c r="C904" s="32"/>
      <c r="D904" s="155"/>
      <c r="I904" s="33"/>
      <c r="J904" s="34"/>
      <c r="K904" s="157"/>
      <c r="L904" s="33"/>
      <c r="M904" s="34"/>
    </row>
    <row r="905" spans="4:13" ht="12" customHeight="1">
      <c r="D905" s="156"/>
      <c r="E905" s="158"/>
      <c r="F905" s="40" t="s">
        <v>1</v>
      </c>
      <c r="G905" s="40"/>
      <c r="H905" s="40"/>
      <c r="I905" s="41" t="s">
        <v>1</v>
      </c>
      <c r="J905" s="42" t="s">
        <v>1</v>
      </c>
      <c r="K905" s="159" t="s">
        <v>1</v>
      </c>
      <c r="L905" s="41" t="s">
        <v>1</v>
      </c>
      <c r="M905" s="42" t="s">
        <v>1</v>
      </c>
    </row>
    <row r="906" spans="1:13" ht="12" customHeight="1">
      <c r="A906" s="30">
        <v>26</v>
      </c>
      <c r="C906" s="31" t="s">
        <v>97</v>
      </c>
      <c r="D906" s="153"/>
      <c r="E906" s="30">
        <v>26</v>
      </c>
      <c r="G906" s="121">
        <f>SUM(G878:G904)</f>
        <v>13143313</v>
      </c>
      <c r="H906" s="121">
        <f>SUM(H878:H904)</f>
        <v>1282093</v>
      </c>
      <c r="I906" s="121">
        <f>SUM(I878:I904)</f>
        <v>13145713</v>
      </c>
      <c r="J906" s="121">
        <f>SUM(J878:J904)</f>
        <v>54050688</v>
      </c>
      <c r="K906" s="121"/>
      <c r="L906" s="121">
        <f>SUM(L878:L904)</f>
        <v>13142688</v>
      </c>
      <c r="M906" s="121">
        <f>SUM(M878:M904)</f>
        <v>9567925</v>
      </c>
    </row>
    <row r="907" spans="4:13" ht="12" customHeight="1">
      <c r="D907" s="156"/>
      <c r="E907" s="158"/>
      <c r="F907" s="40" t="s">
        <v>1</v>
      </c>
      <c r="G907" s="40"/>
      <c r="H907" s="40"/>
      <c r="I907" s="41" t="s">
        <v>1</v>
      </c>
      <c r="J907" s="42" t="s">
        <v>1</v>
      </c>
      <c r="K907" s="159" t="s">
        <v>1</v>
      </c>
      <c r="L907" s="41" t="s">
        <v>1</v>
      </c>
      <c r="M907" s="42" t="s">
        <v>1</v>
      </c>
    </row>
    <row r="908" spans="4:13" ht="12" customHeight="1">
      <c r="D908" s="156"/>
      <c r="E908" s="109"/>
      <c r="F908" s="69"/>
      <c r="G908" s="69"/>
      <c r="H908" s="69"/>
      <c r="I908" s="41"/>
      <c r="J908" s="42"/>
      <c r="K908" s="159"/>
      <c r="L908" s="41"/>
      <c r="M908" s="42"/>
    </row>
    <row r="909" spans="4:13" ht="12" customHeight="1">
      <c r="D909" s="156"/>
      <c r="E909" s="109"/>
      <c r="F909" s="69"/>
      <c r="G909" s="69"/>
      <c r="H909" s="69"/>
      <c r="I909" s="41"/>
      <c r="J909" s="42"/>
      <c r="K909" s="159"/>
      <c r="L909" s="41"/>
      <c r="M909" s="42"/>
    </row>
    <row r="910" spans="4:13" ht="12" customHeight="1">
      <c r="D910" s="156"/>
      <c r="E910" s="109"/>
      <c r="F910" s="69"/>
      <c r="G910" s="69"/>
      <c r="H910" s="69"/>
      <c r="I910" s="41"/>
      <c r="J910" s="42"/>
      <c r="K910" s="159"/>
      <c r="L910" s="41"/>
      <c r="M910" s="42"/>
    </row>
    <row r="911" spans="4:13" ht="12" customHeight="1">
      <c r="D911" s="156"/>
      <c r="E911" s="109"/>
      <c r="F911" s="69"/>
      <c r="G911" s="69"/>
      <c r="H911" s="69"/>
      <c r="I911" s="41"/>
      <c r="J911" s="42"/>
      <c r="K911" s="159"/>
      <c r="L911" s="41"/>
      <c r="M911" s="42"/>
    </row>
    <row r="912" spans="4:13" ht="12" customHeight="1">
      <c r="D912" s="156"/>
      <c r="E912" s="109"/>
      <c r="F912" s="69"/>
      <c r="G912" s="69"/>
      <c r="H912" s="69"/>
      <c r="I912" s="41"/>
      <c r="J912" s="42"/>
      <c r="K912" s="159"/>
      <c r="L912" s="41"/>
      <c r="M912" s="42"/>
    </row>
    <row r="913" spans="4:13" ht="12" customHeight="1">
      <c r="D913" s="156"/>
      <c r="E913" s="109"/>
      <c r="F913" s="69"/>
      <c r="G913" s="69"/>
      <c r="H913" s="69"/>
      <c r="I913" s="41"/>
      <c r="J913" s="42"/>
      <c r="K913" s="159"/>
      <c r="L913" s="41"/>
      <c r="M913" s="42"/>
    </row>
    <row r="914" spans="4:13" ht="12" customHeight="1">
      <c r="D914" s="156"/>
      <c r="E914" s="109"/>
      <c r="F914" s="69"/>
      <c r="G914" s="69"/>
      <c r="H914" s="69"/>
      <c r="I914" s="41"/>
      <c r="J914" s="42"/>
      <c r="K914" s="159"/>
      <c r="L914" s="41"/>
      <c r="M914" s="42"/>
    </row>
    <row r="915" spans="4:13" ht="12" customHeight="1">
      <c r="D915" s="156"/>
      <c r="E915" s="109"/>
      <c r="F915" s="69"/>
      <c r="G915" s="69"/>
      <c r="H915" s="69"/>
      <c r="I915" s="41"/>
      <c r="J915" s="42"/>
      <c r="K915" s="159"/>
      <c r="L915" s="41"/>
      <c r="M915" s="42"/>
    </row>
    <row r="916" spans="4:13" ht="12" customHeight="1">
      <c r="D916" s="156"/>
      <c r="E916" s="109"/>
      <c r="F916" s="69"/>
      <c r="G916" s="69"/>
      <c r="H916" s="69"/>
      <c r="I916" s="41"/>
      <c r="J916" s="42"/>
      <c r="K916" s="159"/>
      <c r="L916" s="41"/>
      <c r="M916" s="42"/>
    </row>
    <row r="917" spans="4:13" ht="12" customHeight="1">
      <c r="D917" s="156"/>
      <c r="E917" s="109"/>
      <c r="F917" s="69"/>
      <c r="G917" s="69"/>
      <c r="H917" s="69"/>
      <c r="I917" s="41"/>
      <c r="J917" s="42"/>
      <c r="K917" s="159"/>
      <c r="L917" s="41"/>
      <c r="M917" s="42"/>
    </row>
    <row r="918" spans="4:13" ht="12" customHeight="1">
      <c r="D918" s="156"/>
      <c r="E918" s="109"/>
      <c r="F918" s="69"/>
      <c r="G918" s="69"/>
      <c r="H918" s="69"/>
      <c r="I918" s="41"/>
      <c r="J918" s="42"/>
      <c r="K918" s="159"/>
      <c r="L918" s="41"/>
      <c r="M918" s="42"/>
    </row>
    <row r="919" spans="4:13" ht="12" customHeight="1">
      <c r="D919" s="156"/>
      <c r="E919" s="109"/>
      <c r="F919" s="69"/>
      <c r="G919" s="69"/>
      <c r="H919" s="69"/>
      <c r="I919" s="41"/>
      <c r="J919" s="42"/>
      <c r="K919" s="159"/>
      <c r="L919" s="41"/>
      <c r="M919" s="42"/>
    </row>
    <row r="920" spans="4:13" ht="12" customHeight="1">
      <c r="D920" s="156"/>
      <c r="E920" s="109"/>
      <c r="F920" s="69"/>
      <c r="G920" s="69"/>
      <c r="H920" s="69"/>
      <c r="I920" s="41"/>
      <c r="J920" s="42"/>
      <c r="K920" s="159"/>
      <c r="L920" s="41"/>
      <c r="M920" s="42"/>
    </row>
    <row r="921" spans="4:13" ht="12" customHeight="1">
      <c r="D921" s="156"/>
      <c r="E921" s="109"/>
      <c r="F921" s="69"/>
      <c r="G921" s="69"/>
      <c r="H921" s="69"/>
      <c r="I921" s="41"/>
      <c r="J921" s="42"/>
      <c r="K921" s="159"/>
      <c r="L921" s="41"/>
      <c r="M921" s="42"/>
    </row>
    <row r="922" spans="4:13" ht="12" customHeight="1">
      <c r="D922" s="156"/>
      <c r="E922" s="109"/>
      <c r="F922" s="69"/>
      <c r="G922" s="69"/>
      <c r="H922" s="69"/>
      <c r="I922" s="41"/>
      <c r="J922" s="42"/>
      <c r="K922" s="159"/>
      <c r="L922" s="41"/>
      <c r="M922" s="42"/>
    </row>
    <row r="923" spans="4:13" ht="12" customHeight="1">
      <c r="D923" s="156"/>
      <c r="E923" s="109"/>
      <c r="F923" s="69"/>
      <c r="G923" s="69"/>
      <c r="H923" s="69"/>
      <c r="I923" s="41"/>
      <c r="J923" s="42"/>
      <c r="K923" s="159"/>
      <c r="L923" s="41"/>
      <c r="M923" s="42"/>
    </row>
    <row r="924" spans="4:13" ht="12" customHeight="1">
      <c r="D924" s="156"/>
      <c r="E924" s="109"/>
      <c r="F924" s="69"/>
      <c r="G924" s="69"/>
      <c r="H924" s="69"/>
      <c r="I924" s="41"/>
      <c r="J924" s="42"/>
      <c r="K924" s="159"/>
      <c r="L924" s="41"/>
      <c r="M924" s="42"/>
    </row>
    <row r="925" spans="4:13" ht="12" customHeight="1">
      <c r="D925" s="156"/>
      <c r="E925" s="109"/>
      <c r="F925" s="69"/>
      <c r="G925" s="69"/>
      <c r="H925" s="69"/>
      <c r="I925" s="41"/>
      <c r="J925" s="42"/>
      <c r="K925" s="159"/>
      <c r="L925" s="41"/>
      <c r="M925" s="42"/>
    </row>
    <row r="926" spans="4:13" ht="12" customHeight="1">
      <c r="D926" s="156"/>
      <c r="E926" s="109"/>
      <c r="F926" s="69"/>
      <c r="G926" s="69"/>
      <c r="H926" s="69"/>
      <c r="I926" s="41"/>
      <c r="J926" s="42"/>
      <c r="K926" s="159"/>
      <c r="L926" s="41"/>
      <c r="M926" s="42"/>
    </row>
    <row r="927" spans="4:13" ht="12" customHeight="1">
      <c r="D927" s="156"/>
      <c r="E927" s="109"/>
      <c r="F927" s="69"/>
      <c r="G927" s="69"/>
      <c r="H927" s="69"/>
      <c r="I927" s="41"/>
      <c r="J927" s="42"/>
      <c r="K927" s="159"/>
      <c r="L927" s="41"/>
      <c r="M927" s="42"/>
    </row>
    <row r="928" spans="4:13" ht="12" customHeight="1">
      <c r="D928" s="156"/>
      <c r="E928" s="109"/>
      <c r="F928" s="69"/>
      <c r="G928" s="69"/>
      <c r="H928" s="69"/>
      <c r="I928" s="41"/>
      <c r="J928" s="42"/>
      <c r="K928" s="159"/>
      <c r="L928" s="41"/>
      <c r="M928" s="42"/>
    </row>
    <row r="929" spans="4:13" ht="12" customHeight="1">
      <c r="D929" s="156"/>
      <c r="E929" s="109"/>
      <c r="F929" s="69"/>
      <c r="G929" s="69"/>
      <c r="H929" s="69"/>
      <c r="I929" s="41"/>
      <c r="J929" s="42"/>
      <c r="K929" s="159"/>
      <c r="L929" s="41"/>
      <c r="M929" s="42"/>
    </row>
    <row r="930" spans="4:13" ht="12" customHeight="1">
      <c r="D930" s="156"/>
      <c r="E930" s="109"/>
      <c r="F930" s="69"/>
      <c r="G930" s="69"/>
      <c r="H930" s="69"/>
      <c r="I930" s="41"/>
      <c r="J930" s="42"/>
      <c r="K930" s="159"/>
      <c r="L930" s="41"/>
      <c r="M930" s="42"/>
    </row>
    <row r="931" spans="4:13" ht="12" customHeight="1">
      <c r="D931" s="156"/>
      <c r="E931" s="109"/>
      <c r="F931" s="69"/>
      <c r="G931" s="69"/>
      <c r="H931" s="69"/>
      <c r="I931" s="41"/>
      <c r="J931" s="42"/>
      <c r="K931" s="159"/>
      <c r="L931" s="41"/>
      <c r="M931" s="42"/>
    </row>
    <row r="932" spans="4:13" ht="12" customHeight="1">
      <c r="D932" s="156"/>
      <c r="E932" s="109"/>
      <c r="F932" s="69"/>
      <c r="G932" s="69"/>
      <c r="H932" s="69"/>
      <c r="I932" s="41"/>
      <c r="J932" s="42"/>
      <c r="K932" s="159"/>
      <c r="L932" s="41"/>
      <c r="M932" s="42"/>
    </row>
    <row r="933" spans="4:13" ht="12" customHeight="1">
      <c r="D933" s="156"/>
      <c r="E933" s="109"/>
      <c r="F933" s="69"/>
      <c r="G933" s="69"/>
      <c r="H933" s="69"/>
      <c r="I933" s="41"/>
      <c r="J933" s="42"/>
      <c r="K933" s="159"/>
      <c r="L933" s="41"/>
      <c r="M933" s="42"/>
    </row>
    <row r="934" spans="4:13" ht="12" customHeight="1">
      <c r="D934" s="156"/>
      <c r="E934" s="109"/>
      <c r="F934" s="69"/>
      <c r="G934" s="69"/>
      <c r="H934" s="69"/>
      <c r="I934" s="41"/>
      <c r="J934" s="42"/>
      <c r="K934" s="159"/>
      <c r="L934" s="41"/>
      <c r="M934" s="42"/>
    </row>
    <row r="935" spans="4:13" ht="12" customHeight="1">
      <c r="D935" s="156"/>
      <c r="E935" s="109"/>
      <c r="F935" s="69"/>
      <c r="G935" s="69"/>
      <c r="H935" s="69"/>
      <c r="I935" s="41"/>
      <c r="J935" s="42"/>
      <c r="K935" s="159"/>
      <c r="L935" s="41"/>
      <c r="M935" s="42"/>
    </row>
    <row r="936" spans="4:13" ht="12" customHeight="1">
      <c r="D936" s="156"/>
      <c r="E936" s="109"/>
      <c r="F936" s="69"/>
      <c r="G936" s="69"/>
      <c r="H936" s="69"/>
      <c r="I936" s="41"/>
      <c r="J936" s="42"/>
      <c r="K936" s="159"/>
      <c r="L936" s="41"/>
      <c r="M936" s="42"/>
    </row>
    <row r="937" spans="4:13" ht="12" customHeight="1">
      <c r="D937" s="156"/>
      <c r="E937" s="109"/>
      <c r="F937" s="69"/>
      <c r="G937" s="69"/>
      <c r="H937" s="69"/>
      <c r="I937" s="41"/>
      <c r="J937" s="42"/>
      <c r="K937" s="159"/>
      <c r="L937" s="41"/>
      <c r="M937" s="42"/>
    </row>
    <row r="938" spans="4:13" ht="12" customHeight="1">
      <c r="D938" s="156"/>
      <c r="E938" s="109"/>
      <c r="F938" s="69"/>
      <c r="G938" s="69"/>
      <c r="H938" s="69"/>
      <c r="I938" s="41"/>
      <c r="J938" s="42"/>
      <c r="K938" s="159"/>
      <c r="L938" s="41"/>
      <c r="M938" s="42"/>
    </row>
    <row r="939" spans="4:13" ht="12" customHeight="1">
      <c r="D939" s="156"/>
      <c r="E939" s="109"/>
      <c r="F939" s="69"/>
      <c r="G939" s="69"/>
      <c r="H939" s="69"/>
      <c r="I939" s="41"/>
      <c r="J939" s="42"/>
      <c r="K939" s="159"/>
      <c r="L939" s="41"/>
      <c r="M939" s="42"/>
    </row>
    <row r="940" spans="4:13" ht="12" customHeight="1">
      <c r="D940" s="156"/>
      <c r="E940" s="109"/>
      <c r="F940" s="69"/>
      <c r="G940" s="69"/>
      <c r="H940" s="69"/>
      <c r="I940" s="41"/>
      <c r="J940" s="42"/>
      <c r="K940" s="159"/>
      <c r="L940" s="41"/>
      <c r="M940" s="42"/>
    </row>
    <row r="941" spans="4:13" ht="12" customHeight="1">
      <c r="D941" s="156"/>
      <c r="E941" s="109"/>
      <c r="F941" s="69"/>
      <c r="G941" s="69"/>
      <c r="H941" s="69"/>
      <c r="I941" s="41"/>
      <c r="J941" s="42"/>
      <c r="K941" s="159"/>
      <c r="L941" s="41"/>
      <c r="M941" s="42"/>
    </row>
    <row r="942" spans="4:13" ht="12" customHeight="1">
      <c r="D942" s="156"/>
      <c r="E942" s="109"/>
      <c r="F942" s="69"/>
      <c r="G942" s="69"/>
      <c r="H942" s="69"/>
      <c r="I942" s="41"/>
      <c r="J942" s="42"/>
      <c r="K942" s="159"/>
      <c r="L942" s="41"/>
      <c r="M942" s="42"/>
    </row>
    <row r="943" spans="4:13" ht="12" customHeight="1">
      <c r="D943" s="156"/>
      <c r="E943" s="109"/>
      <c r="F943" s="69"/>
      <c r="G943" s="69"/>
      <c r="H943" s="69"/>
      <c r="I943" s="41"/>
      <c r="J943" s="42"/>
      <c r="K943" s="159"/>
      <c r="L943" s="41"/>
      <c r="M943" s="42"/>
    </row>
    <row r="944" spans="4:13" ht="12" customHeight="1">
      <c r="D944" s="156"/>
      <c r="E944" s="109"/>
      <c r="F944" s="69"/>
      <c r="G944" s="69"/>
      <c r="H944" s="69"/>
      <c r="I944" s="41"/>
      <c r="J944" s="42"/>
      <c r="K944" s="159"/>
      <c r="L944" s="41"/>
      <c r="M944" s="42"/>
    </row>
    <row r="945" spans="4:13" ht="12" customHeight="1">
      <c r="D945" s="156"/>
      <c r="E945" s="109"/>
      <c r="F945" s="69"/>
      <c r="G945" s="69"/>
      <c r="H945" s="69"/>
      <c r="I945" s="41"/>
      <c r="J945" s="42"/>
      <c r="K945" s="159"/>
      <c r="L945" s="41"/>
      <c r="M945" s="42"/>
    </row>
    <row r="946" spans="4:13" ht="12" customHeight="1">
      <c r="D946" s="156"/>
      <c r="E946" s="109"/>
      <c r="F946" s="69"/>
      <c r="G946" s="69"/>
      <c r="H946" s="69"/>
      <c r="I946" s="41"/>
      <c r="J946" s="42"/>
      <c r="K946" s="159"/>
      <c r="L946" s="41"/>
      <c r="M946" s="42"/>
    </row>
    <row r="947" spans="4:13" ht="12" customHeight="1">
      <c r="D947" s="156"/>
      <c r="E947" s="109"/>
      <c r="F947" s="69"/>
      <c r="G947" s="69"/>
      <c r="H947" s="69"/>
      <c r="I947" s="41"/>
      <c r="J947" s="42"/>
      <c r="K947" s="159"/>
      <c r="L947" s="41"/>
      <c r="M947" s="42"/>
    </row>
    <row r="948" spans="4:13" ht="12" customHeight="1">
      <c r="D948" s="156"/>
      <c r="E948" s="109"/>
      <c r="F948" s="69"/>
      <c r="G948" s="69"/>
      <c r="H948" s="69"/>
      <c r="I948" s="41"/>
      <c r="J948" s="42"/>
      <c r="K948" s="159"/>
      <c r="L948" s="41"/>
      <c r="M948" s="42"/>
    </row>
    <row r="949" spans="4:13" ht="12" customHeight="1">
      <c r="D949" s="156"/>
      <c r="E949" s="109"/>
      <c r="F949" s="69"/>
      <c r="G949" s="69"/>
      <c r="H949" s="69"/>
      <c r="I949" s="41"/>
      <c r="J949" s="42"/>
      <c r="K949" s="159"/>
      <c r="L949" s="41"/>
      <c r="M949" s="42"/>
    </row>
    <row r="950" spans="4:13" ht="12" customHeight="1">
      <c r="D950" s="156"/>
      <c r="E950" s="109"/>
      <c r="F950" s="69"/>
      <c r="G950" s="69"/>
      <c r="H950" s="69"/>
      <c r="I950" s="41"/>
      <c r="J950" s="42"/>
      <c r="K950" s="159"/>
      <c r="L950" s="41"/>
      <c r="M950" s="42"/>
    </row>
    <row r="951" spans="4:13" ht="12" customHeight="1">
      <c r="D951" s="156"/>
      <c r="E951" s="109"/>
      <c r="F951" s="69"/>
      <c r="G951" s="69"/>
      <c r="H951" s="69"/>
      <c r="I951" s="41"/>
      <c r="J951" s="42"/>
      <c r="K951" s="159"/>
      <c r="L951" s="41"/>
      <c r="M951" s="42"/>
    </row>
    <row r="952" spans="4:13" ht="12">
      <c r="D952" s="31"/>
      <c r="I952" s="36"/>
      <c r="J952" s="74"/>
      <c r="K952" s="87"/>
      <c r="L952" s="36"/>
      <c r="M952" s="74"/>
    </row>
    <row r="953" spans="4:13" ht="12">
      <c r="D953" s="31"/>
      <c r="I953" s="36"/>
      <c r="J953" s="74"/>
      <c r="K953" s="87"/>
      <c r="L953" s="36"/>
      <c r="M953" s="74"/>
    </row>
    <row r="954" spans="4:13" ht="12">
      <c r="D954" s="31"/>
      <c r="I954" s="36"/>
      <c r="J954" s="74"/>
      <c r="K954" s="87"/>
      <c r="L954" s="36"/>
      <c r="M954" s="74"/>
    </row>
    <row r="955" spans="4:13" ht="12">
      <c r="D955" s="31"/>
      <c r="I955" s="36"/>
      <c r="J955" s="74"/>
      <c r="K955" s="87"/>
      <c r="L955" s="36"/>
      <c r="M955" s="74"/>
    </row>
    <row r="956" spans="4:13" ht="12">
      <c r="D956" s="31"/>
      <c r="I956" s="36"/>
      <c r="J956" s="74"/>
      <c r="K956" s="87"/>
      <c r="L956" s="36"/>
      <c r="M956" s="74"/>
    </row>
    <row r="957" spans="4:13" ht="12">
      <c r="D957" s="31"/>
      <c r="I957" s="36"/>
      <c r="J957" s="74"/>
      <c r="K957" s="87"/>
      <c r="L957" s="36"/>
      <c r="M957" s="74"/>
    </row>
    <row r="958" spans="4:13" ht="12">
      <c r="D958" s="31"/>
      <c r="I958" s="36"/>
      <c r="J958" s="74"/>
      <c r="K958" s="87"/>
      <c r="L958" s="36"/>
      <c r="M958" s="74"/>
    </row>
    <row r="959" spans="4:13" ht="12">
      <c r="D959" s="31"/>
      <c r="I959" s="36"/>
      <c r="J959" s="74"/>
      <c r="K959" s="87"/>
      <c r="L959" s="36"/>
      <c r="M959" s="74"/>
    </row>
    <row r="960" spans="4:13" ht="12">
      <c r="D960" s="31"/>
      <c r="I960" s="36"/>
      <c r="J960" s="74"/>
      <c r="K960" s="87"/>
      <c r="L960" s="36"/>
      <c r="M960" s="74"/>
    </row>
    <row r="961" spans="4:13" ht="12">
      <c r="D961" s="31"/>
      <c r="I961" s="36"/>
      <c r="J961" s="74"/>
      <c r="K961" s="87"/>
      <c r="L961" s="36"/>
      <c r="M961" s="74"/>
    </row>
    <row r="962" spans="4:13" ht="12">
      <c r="D962" s="31"/>
      <c r="I962" s="36"/>
      <c r="J962" s="74"/>
      <c r="K962" s="87"/>
      <c r="L962" s="36"/>
      <c r="M962" s="74"/>
    </row>
    <row r="963" spans="4:13" ht="12">
      <c r="D963" s="31"/>
      <c r="I963" s="36"/>
      <c r="J963" s="74"/>
      <c r="K963" s="87"/>
      <c r="L963" s="36"/>
      <c r="M963" s="74"/>
    </row>
    <row r="964" spans="4:13" ht="12">
      <c r="D964" s="31"/>
      <c r="I964" s="36"/>
      <c r="J964" s="74"/>
      <c r="K964" s="87"/>
      <c r="L964" s="36"/>
      <c r="M964" s="74"/>
    </row>
    <row r="965" spans="4:13" ht="12">
      <c r="D965" s="31"/>
      <c r="I965" s="36"/>
      <c r="J965" s="74"/>
      <c r="K965" s="87"/>
      <c r="L965" s="36"/>
      <c r="M965" s="74"/>
    </row>
    <row r="966" spans="4:13" ht="12">
      <c r="D966" s="31"/>
      <c r="I966" s="36"/>
      <c r="J966" s="74"/>
      <c r="K966" s="87"/>
      <c r="L966" s="36"/>
      <c r="M966" s="74"/>
    </row>
    <row r="967" spans="4:13" ht="12">
      <c r="D967" s="31"/>
      <c r="I967" s="36"/>
      <c r="J967" s="74"/>
      <c r="K967" s="87"/>
      <c r="L967" s="36"/>
      <c r="M967" s="74"/>
    </row>
    <row r="968" spans="4:13" ht="12">
      <c r="D968" s="31"/>
      <c r="I968" s="36"/>
      <c r="J968" s="74"/>
      <c r="K968" s="87"/>
      <c r="L968" s="36"/>
      <c r="M968" s="74"/>
    </row>
    <row r="969" spans="4:13" ht="12">
      <c r="D969" s="31"/>
      <c r="I969" s="36"/>
      <c r="J969" s="74"/>
      <c r="K969" s="87"/>
      <c r="L969" s="36"/>
      <c r="M969" s="74"/>
    </row>
    <row r="970" spans="4:13" ht="12">
      <c r="D970" s="31"/>
      <c r="I970" s="36"/>
      <c r="J970" s="74"/>
      <c r="K970" s="87"/>
      <c r="L970" s="36"/>
      <c r="M970" s="74"/>
    </row>
    <row r="971" spans="4:13" ht="12">
      <c r="D971" s="31"/>
      <c r="I971" s="36"/>
      <c r="J971" s="74"/>
      <c r="K971" s="87"/>
      <c r="L971" s="36"/>
      <c r="M971" s="74"/>
    </row>
    <row r="972" spans="4:13" ht="12">
      <c r="D972" s="31"/>
      <c r="I972" s="36"/>
      <c r="J972" s="74"/>
      <c r="K972" s="87"/>
      <c r="L972" s="36"/>
      <c r="M972" s="74"/>
    </row>
    <row r="973" spans="4:13" ht="12">
      <c r="D973" s="31"/>
      <c r="I973" s="36"/>
      <c r="J973" s="74"/>
      <c r="K973" s="87"/>
      <c r="L973" s="36"/>
      <c r="M973" s="74"/>
    </row>
    <row r="974" spans="4:13" ht="12">
      <c r="D974" s="31"/>
      <c r="I974" s="36"/>
      <c r="J974" s="74"/>
      <c r="K974" s="87"/>
      <c r="L974" s="36"/>
      <c r="M974" s="74"/>
    </row>
    <row r="975" spans="4:13" ht="12">
      <c r="D975" s="31"/>
      <c r="I975" s="36"/>
      <c r="J975" s="74"/>
      <c r="K975" s="87"/>
      <c r="L975" s="36"/>
      <c r="M975" s="74"/>
    </row>
    <row r="976" spans="4:13" ht="12">
      <c r="D976" s="31"/>
      <c r="I976" s="36"/>
      <c r="J976" s="74"/>
      <c r="K976" s="87"/>
      <c r="L976" s="36"/>
      <c r="M976" s="74"/>
    </row>
    <row r="1015" spans="4:13" ht="12">
      <c r="D1015" s="44"/>
      <c r="F1015" s="69"/>
      <c r="G1015" s="69"/>
      <c r="H1015" s="69"/>
      <c r="I1015" s="36"/>
      <c r="J1015" s="74"/>
      <c r="L1015" s="36"/>
      <c r="M1015" s="74"/>
    </row>
  </sheetData>
  <sheetProtection/>
  <mergeCells count="29">
    <mergeCell ref="C9:L9"/>
    <mergeCell ref="A871:M871"/>
    <mergeCell ref="A679:M679"/>
    <mergeCell ref="A5:M5"/>
    <mergeCell ref="A20:M20"/>
    <mergeCell ref="A21:M21"/>
    <mergeCell ref="A495:M495"/>
    <mergeCell ref="A33:M33"/>
    <mergeCell ref="C8:L8"/>
    <mergeCell ref="A383:M383"/>
    <mergeCell ref="G874:H874"/>
    <mergeCell ref="I874:J874"/>
    <mergeCell ref="A532:M532"/>
    <mergeCell ref="A606:M606"/>
    <mergeCell ref="A761:M761"/>
    <mergeCell ref="L874:M874"/>
    <mergeCell ref="A716:M716"/>
    <mergeCell ref="D872:F872"/>
    <mergeCell ref="A836:M836"/>
    <mergeCell ref="A800:M800"/>
    <mergeCell ref="A457:M457"/>
    <mergeCell ref="A78:M78"/>
    <mergeCell ref="A643:M643"/>
    <mergeCell ref="A37:M37"/>
    <mergeCell ref="B224:M224"/>
    <mergeCell ref="A128:M128"/>
    <mergeCell ref="A419:M419"/>
    <mergeCell ref="A177:M177"/>
    <mergeCell ref="A569:M569"/>
  </mergeCells>
  <printOptions/>
  <pageMargins left="0.75" right="0.5" top="1" bottom="1" header="0.5" footer="0.24"/>
  <pageSetup fitToHeight="47" horizontalDpi="600" verticalDpi="600" orientation="landscape" scale="70" r:id="rId1"/>
  <rowBreaks count="23" manualBreakCount="23">
    <brk id="34" max="12" man="1"/>
    <brk id="75" max="12" man="1"/>
    <brk id="125" max="12" man="1"/>
    <brk id="174" max="12" man="1"/>
    <brk id="221" max="255" man="1"/>
    <brk id="271" max="12" man="1"/>
    <brk id="320" max="12" man="1"/>
    <brk id="341" max="12" man="1"/>
    <brk id="380" max="12" man="1"/>
    <brk id="416" max="255" man="1"/>
    <brk id="454" max="12" man="1"/>
    <brk id="492" max="12" man="1"/>
    <brk id="529" max="12" man="1"/>
    <brk id="566" max="12" man="1"/>
    <brk id="603" max="12" man="1"/>
    <brk id="640" max="12" man="1"/>
    <brk id="676" max="12" man="1"/>
    <brk id="713" max="255" man="1"/>
    <brk id="758" max="255" man="1"/>
    <brk id="797" max="12" man="1"/>
    <brk id="833" max="12" man="1"/>
    <brk id="868" max="12" man="1"/>
    <brk id="907" max="255" man="1"/>
  </rowBreaks>
  <ignoredErrors>
    <ignoredError sqref="J65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R330"/>
  <sheetViews>
    <sheetView showGridLines="0" tabSelected="1" zoomScale="75" zoomScaleNormal="75" zoomScaleSheetLayoutView="65" workbookViewId="0" topLeftCell="A1">
      <selection activeCell="Q32" sqref="Q32"/>
    </sheetView>
  </sheetViews>
  <sheetFormatPr defaultColWidth="9.625" defaultRowHeight="12.75"/>
  <cols>
    <col min="1" max="1" width="7.625" style="26" customWidth="1"/>
    <col min="2" max="2" width="1.875" style="26" customWidth="1"/>
    <col min="3" max="3" width="38.625" style="26" customWidth="1"/>
    <col min="4" max="4" width="19.125" style="26" customWidth="1"/>
    <col min="5" max="6" width="8.125" style="26" customWidth="1"/>
    <col min="7" max="7" width="10.625" style="26" customWidth="1"/>
    <col min="8" max="8" width="13.625" style="26" customWidth="1"/>
    <col min="9" max="9" width="10.625" style="27" customWidth="1"/>
    <col min="10" max="10" width="13.625" style="28" customWidth="1"/>
    <col min="11" max="11" width="8.875" style="26" customWidth="1"/>
    <col min="12" max="12" width="9.75390625" style="27" customWidth="1"/>
    <col min="13" max="13" width="13.625" style="28" customWidth="1"/>
    <col min="14" max="14" width="9.625" style="26" customWidth="1"/>
    <col min="15" max="15" width="10.75390625" style="26" bestFit="1" customWidth="1"/>
    <col min="16" max="16384" width="9.625" style="26" customWidth="1"/>
  </cols>
  <sheetData>
    <row r="2" ht="12">
      <c r="M2" s="29"/>
    </row>
    <row r="3" ht="12">
      <c r="M3" s="275" t="s">
        <v>623</v>
      </c>
    </row>
    <row r="5" spans="1:13" ht="45">
      <c r="A5" s="401" t="s">
        <v>145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8" spans="1:13" s="64" customFormat="1" ht="33">
      <c r="A8" s="404" t="s">
        <v>574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</row>
    <row r="9" spans="1:13" s="64" customFormat="1" ht="33">
      <c r="A9" s="404" t="s">
        <v>575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</row>
    <row r="20" spans="1:13" ht="53.25" customHeight="1">
      <c r="A20" s="420" t="s">
        <v>568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</row>
    <row r="21" spans="1:13" ht="53.25" customHeight="1">
      <c r="A21" s="419" t="s">
        <v>569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</row>
    <row r="37" spans="1:13" ht="12.75">
      <c r="A37" s="417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</row>
    <row r="38" spans="1:13" ht="12.75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</row>
    <row r="39" spans="1:13" ht="12">
      <c r="A39" s="38" t="s">
        <v>570</v>
      </c>
      <c r="I39" s="36"/>
      <c r="M39" s="37" t="s">
        <v>18</v>
      </c>
    </row>
    <row r="40" spans="1:13" s="65" customFormat="1" ht="12">
      <c r="A40" s="399" t="s">
        <v>19</v>
      </c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</row>
    <row r="41" spans="1:13" ht="12">
      <c r="A41" s="38" t="str">
        <f>$A$45</f>
        <v>-</v>
      </c>
      <c r="I41" s="36"/>
      <c r="K41" s="24"/>
      <c r="L41" s="36"/>
      <c r="M41" s="39" t="str">
        <f>$M$3</f>
        <v>Date: 10/1/2009</v>
      </c>
    </row>
    <row r="42" spans="1:13" ht="12">
      <c r="A42" s="40" t="s">
        <v>1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/>
      <c r="H42" s="40"/>
      <c r="I42" s="41" t="s">
        <v>1</v>
      </c>
      <c r="J42" s="42" t="s">
        <v>1</v>
      </c>
      <c r="K42" s="40" t="s">
        <v>1</v>
      </c>
      <c r="L42" s="41" t="s">
        <v>1</v>
      </c>
      <c r="M42" s="42" t="s">
        <v>1</v>
      </c>
    </row>
    <row r="43" spans="1:13" ht="12">
      <c r="A43" s="43" t="s">
        <v>2</v>
      </c>
      <c r="C43" s="31" t="s">
        <v>3</v>
      </c>
      <c r="E43" s="43" t="s">
        <v>2</v>
      </c>
      <c r="F43" s="44"/>
      <c r="G43" s="44"/>
      <c r="H43" s="44" t="s">
        <v>240</v>
      </c>
      <c r="I43" s="45"/>
      <c r="J43" s="46" t="s">
        <v>247</v>
      </c>
      <c r="K43" s="44"/>
      <c r="L43" s="45"/>
      <c r="M43" s="46" t="s">
        <v>576</v>
      </c>
    </row>
    <row r="44" spans="1:13" ht="12">
      <c r="A44" s="43" t="s">
        <v>4</v>
      </c>
      <c r="C44" s="47" t="s">
        <v>5</v>
      </c>
      <c r="E44" s="43" t="s">
        <v>4</v>
      </c>
      <c r="F44" s="44"/>
      <c r="G44" s="44" t="s">
        <v>21</v>
      </c>
      <c r="H44" s="44" t="s">
        <v>7</v>
      </c>
      <c r="I44" s="45" t="s">
        <v>6</v>
      </c>
      <c r="J44" s="46" t="s">
        <v>7</v>
      </c>
      <c r="K44" s="44"/>
      <c r="L44" s="45" t="s">
        <v>6</v>
      </c>
      <c r="M44" s="46" t="s">
        <v>8</v>
      </c>
    </row>
    <row r="45" spans="1:13" ht="12">
      <c r="A45" s="40" t="s">
        <v>1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/>
      <c r="H45" s="40"/>
      <c r="I45" s="41" t="s">
        <v>1</v>
      </c>
      <c r="J45" s="41" t="s">
        <v>1</v>
      </c>
      <c r="K45" s="40" t="s">
        <v>1</v>
      </c>
      <c r="L45" s="41" t="s">
        <v>1</v>
      </c>
      <c r="M45" s="42" t="s">
        <v>1</v>
      </c>
    </row>
    <row r="46" spans="1:13" ht="12">
      <c r="A46" s="30">
        <v>1</v>
      </c>
      <c r="C46" s="31" t="s">
        <v>9</v>
      </c>
      <c r="D46" s="48" t="s">
        <v>105</v>
      </c>
      <c r="E46" s="30">
        <v>1</v>
      </c>
      <c r="G46" s="66">
        <v>0</v>
      </c>
      <c r="H46" s="67">
        <v>0</v>
      </c>
      <c r="I46" s="66">
        <v>0</v>
      </c>
      <c r="J46" s="67">
        <v>0</v>
      </c>
      <c r="K46" s="49"/>
      <c r="L46" s="66">
        <v>0</v>
      </c>
      <c r="M46" s="67">
        <v>0</v>
      </c>
    </row>
    <row r="47" spans="1:13" ht="12">
      <c r="A47" s="30">
        <v>2</v>
      </c>
      <c r="C47" s="31" t="s">
        <v>10</v>
      </c>
      <c r="D47" s="48" t="s">
        <v>106</v>
      </c>
      <c r="E47" s="30">
        <v>2</v>
      </c>
      <c r="G47" s="66">
        <v>0</v>
      </c>
      <c r="H47" s="67">
        <v>0</v>
      </c>
      <c r="I47" s="66">
        <v>0</v>
      </c>
      <c r="J47" s="67">
        <v>0</v>
      </c>
      <c r="K47" s="49"/>
      <c r="L47" s="66">
        <v>0</v>
      </c>
      <c r="M47" s="67">
        <v>0</v>
      </c>
    </row>
    <row r="48" spans="1:13" ht="12">
      <c r="A48" s="30">
        <v>3</v>
      </c>
      <c r="C48" s="31" t="s">
        <v>11</v>
      </c>
      <c r="D48" s="48" t="s">
        <v>107</v>
      </c>
      <c r="E48" s="30">
        <v>3</v>
      </c>
      <c r="G48" s="66">
        <v>0</v>
      </c>
      <c r="H48" s="67">
        <v>0</v>
      </c>
      <c r="I48" s="66">
        <v>0</v>
      </c>
      <c r="J48" s="67">
        <v>0</v>
      </c>
      <c r="K48" s="49"/>
      <c r="L48" s="66">
        <v>0</v>
      </c>
      <c r="M48" s="67">
        <v>0</v>
      </c>
    </row>
    <row r="49" spans="1:13" ht="12">
      <c r="A49" s="30">
        <v>4</v>
      </c>
      <c r="C49" s="31" t="s">
        <v>12</v>
      </c>
      <c r="D49" s="48" t="s">
        <v>108</v>
      </c>
      <c r="E49" s="30">
        <v>4</v>
      </c>
      <c r="G49" s="66">
        <v>0</v>
      </c>
      <c r="H49" s="67">
        <v>0</v>
      </c>
      <c r="I49" s="66">
        <v>0</v>
      </c>
      <c r="J49" s="67">
        <v>0</v>
      </c>
      <c r="K49" s="49"/>
      <c r="L49" s="66">
        <v>0</v>
      </c>
      <c r="M49" s="67">
        <v>0</v>
      </c>
    </row>
    <row r="50" spans="1:13" ht="12">
      <c r="A50" s="30">
        <v>5</v>
      </c>
      <c r="C50" s="31" t="s">
        <v>13</v>
      </c>
      <c r="D50" s="48" t="s">
        <v>109</v>
      </c>
      <c r="E50" s="30">
        <v>5</v>
      </c>
      <c r="G50" s="66">
        <v>0</v>
      </c>
      <c r="H50" s="67">
        <v>0</v>
      </c>
      <c r="I50" s="66">
        <v>0</v>
      </c>
      <c r="J50" s="67">
        <v>0</v>
      </c>
      <c r="K50" s="49"/>
      <c r="L50" s="66">
        <v>0</v>
      </c>
      <c r="M50" s="67">
        <v>0</v>
      </c>
    </row>
    <row r="51" spans="1:13" ht="12">
      <c r="A51" s="30">
        <v>6</v>
      </c>
      <c r="C51" s="31" t="s">
        <v>14</v>
      </c>
      <c r="D51" s="48" t="s">
        <v>110</v>
      </c>
      <c r="E51" s="30">
        <v>6</v>
      </c>
      <c r="G51" s="66">
        <v>0</v>
      </c>
      <c r="H51" s="67">
        <v>0</v>
      </c>
      <c r="I51" s="66">
        <v>0</v>
      </c>
      <c r="J51" s="67">
        <v>0</v>
      </c>
      <c r="K51" s="49"/>
      <c r="L51" s="66">
        <v>0</v>
      </c>
      <c r="M51" s="67">
        <v>0</v>
      </c>
    </row>
    <row r="52" spans="1:13" ht="12">
      <c r="A52" s="30">
        <v>7</v>
      </c>
      <c r="C52" s="31" t="s">
        <v>59</v>
      </c>
      <c r="D52" s="48" t="s">
        <v>111</v>
      </c>
      <c r="E52" s="30">
        <v>7</v>
      </c>
      <c r="G52" s="66">
        <v>0</v>
      </c>
      <c r="H52" s="67">
        <v>0</v>
      </c>
      <c r="I52" s="66">
        <v>0</v>
      </c>
      <c r="J52" s="67">
        <v>0</v>
      </c>
      <c r="K52" s="49"/>
      <c r="L52" s="66">
        <v>0</v>
      </c>
      <c r="M52" s="67">
        <v>0</v>
      </c>
    </row>
    <row r="53" spans="1:13" ht="12">
      <c r="A53" s="30">
        <v>8</v>
      </c>
      <c r="C53" s="31" t="s">
        <v>15</v>
      </c>
      <c r="D53" s="48" t="s">
        <v>112</v>
      </c>
      <c r="E53" s="30">
        <v>8</v>
      </c>
      <c r="G53" s="66">
        <v>0</v>
      </c>
      <c r="H53" s="67">
        <v>0</v>
      </c>
      <c r="I53" s="66">
        <v>0</v>
      </c>
      <c r="J53" s="67">
        <v>0</v>
      </c>
      <c r="K53" s="49"/>
      <c r="L53" s="66">
        <v>0</v>
      </c>
      <c r="M53" s="67">
        <v>0</v>
      </c>
    </row>
    <row r="54" spans="1:13" ht="12">
      <c r="A54" s="30">
        <v>9</v>
      </c>
      <c r="C54" s="31" t="s">
        <v>89</v>
      </c>
      <c r="D54" s="48" t="s">
        <v>113</v>
      </c>
      <c r="E54" s="30">
        <v>9</v>
      </c>
      <c r="G54" s="66">
        <v>0</v>
      </c>
      <c r="H54" s="67">
        <v>0</v>
      </c>
      <c r="I54" s="66">
        <v>0</v>
      </c>
      <c r="J54" s="67">
        <v>0</v>
      </c>
      <c r="K54" s="49"/>
      <c r="L54" s="66">
        <v>0</v>
      </c>
      <c r="M54" s="67">
        <v>0</v>
      </c>
    </row>
    <row r="55" spans="1:13" ht="12">
      <c r="A55" s="30">
        <v>10</v>
      </c>
      <c r="C55" s="31" t="s">
        <v>16</v>
      </c>
      <c r="D55" s="48" t="s">
        <v>88</v>
      </c>
      <c r="E55" s="30">
        <v>10</v>
      </c>
      <c r="G55" s="66">
        <v>0</v>
      </c>
      <c r="H55" s="67">
        <v>13746194</v>
      </c>
      <c r="I55" s="66">
        <v>0</v>
      </c>
      <c r="J55" s="67">
        <v>7745828</v>
      </c>
      <c r="K55" s="49"/>
      <c r="L55" s="66">
        <v>0</v>
      </c>
      <c r="M55" s="67">
        <v>6543000</v>
      </c>
    </row>
    <row r="56" spans="1:13" ht="12">
      <c r="A56" s="30"/>
      <c r="C56" s="31"/>
      <c r="D56" s="48"/>
      <c r="E56" s="30"/>
      <c r="F56" s="40" t="s">
        <v>1</v>
      </c>
      <c r="G56" s="40"/>
      <c r="H56" s="68"/>
      <c r="I56" s="41" t="s">
        <v>1</v>
      </c>
      <c r="J56" s="68"/>
      <c r="K56" s="51"/>
      <c r="L56" s="41"/>
      <c r="M56" s="68"/>
    </row>
    <row r="57" spans="1:13" ht="12">
      <c r="A57" s="26">
        <v>11</v>
      </c>
      <c r="C57" s="31" t="s">
        <v>661</v>
      </c>
      <c r="E57" s="26">
        <v>11</v>
      </c>
      <c r="G57" s="66">
        <v>0</v>
      </c>
      <c r="H57" s="67">
        <v>13746194</v>
      </c>
      <c r="I57" s="66">
        <v>0</v>
      </c>
      <c r="J57" s="67">
        <v>7745828</v>
      </c>
      <c r="K57" s="49"/>
      <c r="L57" s="66">
        <v>0</v>
      </c>
      <c r="M57" s="67">
        <v>6543000</v>
      </c>
    </row>
    <row r="58" spans="1:13" ht="12">
      <c r="A58" s="30"/>
      <c r="E58" s="30"/>
      <c r="F58" s="40" t="s">
        <v>1</v>
      </c>
      <c r="G58" s="40"/>
      <c r="H58" s="40"/>
      <c r="I58" s="41" t="s">
        <v>1</v>
      </c>
      <c r="J58" s="42"/>
      <c r="K58" s="51"/>
      <c r="L58" s="41"/>
      <c r="M58" s="42"/>
    </row>
    <row r="59" spans="1:13" ht="12">
      <c r="A59" s="30"/>
      <c r="E59" s="30"/>
      <c r="F59" s="40"/>
      <c r="G59" s="40"/>
      <c r="H59" s="40"/>
      <c r="I59" s="36"/>
      <c r="J59" s="42"/>
      <c r="K59" s="51"/>
      <c r="L59" s="36"/>
      <c r="M59" s="42"/>
    </row>
    <row r="60" spans="1:13" ht="12">
      <c r="A60" s="26">
        <v>12</v>
      </c>
      <c r="C60" s="31" t="s">
        <v>17</v>
      </c>
      <c r="E60" s="26">
        <v>12</v>
      </c>
      <c r="G60" s="49"/>
      <c r="H60" s="49"/>
      <c r="I60" s="50"/>
      <c r="J60" s="50"/>
      <c r="K60" s="49"/>
      <c r="L60" s="66"/>
      <c r="M60" s="50"/>
    </row>
    <row r="61" spans="1:13" ht="12">
      <c r="A61" s="30">
        <v>13</v>
      </c>
      <c r="C61" s="31" t="s">
        <v>196</v>
      </c>
      <c r="D61" s="48" t="s">
        <v>218</v>
      </c>
      <c r="E61" s="30">
        <v>13</v>
      </c>
      <c r="G61" s="66">
        <v>0</v>
      </c>
      <c r="H61" s="67">
        <v>0</v>
      </c>
      <c r="I61" s="66">
        <v>0</v>
      </c>
      <c r="J61" s="67">
        <v>0</v>
      </c>
      <c r="K61" s="49"/>
      <c r="L61" s="66">
        <v>0</v>
      </c>
      <c r="M61" s="67">
        <v>0</v>
      </c>
    </row>
    <row r="62" spans="1:13" ht="12">
      <c r="A62" s="30">
        <v>14</v>
      </c>
      <c r="C62" s="31" t="s">
        <v>197</v>
      </c>
      <c r="D62" s="48" t="s">
        <v>219</v>
      </c>
      <c r="E62" s="30">
        <v>14</v>
      </c>
      <c r="G62" s="66">
        <v>0</v>
      </c>
      <c r="H62" s="67">
        <v>0</v>
      </c>
      <c r="I62" s="66">
        <v>0</v>
      </c>
      <c r="J62" s="67"/>
      <c r="K62" s="49"/>
      <c r="L62" s="66">
        <v>0</v>
      </c>
      <c r="M62" s="67">
        <v>0</v>
      </c>
    </row>
    <row r="63" spans="1:13" ht="12">
      <c r="A63" s="30">
        <v>15</v>
      </c>
      <c r="C63" s="31" t="s">
        <v>215</v>
      </c>
      <c r="D63" s="48"/>
      <c r="E63" s="30">
        <v>15</v>
      </c>
      <c r="G63" s="66"/>
      <c r="H63" s="67">
        <v>0</v>
      </c>
      <c r="I63" s="66"/>
      <c r="J63" s="67"/>
      <c r="K63" s="49"/>
      <c r="L63" s="66"/>
      <c r="M63" s="67"/>
    </row>
    <row r="64" spans="1:13" ht="12">
      <c r="A64" s="30">
        <v>16</v>
      </c>
      <c r="C64" s="31" t="s">
        <v>214</v>
      </c>
      <c r="D64" s="48"/>
      <c r="E64" s="30">
        <v>16</v>
      </c>
      <c r="G64" s="66">
        <v>0</v>
      </c>
      <c r="H64" s="67">
        <v>0</v>
      </c>
      <c r="I64" s="66">
        <v>0</v>
      </c>
      <c r="J64" s="67">
        <v>0</v>
      </c>
      <c r="K64" s="49"/>
      <c r="L64" s="66">
        <v>0</v>
      </c>
      <c r="M64" s="67">
        <v>0</v>
      </c>
    </row>
    <row r="65" spans="1:252" ht="12">
      <c r="A65" s="48">
        <v>17</v>
      </c>
      <c r="B65" s="48"/>
      <c r="C65" s="52" t="s">
        <v>216</v>
      </c>
      <c r="D65" s="48" t="s">
        <v>235</v>
      </c>
      <c r="E65" s="48">
        <v>17</v>
      </c>
      <c r="F65" s="48"/>
      <c r="G65" s="66">
        <v>0</v>
      </c>
      <c r="H65" s="67">
        <v>0</v>
      </c>
      <c r="I65" s="66">
        <v>0</v>
      </c>
      <c r="J65" s="67">
        <v>0</v>
      </c>
      <c r="K65" s="52"/>
      <c r="L65" s="66">
        <v>0</v>
      </c>
      <c r="M65" s="67">
        <v>0</v>
      </c>
      <c r="N65" s="48"/>
      <c r="O65" s="52"/>
      <c r="P65" s="48"/>
      <c r="Q65" s="52"/>
      <c r="R65" s="48"/>
      <c r="S65" s="52"/>
      <c r="T65" s="48"/>
      <c r="U65" s="52"/>
      <c r="V65" s="48"/>
      <c r="W65" s="52"/>
      <c r="X65" s="48"/>
      <c r="Y65" s="52"/>
      <c r="Z65" s="48"/>
      <c r="AA65" s="52"/>
      <c r="AB65" s="48"/>
      <c r="AC65" s="52"/>
      <c r="AD65" s="48"/>
      <c r="AE65" s="52"/>
      <c r="AF65" s="48"/>
      <c r="AG65" s="52"/>
      <c r="AH65" s="48"/>
      <c r="AI65" s="52"/>
      <c r="AJ65" s="48"/>
      <c r="AK65" s="52"/>
      <c r="AL65" s="48"/>
      <c r="AM65" s="52"/>
      <c r="AN65" s="48"/>
      <c r="AO65" s="52"/>
      <c r="AP65" s="48"/>
      <c r="AQ65" s="52"/>
      <c r="AR65" s="48"/>
      <c r="AS65" s="52"/>
      <c r="AT65" s="48"/>
      <c r="AU65" s="52"/>
      <c r="AV65" s="48"/>
      <c r="AW65" s="52"/>
      <c r="AX65" s="48"/>
      <c r="AY65" s="52"/>
      <c r="AZ65" s="48"/>
      <c r="BA65" s="52"/>
      <c r="BB65" s="48"/>
      <c r="BC65" s="52"/>
      <c r="BD65" s="48"/>
      <c r="BE65" s="52"/>
      <c r="BF65" s="48"/>
      <c r="BG65" s="52"/>
      <c r="BH65" s="48"/>
      <c r="BI65" s="52"/>
      <c r="BJ65" s="48"/>
      <c r="BK65" s="52"/>
      <c r="BL65" s="48"/>
      <c r="BM65" s="52"/>
      <c r="BN65" s="48"/>
      <c r="BO65" s="52"/>
      <c r="BP65" s="48"/>
      <c r="BQ65" s="52"/>
      <c r="BR65" s="48"/>
      <c r="BS65" s="52"/>
      <c r="BT65" s="48"/>
      <c r="BU65" s="52"/>
      <c r="BV65" s="48"/>
      <c r="BW65" s="52"/>
      <c r="BX65" s="48"/>
      <c r="BY65" s="52"/>
      <c r="BZ65" s="48"/>
      <c r="CA65" s="52"/>
      <c r="CB65" s="48"/>
      <c r="CC65" s="52"/>
      <c r="CD65" s="48"/>
      <c r="CE65" s="52"/>
      <c r="CF65" s="48"/>
      <c r="CG65" s="52"/>
      <c r="CH65" s="48"/>
      <c r="CI65" s="52"/>
      <c r="CJ65" s="48"/>
      <c r="CK65" s="52"/>
      <c r="CL65" s="48"/>
      <c r="CM65" s="52"/>
      <c r="CN65" s="48"/>
      <c r="CO65" s="52"/>
      <c r="CP65" s="48"/>
      <c r="CQ65" s="52"/>
      <c r="CR65" s="48"/>
      <c r="CS65" s="52"/>
      <c r="CT65" s="48"/>
      <c r="CU65" s="52"/>
      <c r="CV65" s="48"/>
      <c r="CW65" s="52"/>
      <c r="CX65" s="48"/>
      <c r="CY65" s="52"/>
      <c r="CZ65" s="48"/>
      <c r="DA65" s="52"/>
      <c r="DB65" s="48"/>
      <c r="DC65" s="52"/>
      <c r="DD65" s="48"/>
      <c r="DE65" s="52"/>
      <c r="DF65" s="48"/>
      <c r="DG65" s="52"/>
      <c r="DH65" s="48"/>
      <c r="DI65" s="52"/>
      <c r="DJ65" s="48"/>
      <c r="DK65" s="52"/>
      <c r="DL65" s="48"/>
      <c r="DM65" s="52"/>
      <c r="DN65" s="48"/>
      <c r="DO65" s="52"/>
      <c r="DP65" s="48"/>
      <c r="DQ65" s="52"/>
      <c r="DR65" s="48"/>
      <c r="DS65" s="52"/>
      <c r="DT65" s="48"/>
      <c r="DU65" s="52"/>
      <c r="DV65" s="48"/>
      <c r="DW65" s="52"/>
      <c r="DX65" s="48"/>
      <c r="DY65" s="52"/>
      <c r="DZ65" s="48"/>
      <c r="EA65" s="52"/>
      <c r="EB65" s="48"/>
      <c r="EC65" s="52"/>
      <c r="ED65" s="48"/>
      <c r="EE65" s="52"/>
      <c r="EF65" s="48"/>
      <c r="EG65" s="52"/>
      <c r="EH65" s="48"/>
      <c r="EI65" s="52"/>
      <c r="EJ65" s="48"/>
      <c r="EK65" s="52"/>
      <c r="EL65" s="48"/>
      <c r="EM65" s="52"/>
      <c r="EN65" s="48"/>
      <c r="EO65" s="52"/>
      <c r="EP65" s="48"/>
      <c r="EQ65" s="52"/>
      <c r="ER65" s="48"/>
      <c r="ES65" s="52"/>
      <c r="ET65" s="48"/>
      <c r="EU65" s="52"/>
      <c r="EV65" s="48"/>
      <c r="EW65" s="52"/>
      <c r="EX65" s="48"/>
      <c r="EY65" s="52"/>
      <c r="EZ65" s="48"/>
      <c r="FA65" s="52"/>
      <c r="FB65" s="48"/>
      <c r="FC65" s="52"/>
      <c r="FD65" s="48"/>
      <c r="FE65" s="52"/>
      <c r="FF65" s="48"/>
      <c r="FG65" s="52"/>
      <c r="FH65" s="48"/>
      <c r="FI65" s="52"/>
      <c r="FJ65" s="48"/>
      <c r="FK65" s="52"/>
      <c r="FL65" s="48"/>
      <c r="FM65" s="52"/>
      <c r="FN65" s="48"/>
      <c r="FO65" s="52"/>
      <c r="FP65" s="48"/>
      <c r="FQ65" s="52"/>
      <c r="FR65" s="48"/>
      <c r="FS65" s="52"/>
      <c r="FT65" s="48"/>
      <c r="FU65" s="52"/>
      <c r="FV65" s="48"/>
      <c r="FW65" s="52"/>
      <c r="FX65" s="48"/>
      <c r="FY65" s="52"/>
      <c r="FZ65" s="48"/>
      <c r="GA65" s="52"/>
      <c r="GB65" s="48"/>
      <c r="GC65" s="52"/>
      <c r="GD65" s="48"/>
      <c r="GE65" s="52"/>
      <c r="GF65" s="48"/>
      <c r="GG65" s="52"/>
      <c r="GH65" s="48"/>
      <c r="GI65" s="52"/>
      <c r="GJ65" s="48"/>
      <c r="GK65" s="52"/>
      <c r="GL65" s="48"/>
      <c r="GM65" s="52"/>
      <c r="GN65" s="48"/>
      <c r="GO65" s="52"/>
      <c r="GP65" s="48"/>
      <c r="GQ65" s="52"/>
      <c r="GR65" s="48"/>
      <c r="GS65" s="52"/>
      <c r="GT65" s="48"/>
      <c r="GU65" s="52"/>
      <c r="GV65" s="48"/>
      <c r="GW65" s="52"/>
      <c r="GX65" s="48"/>
      <c r="GY65" s="52"/>
      <c r="GZ65" s="48"/>
      <c r="HA65" s="52"/>
      <c r="HB65" s="48"/>
      <c r="HC65" s="52"/>
      <c r="HD65" s="48"/>
      <c r="HE65" s="52"/>
      <c r="HF65" s="48"/>
      <c r="HG65" s="52"/>
      <c r="HH65" s="48"/>
      <c r="HI65" s="52"/>
      <c r="HJ65" s="48"/>
      <c r="HK65" s="52"/>
      <c r="HL65" s="48"/>
      <c r="HM65" s="52"/>
      <c r="HN65" s="48"/>
      <c r="HO65" s="52"/>
      <c r="HP65" s="48"/>
      <c r="HQ65" s="52"/>
      <c r="HR65" s="48"/>
      <c r="HS65" s="52"/>
      <c r="HT65" s="48"/>
      <c r="HU65" s="52"/>
      <c r="HV65" s="48"/>
      <c r="HW65" s="52"/>
      <c r="HX65" s="48"/>
      <c r="HY65" s="52"/>
      <c r="HZ65" s="48"/>
      <c r="IA65" s="52"/>
      <c r="IB65" s="48"/>
      <c r="IC65" s="52"/>
      <c r="ID65" s="48"/>
      <c r="IE65" s="52"/>
      <c r="IF65" s="48"/>
      <c r="IG65" s="52"/>
      <c r="IH65" s="48"/>
      <c r="II65" s="52"/>
      <c r="IJ65" s="48"/>
      <c r="IK65" s="52"/>
      <c r="IL65" s="48"/>
      <c r="IM65" s="52"/>
      <c r="IN65" s="48"/>
      <c r="IO65" s="52"/>
      <c r="IP65" s="48"/>
      <c r="IQ65" s="52"/>
      <c r="IR65" s="48"/>
    </row>
    <row r="66" spans="1:13" ht="12">
      <c r="A66" s="30">
        <v>18</v>
      </c>
      <c r="C66" s="31" t="s">
        <v>217</v>
      </c>
      <c r="D66" s="48" t="s">
        <v>235</v>
      </c>
      <c r="E66" s="30">
        <v>18</v>
      </c>
      <c r="G66" s="66">
        <v>0</v>
      </c>
      <c r="H66" s="67">
        <v>0</v>
      </c>
      <c r="I66" s="66">
        <v>0</v>
      </c>
      <c r="J66" s="67">
        <v>0</v>
      </c>
      <c r="K66" s="49"/>
      <c r="L66" s="66">
        <v>0</v>
      </c>
      <c r="M66" s="67">
        <v>0</v>
      </c>
    </row>
    <row r="67" spans="1:13" ht="12">
      <c r="A67" s="30">
        <v>19</v>
      </c>
      <c r="C67" s="31" t="s">
        <v>182</v>
      </c>
      <c r="D67" s="48" t="s">
        <v>235</v>
      </c>
      <c r="E67" s="30">
        <v>19</v>
      </c>
      <c r="G67" s="66">
        <v>0</v>
      </c>
      <c r="H67" s="67">
        <v>0</v>
      </c>
      <c r="I67" s="66">
        <v>0</v>
      </c>
      <c r="J67" s="67">
        <v>0</v>
      </c>
      <c r="K67" s="49"/>
      <c r="L67" s="66">
        <v>0</v>
      </c>
      <c r="M67" s="67">
        <v>0</v>
      </c>
    </row>
    <row r="68" spans="1:13" ht="12">
      <c r="A68" s="30">
        <v>20</v>
      </c>
      <c r="C68" s="31" t="s">
        <v>159</v>
      </c>
      <c r="D68" s="48" t="s">
        <v>235</v>
      </c>
      <c r="E68" s="30">
        <v>20</v>
      </c>
      <c r="G68" s="66">
        <v>0</v>
      </c>
      <c r="H68" s="67">
        <v>0</v>
      </c>
      <c r="I68" s="66">
        <v>0</v>
      </c>
      <c r="J68" s="67">
        <v>0</v>
      </c>
      <c r="K68" s="49"/>
      <c r="L68" s="66">
        <v>0</v>
      </c>
      <c r="M68" s="67">
        <v>0</v>
      </c>
    </row>
    <row r="69" spans="1:13" ht="12">
      <c r="A69" s="48" t="s">
        <v>577</v>
      </c>
      <c r="C69" s="31" t="s">
        <v>578</v>
      </c>
      <c r="D69" s="48" t="s">
        <v>234</v>
      </c>
      <c r="E69" s="30">
        <v>21</v>
      </c>
      <c r="G69" s="66">
        <v>0</v>
      </c>
      <c r="H69" s="67">
        <v>0</v>
      </c>
      <c r="I69" s="66">
        <v>0</v>
      </c>
      <c r="J69" s="67">
        <v>0</v>
      </c>
      <c r="K69" s="49"/>
      <c r="L69" s="66">
        <v>0</v>
      </c>
      <c r="M69" s="67">
        <v>0</v>
      </c>
    </row>
    <row r="70" spans="1:13" ht="12">
      <c r="A70" s="48" t="s">
        <v>579</v>
      </c>
      <c r="C70" s="31" t="s">
        <v>580</v>
      </c>
      <c r="D70" s="48"/>
      <c r="E70" s="30"/>
      <c r="G70" s="66"/>
      <c r="H70" s="67">
        <v>0</v>
      </c>
      <c r="I70" s="66"/>
      <c r="J70" s="67">
        <v>0</v>
      </c>
      <c r="K70" s="49" t="s">
        <v>0</v>
      </c>
      <c r="L70" s="66"/>
      <c r="M70" s="67">
        <v>0</v>
      </c>
    </row>
    <row r="71" spans="1:13" ht="12">
      <c r="A71" s="30">
        <v>22</v>
      </c>
      <c r="C71" s="53"/>
      <c r="E71" s="30">
        <v>22</v>
      </c>
      <c r="F71" s="40" t="s">
        <v>1</v>
      </c>
      <c r="G71" s="40"/>
      <c r="H71" s="40"/>
      <c r="I71" s="41"/>
      <c r="J71" s="42"/>
      <c r="K71" s="51"/>
      <c r="L71" s="41"/>
      <c r="M71" s="42"/>
    </row>
    <row r="72" spans="1:13" ht="12">
      <c r="A72" s="30">
        <v>23</v>
      </c>
      <c r="C72" s="26" t="s">
        <v>186</v>
      </c>
      <c r="D72" s="54"/>
      <c r="E72" s="30">
        <v>23</v>
      </c>
      <c r="F72" s="55"/>
      <c r="G72" s="66"/>
      <c r="H72" s="67">
        <v>0</v>
      </c>
      <c r="I72" s="66"/>
      <c r="J72" s="67">
        <v>0</v>
      </c>
      <c r="K72" s="56"/>
      <c r="L72" s="66"/>
      <c r="M72" s="67">
        <v>0</v>
      </c>
    </row>
    <row r="73" spans="1:8" ht="12">
      <c r="A73" s="30">
        <v>24</v>
      </c>
      <c r="C73" s="53"/>
      <c r="D73" s="31"/>
      <c r="E73" s="30">
        <v>24</v>
      </c>
      <c r="H73" s="67"/>
    </row>
    <row r="74" spans="1:13" ht="12">
      <c r="A74" s="30">
        <v>25</v>
      </c>
      <c r="C74" s="31" t="s">
        <v>190</v>
      </c>
      <c r="D74" s="48" t="s">
        <v>236</v>
      </c>
      <c r="E74" s="30">
        <v>25</v>
      </c>
      <c r="G74" s="66"/>
      <c r="H74" s="67">
        <v>13746194</v>
      </c>
      <c r="I74" s="66"/>
      <c r="J74" s="67">
        <v>7745828</v>
      </c>
      <c r="K74" s="49"/>
      <c r="L74" s="66"/>
      <c r="M74" s="67">
        <v>6543000</v>
      </c>
    </row>
    <row r="75" spans="1:13" ht="12">
      <c r="A75" s="26">
        <v>26</v>
      </c>
      <c r="E75" s="26">
        <v>26</v>
      </c>
      <c r="F75" s="40" t="s">
        <v>1</v>
      </c>
      <c r="G75" s="40"/>
      <c r="H75" s="40"/>
      <c r="I75" s="41"/>
      <c r="J75" s="42"/>
      <c r="K75" s="51"/>
      <c r="L75" s="41"/>
      <c r="M75" s="42"/>
    </row>
    <row r="76" spans="1:13" ht="12">
      <c r="A76" s="30">
        <v>27</v>
      </c>
      <c r="C76" s="31" t="s">
        <v>662</v>
      </c>
      <c r="E76" s="30">
        <v>27</v>
      </c>
      <c r="F76" s="24"/>
      <c r="G76" s="66"/>
      <c r="H76" s="67">
        <v>13746194</v>
      </c>
      <c r="I76" s="66"/>
      <c r="J76" s="67">
        <v>7745828</v>
      </c>
      <c r="K76" s="50"/>
      <c r="L76" s="66"/>
      <c r="M76" s="67">
        <v>6543000</v>
      </c>
    </row>
    <row r="77" spans="1:13" ht="12">
      <c r="A77" s="30"/>
      <c r="C77" s="31"/>
      <c r="E77" s="30"/>
      <c r="F77" s="24"/>
      <c r="G77" s="50"/>
      <c r="H77" s="49"/>
      <c r="I77" s="50"/>
      <c r="J77" s="50"/>
      <c r="K77" s="50"/>
      <c r="L77" s="50"/>
      <c r="M77" s="50"/>
    </row>
    <row r="78" spans="3:13" ht="12">
      <c r="C78" s="57" t="s">
        <v>90</v>
      </c>
      <c r="D78" s="58"/>
      <c r="E78" s="57"/>
      <c r="F78" s="59"/>
      <c r="G78" s="59"/>
      <c r="H78" s="276">
        <f>+H298</f>
        <v>0</v>
      </c>
      <c r="I78" s="60"/>
      <c r="J78" s="61"/>
      <c r="K78" s="62"/>
      <c r="L78" s="60"/>
      <c r="M78" s="63"/>
    </row>
    <row r="79" spans="4:13" ht="12">
      <c r="D79" s="48"/>
      <c r="F79" s="40"/>
      <c r="G79" s="40"/>
      <c r="H79" s="170"/>
      <c r="I79" s="41"/>
      <c r="K79" s="51"/>
      <c r="L79" s="41"/>
      <c r="M79" s="42"/>
    </row>
    <row r="80" spans="4:13" ht="12">
      <c r="D80" s="48"/>
      <c r="F80" s="40"/>
      <c r="G80" s="40"/>
      <c r="H80" s="170"/>
      <c r="I80" s="41"/>
      <c r="K80" s="51"/>
      <c r="L80" s="41"/>
      <c r="M80" s="42"/>
    </row>
    <row r="81" spans="4:13" ht="12">
      <c r="D81" s="48"/>
      <c r="F81" s="40"/>
      <c r="G81" s="40"/>
      <c r="H81" s="170"/>
      <c r="I81" s="41"/>
      <c r="K81" s="51"/>
      <c r="L81" s="41"/>
      <c r="M81" s="42"/>
    </row>
    <row r="82" spans="4:13" ht="12">
      <c r="D82" s="48"/>
      <c r="F82" s="40"/>
      <c r="G82" s="40"/>
      <c r="H82" s="170"/>
      <c r="I82" s="41"/>
      <c r="K82" s="51"/>
      <c r="L82" s="41"/>
      <c r="M82" s="42"/>
    </row>
    <row r="83" spans="4:13" ht="12">
      <c r="D83" s="48"/>
      <c r="F83" s="40"/>
      <c r="G83" s="40"/>
      <c r="H83" s="170"/>
      <c r="I83" s="41"/>
      <c r="K83" s="51"/>
      <c r="L83" s="41"/>
      <c r="M83" s="42"/>
    </row>
    <row r="84" spans="4:13" ht="12">
      <c r="D84" s="48"/>
      <c r="F84" s="40"/>
      <c r="G84" s="40"/>
      <c r="H84" s="170"/>
      <c r="I84" s="41"/>
      <c r="K84" s="51"/>
      <c r="L84" s="41"/>
      <c r="M84" s="42"/>
    </row>
    <row r="85" spans="4:13" ht="12">
      <c r="D85" s="48"/>
      <c r="F85" s="40"/>
      <c r="G85" s="40"/>
      <c r="H85" s="170"/>
      <c r="I85" s="41"/>
      <c r="K85" s="51"/>
      <c r="L85" s="41"/>
      <c r="M85" s="42"/>
    </row>
    <row r="86" spans="4:13" ht="12">
      <c r="D86" s="48"/>
      <c r="F86" s="40"/>
      <c r="G86" s="40"/>
      <c r="H86" s="170"/>
      <c r="I86" s="41"/>
      <c r="K86" s="51"/>
      <c r="L86" s="41"/>
      <c r="M86" s="42"/>
    </row>
    <row r="87" spans="4:13" ht="12">
      <c r="D87" s="48"/>
      <c r="F87" s="40"/>
      <c r="G87" s="40"/>
      <c r="H87" s="170"/>
      <c r="I87" s="41"/>
      <c r="K87" s="51"/>
      <c r="L87" s="41"/>
      <c r="M87" s="42"/>
    </row>
    <row r="88" spans="4:13" ht="12">
      <c r="D88" s="48"/>
      <c r="F88" s="40"/>
      <c r="G88" s="40"/>
      <c r="H88" s="170"/>
      <c r="I88" s="41"/>
      <c r="K88" s="51"/>
      <c r="L88" s="41"/>
      <c r="M88" s="42"/>
    </row>
    <row r="89" ht="12">
      <c r="A89" s="65" t="s">
        <v>571</v>
      </c>
    </row>
    <row r="90" spans="1:13" ht="12">
      <c r="A90" s="38" t="str">
        <f>$A$94</f>
        <v>Ln</v>
      </c>
      <c r="B90" s="65"/>
      <c r="C90" s="65"/>
      <c r="D90" s="65"/>
      <c r="E90" s="70"/>
      <c r="F90" s="65"/>
      <c r="G90" s="65"/>
      <c r="H90" s="65"/>
      <c r="I90" s="71"/>
      <c r="J90" s="72"/>
      <c r="K90" s="65"/>
      <c r="L90" s="71"/>
      <c r="M90" s="37" t="s">
        <v>243</v>
      </c>
    </row>
    <row r="91" spans="1:13" ht="12">
      <c r="A91" s="400" t="s">
        <v>248</v>
      </c>
      <c r="B91" s="400"/>
      <c r="C91" s="400"/>
      <c r="D91" s="400"/>
      <c r="E91" s="400"/>
      <c r="F91" s="400"/>
      <c r="G91" s="400"/>
      <c r="H91" s="400"/>
      <c r="I91" s="400"/>
      <c r="J91" s="400"/>
      <c r="K91" s="400"/>
      <c r="L91" s="400"/>
      <c r="M91" s="400"/>
    </row>
    <row r="92" spans="1:13" ht="12">
      <c r="A92" s="38" t="str">
        <f>$A$45</f>
        <v>-</v>
      </c>
      <c r="J92" s="74"/>
      <c r="L92" s="36"/>
      <c r="M92" s="39" t="str">
        <f>$M$3</f>
        <v>Date: 10/1/2009</v>
      </c>
    </row>
    <row r="93" spans="1:13" ht="12">
      <c r="A93" s="40" t="s">
        <v>1</v>
      </c>
      <c r="B93" s="40" t="s">
        <v>1</v>
      </c>
      <c r="C93" s="40" t="s">
        <v>1</v>
      </c>
      <c r="D93" s="40" t="s">
        <v>1</v>
      </c>
      <c r="E93" s="40" t="s">
        <v>1</v>
      </c>
      <c r="F93" s="40" t="s">
        <v>1</v>
      </c>
      <c r="G93" s="40"/>
      <c r="H93" s="40"/>
      <c r="I93" s="41" t="s">
        <v>1</v>
      </c>
      <c r="J93" s="42" t="s">
        <v>1</v>
      </c>
      <c r="K93" s="40" t="s">
        <v>1</v>
      </c>
      <c r="L93" s="41" t="s">
        <v>1</v>
      </c>
      <c r="M93" s="42" t="s">
        <v>1</v>
      </c>
    </row>
    <row r="94" spans="1:13" ht="12">
      <c r="A94" s="43" t="s">
        <v>2</v>
      </c>
      <c r="E94" s="43" t="s">
        <v>2</v>
      </c>
      <c r="F94" s="44"/>
      <c r="G94" s="44"/>
      <c r="H94" s="44" t="s">
        <v>240</v>
      </c>
      <c r="I94" s="45"/>
      <c r="J94" s="46" t="s">
        <v>247</v>
      </c>
      <c r="K94" s="44"/>
      <c r="L94" s="45"/>
      <c r="M94" s="46" t="s">
        <v>576</v>
      </c>
    </row>
    <row r="95" spans="1:13" ht="12">
      <c r="A95" s="43" t="s">
        <v>4</v>
      </c>
      <c r="C95" s="47" t="s">
        <v>20</v>
      </c>
      <c r="E95" s="43" t="s">
        <v>4</v>
      </c>
      <c r="F95" s="44"/>
      <c r="G95" s="44"/>
      <c r="H95" s="44" t="s">
        <v>7</v>
      </c>
      <c r="I95" s="45"/>
      <c r="J95" s="46" t="s">
        <v>7</v>
      </c>
      <c r="K95" s="44"/>
      <c r="L95" s="45"/>
      <c r="M95" s="46" t="s">
        <v>8</v>
      </c>
    </row>
    <row r="96" spans="1:13" ht="12">
      <c r="A96" s="40" t="s">
        <v>1</v>
      </c>
      <c r="B96" s="40" t="s">
        <v>1</v>
      </c>
      <c r="C96" s="40" t="s">
        <v>1</v>
      </c>
      <c r="D96" s="40" t="s">
        <v>1</v>
      </c>
      <c r="E96" s="40" t="s">
        <v>1</v>
      </c>
      <c r="F96" s="40" t="s">
        <v>1</v>
      </c>
      <c r="G96" s="40"/>
      <c r="H96" s="40"/>
      <c r="I96" s="41" t="s">
        <v>1</v>
      </c>
      <c r="J96" s="42" t="s">
        <v>1</v>
      </c>
      <c r="K96" s="40" t="s">
        <v>1</v>
      </c>
      <c r="L96" s="41" t="s">
        <v>1</v>
      </c>
      <c r="M96" s="42" t="s">
        <v>1</v>
      </c>
    </row>
    <row r="97" spans="3:13" ht="12">
      <c r="C97" s="26" t="s">
        <v>193</v>
      </c>
      <c r="E97" s="69">
        <v>12</v>
      </c>
      <c r="H97" s="285">
        <v>121334100</v>
      </c>
      <c r="J97" s="285">
        <v>101940268</v>
      </c>
      <c r="M97" s="285">
        <v>75349731</v>
      </c>
    </row>
    <row r="98" ht="12">
      <c r="E98" s="69"/>
    </row>
    <row r="99" ht="12">
      <c r="E99" s="69"/>
    </row>
    <row r="100" ht="12">
      <c r="E100" s="69"/>
    </row>
    <row r="101" ht="12">
      <c r="E101" s="69"/>
    </row>
    <row r="102" ht="12">
      <c r="E102" s="69"/>
    </row>
    <row r="103" ht="12">
      <c r="E103" s="69"/>
    </row>
    <row r="104" ht="12">
      <c r="E104" s="69"/>
    </row>
    <row r="105" ht="12">
      <c r="E105" s="69"/>
    </row>
    <row r="106" ht="12">
      <c r="E106" s="69"/>
    </row>
    <row r="107" ht="12">
      <c r="E107" s="69"/>
    </row>
    <row r="108" ht="12">
      <c r="E108" s="69"/>
    </row>
    <row r="109" ht="12">
      <c r="E109" s="69"/>
    </row>
    <row r="110" spans="3:5" ht="12">
      <c r="C110" s="26" t="s">
        <v>191</v>
      </c>
      <c r="E110" s="69"/>
    </row>
    <row r="111" ht="12">
      <c r="E111" s="69"/>
    </row>
    <row r="112" spans="2:6" ht="12.75">
      <c r="B112" s="75"/>
      <c r="C112" s="76"/>
      <c r="D112" s="77"/>
      <c r="E112" s="77"/>
      <c r="F112" s="77"/>
    </row>
    <row r="113" spans="2:6" ht="12.75">
      <c r="B113" s="75"/>
      <c r="C113" s="76"/>
      <c r="D113" s="77"/>
      <c r="E113" s="77"/>
      <c r="F113" s="77"/>
    </row>
    <row r="114" ht="12">
      <c r="E114" s="69"/>
    </row>
    <row r="115" ht="12">
      <c r="E115" s="69"/>
    </row>
    <row r="116" ht="12">
      <c r="E116" s="69"/>
    </row>
    <row r="117" ht="12">
      <c r="E117" s="69"/>
    </row>
    <row r="118" ht="12">
      <c r="E118" s="69"/>
    </row>
    <row r="119" ht="12">
      <c r="E119" s="69"/>
    </row>
    <row r="120" ht="12">
      <c r="E120" s="69"/>
    </row>
    <row r="121" ht="12">
      <c r="E121" s="69"/>
    </row>
    <row r="122" ht="12">
      <c r="E122" s="69"/>
    </row>
    <row r="123" ht="12">
      <c r="E123" s="69"/>
    </row>
    <row r="124" ht="12">
      <c r="E124" s="69"/>
    </row>
    <row r="125" ht="12">
      <c r="E125" s="69"/>
    </row>
    <row r="126" ht="12">
      <c r="E126" s="69"/>
    </row>
    <row r="127" ht="12">
      <c r="E127" s="69"/>
    </row>
    <row r="128" ht="12">
      <c r="E128" s="69"/>
    </row>
    <row r="129" ht="12">
      <c r="E129" s="69"/>
    </row>
    <row r="130" ht="12">
      <c r="E130" s="69"/>
    </row>
    <row r="131" ht="12">
      <c r="E131" s="69"/>
    </row>
    <row r="132" ht="12">
      <c r="E132" s="69"/>
    </row>
    <row r="133" ht="12">
      <c r="E133" s="69"/>
    </row>
    <row r="134" ht="12">
      <c r="E134" s="69"/>
    </row>
    <row r="135" ht="12">
      <c r="E135" s="69"/>
    </row>
    <row r="136" ht="12">
      <c r="E136" s="69"/>
    </row>
    <row r="137" ht="12">
      <c r="E137" s="69"/>
    </row>
    <row r="138" ht="12">
      <c r="E138" s="69"/>
    </row>
    <row r="139" spans="1:13" s="65" customFormat="1" ht="12">
      <c r="A139" s="38" t="str">
        <f>$A$94</f>
        <v>Ln</v>
      </c>
      <c r="E139" s="70"/>
      <c r="I139" s="71"/>
      <c r="J139" s="72"/>
      <c r="L139" s="71"/>
      <c r="M139" s="37" t="s">
        <v>78</v>
      </c>
    </row>
    <row r="140" spans="4:13" s="65" customFormat="1" ht="12">
      <c r="D140" s="79" t="s">
        <v>266</v>
      </c>
      <c r="E140" s="70"/>
      <c r="I140" s="71"/>
      <c r="J140" s="72"/>
      <c r="L140" s="71"/>
      <c r="M140" s="72"/>
    </row>
    <row r="141" spans="1:13" ht="12">
      <c r="A141" s="38" t="str">
        <f>$A$45</f>
        <v>-</v>
      </c>
      <c r="F141" s="113"/>
      <c r="G141" s="113"/>
      <c r="H141" s="113"/>
      <c r="I141" s="104"/>
      <c r="J141" s="74"/>
      <c r="L141" s="36"/>
      <c r="M141" s="39" t="str">
        <f>$M$3</f>
        <v>Date: 10/1/2009</v>
      </c>
    </row>
    <row r="142" spans="1:13" ht="12">
      <c r="A142" s="40" t="s">
        <v>1</v>
      </c>
      <c r="B142" s="40" t="s">
        <v>1</v>
      </c>
      <c r="C142" s="40" t="s">
        <v>1</v>
      </c>
      <c r="D142" s="40" t="s">
        <v>1</v>
      </c>
      <c r="E142" s="40" t="s">
        <v>1</v>
      </c>
      <c r="F142" s="40" t="s">
        <v>1</v>
      </c>
      <c r="G142" s="40"/>
      <c r="H142" s="40"/>
      <c r="I142" s="41" t="s">
        <v>1</v>
      </c>
      <c r="J142" s="42" t="s">
        <v>1</v>
      </c>
      <c r="K142" s="40" t="s">
        <v>1</v>
      </c>
      <c r="L142" s="41" t="s">
        <v>1</v>
      </c>
      <c r="M142" s="42" t="s">
        <v>1</v>
      </c>
    </row>
    <row r="143" spans="1:13" ht="12">
      <c r="A143" s="43" t="s">
        <v>2</v>
      </c>
      <c r="E143" s="43" t="s">
        <v>2</v>
      </c>
      <c r="H143" s="44" t="s">
        <v>240</v>
      </c>
      <c r="I143" s="45"/>
      <c r="J143" s="46" t="s">
        <v>247</v>
      </c>
      <c r="K143" s="44"/>
      <c r="L143" s="45"/>
      <c r="M143" s="46" t="s">
        <v>576</v>
      </c>
    </row>
    <row r="144" spans="1:13" ht="12">
      <c r="A144" s="43" t="s">
        <v>4</v>
      </c>
      <c r="C144" s="47" t="s">
        <v>20</v>
      </c>
      <c r="E144" s="43" t="s">
        <v>4</v>
      </c>
      <c r="H144" s="46" t="s">
        <v>7</v>
      </c>
      <c r="I144" s="36"/>
      <c r="J144" s="46" t="s">
        <v>7</v>
      </c>
      <c r="L144" s="36"/>
      <c r="M144" s="46" t="s">
        <v>8</v>
      </c>
    </row>
    <row r="145" spans="1:13" ht="12">
      <c r="A145" s="40" t="s">
        <v>1</v>
      </c>
      <c r="B145" s="40" t="s">
        <v>1</v>
      </c>
      <c r="C145" s="40" t="s">
        <v>1</v>
      </c>
      <c r="D145" s="40" t="s">
        <v>1</v>
      </c>
      <c r="E145" s="40" t="s">
        <v>1</v>
      </c>
      <c r="F145" s="40" t="s">
        <v>1</v>
      </c>
      <c r="G145" s="40"/>
      <c r="H145" s="40"/>
      <c r="I145" s="41" t="s">
        <v>1</v>
      </c>
      <c r="J145" s="42" t="s">
        <v>1</v>
      </c>
      <c r="K145" s="40" t="s">
        <v>1</v>
      </c>
      <c r="L145" s="41" t="s">
        <v>1</v>
      </c>
      <c r="M145" s="42" t="s">
        <v>1</v>
      </c>
    </row>
    <row r="146" spans="1:13" ht="12">
      <c r="A146" s="114">
        <v>1</v>
      </c>
      <c r="C146" s="31" t="s">
        <v>83</v>
      </c>
      <c r="E146" s="114">
        <v>1</v>
      </c>
      <c r="H146" s="84"/>
      <c r="I146" s="81"/>
      <c r="J146" s="81"/>
      <c r="K146" s="84"/>
      <c r="L146" s="81"/>
      <c r="M146" s="81"/>
    </row>
    <row r="147" spans="1:13" ht="12">
      <c r="A147" s="114"/>
      <c r="C147" s="31"/>
      <c r="E147" s="114"/>
      <c r="H147" s="84"/>
      <c r="I147" s="81"/>
      <c r="J147" s="81"/>
      <c r="K147" s="84"/>
      <c r="L147" s="81"/>
      <c r="M147" s="81"/>
    </row>
    <row r="148" spans="1:13" ht="12">
      <c r="A148" s="114">
        <v>2</v>
      </c>
      <c r="C148" s="32" t="s">
        <v>581</v>
      </c>
      <c r="E148" s="114">
        <v>2</v>
      </c>
      <c r="F148" s="32"/>
      <c r="G148" s="32"/>
      <c r="H148" s="2"/>
      <c r="I148" s="2"/>
      <c r="J148" s="2"/>
      <c r="K148" s="2"/>
      <c r="L148" s="2"/>
      <c r="M148" s="2"/>
    </row>
    <row r="149" spans="1:13" ht="12">
      <c r="A149" s="114">
        <v>3</v>
      </c>
      <c r="C149" s="32" t="s">
        <v>259</v>
      </c>
      <c r="E149" s="114">
        <v>3</v>
      </c>
      <c r="F149" s="32"/>
      <c r="G149" s="32"/>
      <c r="H149" s="2"/>
      <c r="I149" s="2"/>
      <c r="J149" s="2" t="s">
        <v>0</v>
      </c>
      <c r="K149" s="2"/>
      <c r="L149" s="2"/>
      <c r="M149" s="2"/>
    </row>
    <row r="150" spans="1:13" ht="12">
      <c r="A150" s="114">
        <v>4</v>
      </c>
      <c r="C150" s="32" t="s">
        <v>220</v>
      </c>
      <c r="E150" s="114">
        <v>4</v>
      </c>
      <c r="F150" s="32"/>
      <c r="G150" s="32"/>
      <c r="H150" s="2"/>
      <c r="I150" s="2"/>
      <c r="J150" s="2"/>
      <c r="K150" s="2"/>
      <c r="L150" s="2"/>
      <c r="M150" s="2"/>
    </row>
    <row r="151" spans="1:13" ht="12">
      <c r="A151" s="114">
        <v>5</v>
      </c>
      <c r="C151" s="32" t="s">
        <v>258</v>
      </c>
      <c r="E151" s="114">
        <v>5</v>
      </c>
      <c r="F151" s="32"/>
      <c r="G151" s="32"/>
      <c r="H151" s="2"/>
      <c r="I151" s="2"/>
      <c r="J151" s="2"/>
      <c r="K151" s="2"/>
      <c r="L151" s="2"/>
      <c r="M151" s="2"/>
    </row>
    <row r="152" spans="1:13" ht="12">
      <c r="A152" s="114">
        <v>6</v>
      </c>
      <c r="C152" s="32" t="s">
        <v>79</v>
      </c>
      <c r="E152" s="114">
        <v>6</v>
      </c>
      <c r="F152" s="32"/>
      <c r="G152" s="32"/>
      <c r="H152" s="2">
        <v>61701</v>
      </c>
      <c r="I152" s="2"/>
      <c r="J152" s="2">
        <v>60262</v>
      </c>
      <c r="K152" s="2"/>
      <c r="L152" s="2"/>
      <c r="M152" s="2">
        <v>260500</v>
      </c>
    </row>
    <row r="153" spans="1:13" ht="12">
      <c r="A153" s="114">
        <v>7</v>
      </c>
      <c r="C153" s="32"/>
      <c r="E153" s="114"/>
      <c r="F153" s="32"/>
      <c r="G153" s="32"/>
      <c r="H153" s="2"/>
      <c r="I153" s="2"/>
      <c r="J153" s="2"/>
      <c r="K153" s="2"/>
      <c r="L153" s="2"/>
      <c r="M153" s="2"/>
    </row>
    <row r="154" spans="1:13" ht="12">
      <c r="A154" s="114"/>
      <c r="E154" s="114"/>
      <c r="F154" s="109" t="s">
        <v>1</v>
      </c>
      <c r="G154" s="109"/>
      <c r="H154" s="109"/>
      <c r="I154" s="41" t="s">
        <v>1</v>
      </c>
      <c r="J154" s="42"/>
      <c r="K154" s="109"/>
      <c r="L154" s="41"/>
      <c r="M154" s="42"/>
    </row>
    <row r="155" spans="1:13" ht="12">
      <c r="A155" s="114">
        <v>9</v>
      </c>
      <c r="C155" s="26" t="s">
        <v>77</v>
      </c>
      <c r="E155" s="114">
        <v>9</v>
      </c>
      <c r="F155" s="32"/>
      <c r="G155" s="32"/>
      <c r="H155" s="2">
        <v>61701</v>
      </c>
      <c r="I155" s="2"/>
      <c r="J155" s="2">
        <v>60262</v>
      </c>
      <c r="K155" s="2"/>
      <c r="L155" s="2"/>
      <c r="M155" s="2">
        <v>260500</v>
      </c>
    </row>
    <row r="156" spans="1:13" ht="12">
      <c r="A156" s="114"/>
      <c r="C156" s="32"/>
      <c r="E156" s="114"/>
      <c r="F156" s="32"/>
      <c r="G156" s="32"/>
      <c r="H156" s="2"/>
      <c r="I156" s="2"/>
      <c r="J156" s="2"/>
      <c r="K156" s="2"/>
      <c r="L156" s="2"/>
      <c r="M156" s="2"/>
    </row>
    <row r="157" spans="1:13" ht="12">
      <c r="A157" s="114">
        <v>11</v>
      </c>
      <c r="C157" s="32" t="s">
        <v>206</v>
      </c>
      <c r="E157" s="114">
        <v>10</v>
      </c>
      <c r="F157" s="32"/>
      <c r="G157" s="32"/>
      <c r="H157" s="2">
        <v>0</v>
      </c>
      <c r="I157" s="2"/>
      <c r="J157" s="2"/>
      <c r="K157" s="2"/>
      <c r="L157" s="2"/>
      <c r="M157" s="2"/>
    </row>
    <row r="158" spans="1:13" ht="12">
      <c r="A158" s="114">
        <v>12</v>
      </c>
      <c r="C158" s="32" t="s">
        <v>80</v>
      </c>
      <c r="E158" s="114">
        <v>11</v>
      </c>
      <c r="F158" s="32"/>
      <c r="G158" s="32"/>
      <c r="H158" s="2"/>
      <c r="I158" s="2"/>
      <c r="J158" s="2"/>
      <c r="K158" s="2"/>
      <c r="L158" s="2"/>
      <c r="M158" s="2"/>
    </row>
    <row r="159" spans="1:13" ht="12">
      <c r="A159" s="114">
        <v>13</v>
      </c>
      <c r="C159" s="32" t="s">
        <v>260</v>
      </c>
      <c r="E159" s="114">
        <v>12</v>
      </c>
      <c r="F159" s="32"/>
      <c r="G159" s="32"/>
      <c r="H159" s="2"/>
      <c r="I159" s="2"/>
      <c r="J159" s="2"/>
      <c r="K159" s="2"/>
      <c r="L159" s="2"/>
      <c r="M159" s="2"/>
    </row>
    <row r="160" spans="1:13" ht="12">
      <c r="A160" s="114"/>
      <c r="C160" s="32"/>
      <c r="E160" s="114">
        <v>13</v>
      </c>
      <c r="F160" s="32"/>
      <c r="G160" s="32"/>
      <c r="H160" s="2"/>
      <c r="I160" s="2"/>
      <c r="J160" s="2"/>
      <c r="K160" s="2"/>
      <c r="L160" s="2"/>
      <c r="M160" s="2"/>
    </row>
    <row r="161" spans="3:13" ht="12">
      <c r="C161" s="32"/>
      <c r="F161" s="109" t="s">
        <v>1</v>
      </c>
      <c r="G161" s="109"/>
      <c r="H161" s="109"/>
      <c r="I161" s="41" t="s">
        <v>1</v>
      </c>
      <c r="J161" s="42"/>
      <c r="K161" s="109"/>
      <c r="L161" s="41"/>
      <c r="M161" s="42"/>
    </row>
    <row r="162" spans="1:13" ht="12">
      <c r="A162" s="114">
        <v>14</v>
      </c>
      <c r="C162" s="26" t="s">
        <v>104</v>
      </c>
      <c r="E162" s="114">
        <v>14</v>
      </c>
      <c r="H162" s="84">
        <v>0</v>
      </c>
      <c r="I162" s="81"/>
      <c r="J162" s="84">
        <v>0</v>
      </c>
      <c r="K162" s="84"/>
      <c r="L162" s="81"/>
      <c r="M162" s="84">
        <v>0</v>
      </c>
    </row>
    <row r="163" spans="1:13" ht="12">
      <c r="A163" s="114"/>
      <c r="C163" s="32"/>
      <c r="E163" s="114"/>
      <c r="F163" s="109" t="s">
        <v>1</v>
      </c>
      <c r="G163" s="109"/>
      <c r="H163" s="109"/>
      <c r="I163" s="41" t="s">
        <v>1</v>
      </c>
      <c r="J163" s="42"/>
      <c r="K163" s="109"/>
      <c r="L163" s="41"/>
      <c r="M163" s="42"/>
    </row>
    <row r="164" spans="1:13" ht="12">
      <c r="A164" s="114">
        <v>15</v>
      </c>
      <c r="C164" s="31" t="s">
        <v>84</v>
      </c>
      <c r="E164" s="114">
        <v>15</v>
      </c>
      <c r="H164" s="84">
        <v>61701</v>
      </c>
      <c r="I164" s="81"/>
      <c r="J164" s="84">
        <v>60262</v>
      </c>
      <c r="K164" s="84"/>
      <c r="L164" s="81"/>
      <c r="M164" s="84">
        <v>260500</v>
      </c>
    </row>
    <row r="165" spans="1:13" ht="12">
      <c r="A165" s="114"/>
      <c r="C165" s="31"/>
      <c r="E165" s="114"/>
      <c r="H165" s="84"/>
      <c r="I165" s="81"/>
      <c r="J165" s="84"/>
      <c r="K165" s="84"/>
      <c r="L165" s="81"/>
      <c r="M165" s="84"/>
    </row>
    <row r="166" spans="1:13" ht="12">
      <c r="A166" s="114">
        <v>16</v>
      </c>
      <c r="C166" s="31" t="s">
        <v>188</v>
      </c>
      <c r="E166" s="114">
        <v>16</v>
      </c>
      <c r="H166" s="84"/>
      <c r="I166" s="81"/>
      <c r="J166" s="81"/>
      <c r="K166" s="84"/>
      <c r="L166" s="81"/>
      <c r="M166" s="81">
        <v>0</v>
      </c>
    </row>
    <row r="167" spans="1:13" ht="12">
      <c r="A167" s="114">
        <v>17</v>
      </c>
      <c r="C167" s="26" t="s">
        <v>663</v>
      </c>
      <c r="E167" s="114">
        <v>17</v>
      </c>
      <c r="H167" s="84">
        <v>13684493</v>
      </c>
      <c r="I167" s="81"/>
      <c r="J167" s="81">
        <v>7685566</v>
      </c>
      <c r="K167" s="84"/>
      <c r="L167" s="81"/>
      <c r="M167" s="81">
        <v>6282500</v>
      </c>
    </row>
    <row r="168" spans="1:13" ht="12">
      <c r="A168" s="114">
        <v>18</v>
      </c>
      <c r="E168" s="114">
        <v>18</v>
      </c>
      <c r="H168" s="84"/>
      <c r="I168" s="84"/>
      <c r="J168" s="84"/>
      <c r="K168" s="84"/>
      <c r="L168" s="84"/>
      <c r="M168" s="84"/>
    </row>
    <row r="169" spans="1:13" ht="12">
      <c r="A169" s="114">
        <v>19</v>
      </c>
      <c r="E169" s="114">
        <v>19</v>
      </c>
      <c r="H169" s="84"/>
      <c r="I169" s="84"/>
      <c r="J169" s="84"/>
      <c r="K169" s="84"/>
      <c r="L169" s="84"/>
      <c r="M169" s="84"/>
    </row>
    <row r="170" spans="1:13" ht="12">
      <c r="A170" s="114"/>
      <c r="C170" s="115"/>
      <c r="E170" s="114"/>
      <c r="F170" s="109" t="s">
        <v>1</v>
      </c>
      <c r="G170" s="109"/>
      <c r="H170" s="109"/>
      <c r="I170" s="41" t="s">
        <v>1</v>
      </c>
      <c r="J170" s="42"/>
      <c r="K170" s="109"/>
      <c r="L170" s="41"/>
      <c r="M170" s="42"/>
    </row>
    <row r="171" spans="1:13" ht="12">
      <c r="A171" s="114">
        <v>20</v>
      </c>
      <c r="C171" s="115" t="s">
        <v>85</v>
      </c>
      <c r="E171" s="114">
        <v>20</v>
      </c>
      <c r="H171" s="84">
        <v>13746194</v>
      </c>
      <c r="I171" s="81"/>
      <c r="J171" s="84">
        <v>7745828</v>
      </c>
      <c r="K171" s="84"/>
      <c r="L171" s="81"/>
      <c r="M171" s="84">
        <v>6543000</v>
      </c>
    </row>
    <row r="172" spans="1:13" ht="12">
      <c r="A172" s="117"/>
      <c r="C172" s="31"/>
      <c r="E172" s="69"/>
      <c r="F172" s="109" t="s">
        <v>1</v>
      </c>
      <c r="G172" s="109"/>
      <c r="H172" s="109"/>
      <c r="I172" s="41" t="s">
        <v>1</v>
      </c>
      <c r="J172" s="42" t="s">
        <v>1</v>
      </c>
      <c r="K172" s="109" t="s">
        <v>1</v>
      </c>
      <c r="L172" s="41" t="s">
        <v>1</v>
      </c>
      <c r="M172" s="42" t="s">
        <v>1</v>
      </c>
    </row>
    <row r="173" spans="1:13" ht="12">
      <c r="A173" s="117"/>
      <c r="C173" s="31"/>
      <c r="E173" s="69"/>
      <c r="F173" s="109"/>
      <c r="G173" s="109"/>
      <c r="H173" s="109"/>
      <c r="I173" s="41"/>
      <c r="J173" s="42"/>
      <c r="K173" s="109"/>
      <c r="L173" s="41"/>
      <c r="M173" s="42"/>
    </row>
    <row r="174" spans="1:13" ht="12">
      <c r="A174" s="117"/>
      <c r="C174" s="31"/>
      <c r="E174" s="69"/>
      <c r="F174" s="109"/>
      <c r="G174" s="109"/>
      <c r="H174" s="109"/>
      <c r="I174" s="41"/>
      <c r="J174" s="42"/>
      <c r="K174" s="109"/>
      <c r="L174" s="41"/>
      <c r="M174" s="42"/>
    </row>
    <row r="175" spans="1:13" ht="12">
      <c r="A175" s="117"/>
      <c r="C175" s="31"/>
      <c r="E175" s="69"/>
      <c r="F175" s="109"/>
      <c r="G175" s="109"/>
      <c r="H175" s="109"/>
      <c r="I175" s="41"/>
      <c r="J175" s="42"/>
      <c r="K175" s="109"/>
      <c r="L175" s="41"/>
      <c r="M175" s="42"/>
    </row>
    <row r="176" spans="1:13" ht="12">
      <c r="A176" s="117"/>
      <c r="C176" s="31"/>
      <c r="E176" s="69"/>
      <c r="F176" s="109"/>
      <c r="G176" s="109"/>
      <c r="H176" s="109"/>
      <c r="I176" s="41"/>
      <c r="J176" s="42"/>
      <c r="K176" s="109"/>
      <c r="L176" s="41"/>
      <c r="M176" s="42"/>
    </row>
    <row r="177" spans="1:13" ht="12">
      <c r="A177" s="117"/>
      <c r="C177" s="31"/>
      <c r="E177" s="69"/>
      <c r="F177" s="109"/>
      <c r="G177" s="109"/>
      <c r="H177" s="109"/>
      <c r="I177" s="41"/>
      <c r="J177" s="42"/>
      <c r="K177" s="109"/>
      <c r="L177" s="41"/>
      <c r="M177" s="42"/>
    </row>
    <row r="178" spans="1:13" ht="12">
      <c r="A178" s="117"/>
      <c r="C178" s="31"/>
      <c r="E178" s="69"/>
      <c r="F178" s="109"/>
      <c r="G178" s="109"/>
      <c r="H178" s="109"/>
      <c r="I178" s="41"/>
      <c r="J178" s="42"/>
      <c r="K178" s="109"/>
      <c r="L178" s="41"/>
      <c r="M178" s="42"/>
    </row>
    <row r="179" spans="1:13" ht="12">
      <c r="A179" s="117"/>
      <c r="C179" s="31"/>
      <c r="E179" s="69"/>
      <c r="F179" s="109"/>
      <c r="G179" s="109"/>
      <c r="H179" s="109"/>
      <c r="I179" s="41"/>
      <c r="J179" s="42"/>
      <c r="K179" s="109"/>
      <c r="L179" s="41"/>
      <c r="M179" s="42"/>
    </row>
    <row r="180" spans="1:13" ht="12">
      <c r="A180" s="117"/>
      <c r="C180" s="31"/>
      <c r="E180" s="69"/>
      <c r="F180" s="109"/>
      <c r="G180" s="109"/>
      <c r="H180" s="109"/>
      <c r="I180" s="41"/>
      <c r="J180" s="42"/>
      <c r="K180" s="109"/>
      <c r="L180" s="41"/>
      <c r="M180" s="42"/>
    </row>
    <row r="181" spans="1:13" ht="12">
      <c r="A181" s="117"/>
      <c r="C181" s="31"/>
      <c r="E181" s="69"/>
      <c r="F181" s="109"/>
      <c r="G181" s="109"/>
      <c r="H181" s="109"/>
      <c r="I181" s="41"/>
      <c r="J181" s="42"/>
      <c r="K181" s="109"/>
      <c r="L181" s="41"/>
      <c r="M181" s="42"/>
    </row>
    <row r="182" spans="1:13" ht="12">
      <c r="A182" s="117"/>
      <c r="C182" s="31"/>
      <c r="E182" s="69"/>
      <c r="F182" s="109"/>
      <c r="G182" s="109"/>
      <c r="H182" s="109"/>
      <c r="I182" s="41"/>
      <c r="J182" s="42"/>
      <c r="K182" s="109"/>
      <c r="L182" s="41"/>
      <c r="M182" s="42"/>
    </row>
    <row r="183" spans="1:13" ht="12">
      <c r="A183" s="117"/>
      <c r="C183" s="31"/>
      <c r="E183" s="69"/>
      <c r="F183" s="109"/>
      <c r="G183" s="109"/>
      <c r="H183" s="109"/>
      <c r="I183" s="41"/>
      <c r="J183" s="42"/>
      <c r="K183" s="109"/>
      <c r="L183" s="41"/>
      <c r="M183" s="42"/>
    </row>
    <row r="184" spans="1:13" ht="12">
      <c r="A184" s="117"/>
      <c r="C184" s="31"/>
      <c r="E184" s="69"/>
      <c r="F184" s="109"/>
      <c r="G184" s="109"/>
      <c r="H184" s="109"/>
      <c r="I184" s="41"/>
      <c r="J184" s="42"/>
      <c r="K184" s="109"/>
      <c r="L184" s="41"/>
      <c r="M184" s="42"/>
    </row>
    <row r="185" spans="1:13" ht="12">
      <c r="A185" s="117"/>
      <c r="C185" s="31"/>
      <c r="E185" s="69"/>
      <c r="F185" s="109"/>
      <c r="G185" s="109"/>
      <c r="H185" s="109"/>
      <c r="I185" s="41"/>
      <c r="J185" s="42"/>
      <c r="K185" s="109"/>
      <c r="L185" s="41"/>
      <c r="M185" s="42"/>
    </row>
    <row r="186" spans="1:13" ht="12">
      <c r="A186" s="117"/>
      <c r="C186" s="31"/>
      <c r="E186" s="69"/>
      <c r="F186" s="109"/>
      <c r="G186" s="109"/>
      <c r="H186" s="109"/>
      <c r="I186" s="41"/>
      <c r="J186" s="42"/>
      <c r="K186" s="109"/>
      <c r="L186" s="41"/>
      <c r="M186" s="42"/>
    </row>
    <row r="187" spans="1:13" ht="12">
      <c r="A187" s="117"/>
      <c r="C187" s="31"/>
      <c r="E187" s="69"/>
      <c r="F187" s="109"/>
      <c r="G187" s="109"/>
      <c r="H187" s="109"/>
      <c r="I187" s="41"/>
      <c r="J187" s="42"/>
      <c r="K187" s="109"/>
      <c r="L187" s="41"/>
      <c r="M187" s="42"/>
    </row>
    <row r="188" spans="1:13" ht="12">
      <c r="A188" s="117"/>
      <c r="C188" s="31"/>
      <c r="E188" s="69"/>
      <c r="F188" s="109"/>
      <c r="G188" s="109"/>
      <c r="H188" s="109"/>
      <c r="I188" s="41"/>
      <c r="J188" s="42"/>
      <c r="K188" s="109"/>
      <c r="L188" s="41"/>
      <c r="M188" s="42"/>
    </row>
    <row r="189" spans="1:13" s="65" customFormat="1" ht="12">
      <c r="A189" s="38" t="str">
        <f>$A$94</f>
        <v>Ln</v>
      </c>
      <c r="E189" s="70"/>
      <c r="I189" s="71"/>
      <c r="J189" s="72"/>
      <c r="L189" s="71"/>
      <c r="M189" s="37" t="s">
        <v>56</v>
      </c>
    </row>
    <row r="190" spans="1:13" s="65" customFormat="1" ht="12">
      <c r="A190" s="416" t="s">
        <v>57</v>
      </c>
      <c r="B190" s="416"/>
      <c r="C190" s="416"/>
      <c r="D190" s="416"/>
      <c r="E190" s="416"/>
      <c r="F190" s="416"/>
      <c r="G190" s="416"/>
      <c r="H190" s="416"/>
      <c r="I190" s="416"/>
      <c r="J190" s="416"/>
      <c r="K190" s="416"/>
      <c r="L190" s="416"/>
      <c r="M190" s="416"/>
    </row>
    <row r="191" spans="1:13" ht="12">
      <c r="A191" s="38" t="str">
        <f>$A$45</f>
        <v>-</v>
      </c>
      <c r="J191" s="148"/>
      <c r="L191" s="36"/>
      <c r="M191" s="39" t="str">
        <f>$M$3</f>
        <v>Date: 10/1/2009</v>
      </c>
    </row>
    <row r="192" spans="1:13" ht="12">
      <c r="A192" s="40" t="s">
        <v>1</v>
      </c>
      <c r="B192" s="40" t="s">
        <v>1</v>
      </c>
      <c r="C192" s="40" t="s">
        <v>1</v>
      </c>
      <c r="D192" s="40" t="s">
        <v>1</v>
      </c>
      <c r="E192" s="40" t="s">
        <v>1</v>
      </c>
      <c r="F192" s="40" t="s">
        <v>1</v>
      </c>
      <c r="G192" s="40"/>
      <c r="H192" s="40"/>
      <c r="I192" s="41" t="s">
        <v>1</v>
      </c>
      <c r="J192" s="42" t="s">
        <v>1</v>
      </c>
      <c r="K192" s="40" t="s">
        <v>1</v>
      </c>
      <c r="L192" s="41" t="s">
        <v>1</v>
      </c>
      <c r="M192" s="42" t="s">
        <v>1</v>
      </c>
    </row>
    <row r="193" spans="1:13" ht="12">
      <c r="A193" s="43" t="s">
        <v>2</v>
      </c>
      <c r="E193" s="43" t="s">
        <v>2</v>
      </c>
      <c r="F193" s="44"/>
      <c r="G193" s="45"/>
      <c r="H193" s="44" t="s">
        <v>240</v>
      </c>
      <c r="I193" s="45"/>
      <c r="J193" s="46" t="s">
        <v>247</v>
      </c>
      <c r="K193" s="44"/>
      <c r="L193" s="45"/>
      <c r="M193" s="46" t="s">
        <v>576</v>
      </c>
    </row>
    <row r="194" spans="1:13" ht="12">
      <c r="A194" s="43" t="s">
        <v>4</v>
      </c>
      <c r="C194" s="47" t="s">
        <v>20</v>
      </c>
      <c r="E194" s="43" t="s">
        <v>4</v>
      </c>
      <c r="F194" s="44"/>
      <c r="G194" s="44"/>
      <c r="H194" s="46" t="s">
        <v>7</v>
      </c>
      <c r="I194" s="45"/>
      <c r="J194" s="46" t="s">
        <v>7</v>
      </c>
      <c r="K194" s="44"/>
      <c r="L194" s="45"/>
      <c r="M194" s="46" t="s">
        <v>8</v>
      </c>
    </row>
    <row r="195" spans="1:13" ht="12">
      <c r="A195" s="40" t="s">
        <v>1</v>
      </c>
      <c r="B195" s="40" t="s">
        <v>1</v>
      </c>
      <c r="C195" s="40" t="s">
        <v>1</v>
      </c>
      <c r="D195" s="40" t="s">
        <v>1</v>
      </c>
      <c r="E195" s="40" t="s">
        <v>1</v>
      </c>
      <c r="F195" s="40" t="s">
        <v>1</v>
      </c>
      <c r="G195" s="40"/>
      <c r="H195" s="40"/>
      <c r="I195" s="41" t="s">
        <v>1</v>
      </c>
      <c r="J195" s="42" t="s">
        <v>1</v>
      </c>
      <c r="K195" s="40" t="s">
        <v>1</v>
      </c>
      <c r="L195" s="41" t="s">
        <v>1</v>
      </c>
      <c r="M195" s="42" t="s">
        <v>1</v>
      </c>
    </row>
    <row r="196" spans="1:13" ht="12">
      <c r="A196" s="114">
        <v>1</v>
      </c>
      <c r="C196" s="26" t="s">
        <v>58</v>
      </c>
      <c r="E196" s="114">
        <v>1</v>
      </c>
      <c r="F196" s="32"/>
      <c r="G196" s="32"/>
      <c r="H196" s="1"/>
      <c r="I196" s="1"/>
      <c r="J196" s="1"/>
      <c r="K196" s="1"/>
      <c r="L196" s="1"/>
      <c r="M196" s="1"/>
    </row>
    <row r="197" spans="1:13" ht="12">
      <c r="A197" s="114">
        <v>2</v>
      </c>
      <c r="E197" s="114">
        <v>2</v>
      </c>
      <c r="F197" s="32"/>
      <c r="G197" s="32"/>
      <c r="H197" s="1"/>
      <c r="I197" s="1"/>
      <c r="J197" s="1"/>
      <c r="K197" s="1"/>
      <c r="L197" s="1"/>
      <c r="M197" s="1">
        <v>0</v>
      </c>
    </row>
    <row r="198" spans="1:13" ht="12">
      <c r="A198" s="114">
        <v>3</v>
      </c>
      <c r="C198" s="32"/>
      <c r="E198" s="114">
        <v>3</v>
      </c>
      <c r="F198" s="32"/>
      <c r="G198" s="32"/>
      <c r="H198" s="1">
        <v>0</v>
      </c>
      <c r="I198" s="1"/>
      <c r="J198" s="1">
        <v>0</v>
      </c>
      <c r="K198" s="1"/>
      <c r="L198" s="1"/>
      <c r="M198" s="1">
        <v>0</v>
      </c>
    </row>
    <row r="199" spans="1:13" ht="12">
      <c r="A199" s="114">
        <v>4</v>
      </c>
      <c r="C199" s="32"/>
      <c r="E199" s="114">
        <v>4</v>
      </c>
      <c r="F199" s="32"/>
      <c r="G199" s="32"/>
      <c r="H199" s="1">
        <v>0</v>
      </c>
      <c r="I199" s="1"/>
      <c r="J199" s="1">
        <v>0</v>
      </c>
      <c r="K199" s="1"/>
      <c r="L199" s="1"/>
      <c r="M199" s="1">
        <v>0</v>
      </c>
    </row>
    <row r="200" spans="1:13" ht="12">
      <c r="A200" s="114">
        <v>5</v>
      </c>
      <c r="C200" s="31"/>
      <c r="E200" s="114">
        <v>5</v>
      </c>
      <c r="F200" s="32"/>
      <c r="G200" s="32"/>
      <c r="H200" s="1">
        <v>0</v>
      </c>
      <c r="I200" s="1"/>
      <c r="J200" s="1">
        <v>0</v>
      </c>
      <c r="K200" s="1"/>
      <c r="L200" s="1"/>
      <c r="M200" s="1">
        <v>0</v>
      </c>
    </row>
    <row r="201" spans="1:13" ht="12">
      <c r="A201" s="114">
        <v>6</v>
      </c>
      <c r="C201" s="32"/>
      <c r="E201" s="114">
        <v>6</v>
      </c>
      <c r="F201" s="32"/>
      <c r="G201" s="32"/>
      <c r="H201" s="1">
        <v>0</v>
      </c>
      <c r="I201" s="1"/>
      <c r="J201" s="1">
        <v>0</v>
      </c>
      <c r="K201" s="1"/>
      <c r="L201" s="1"/>
      <c r="M201" s="1">
        <v>0</v>
      </c>
    </row>
    <row r="202" spans="1:13" ht="12">
      <c r="A202" s="114">
        <v>7</v>
      </c>
      <c r="C202" s="32"/>
      <c r="E202" s="114">
        <v>7</v>
      </c>
      <c r="F202" s="32"/>
      <c r="G202" s="32"/>
      <c r="H202" s="1">
        <v>0</v>
      </c>
      <c r="I202" s="1"/>
      <c r="J202" s="1">
        <v>0</v>
      </c>
      <c r="K202" s="1"/>
      <c r="L202" s="1"/>
      <c r="M202" s="1">
        <v>0</v>
      </c>
    </row>
    <row r="203" spans="1:13" ht="12">
      <c r="A203" s="114">
        <v>8</v>
      </c>
      <c r="E203" s="114">
        <v>8</v>
      </c>
      <c r="F203" s="32"/>
      <c r="G203" s="32"/>
      <c r="H203" s="1">
        <v>0</v>
      </c>
      <c r="I203" s="1"/>
      <c r="J203" s="1">
        <v>0</v>
      </c>
      <c r="K203" s="1"/>
      <c r="L203" s="1"/>
      <c r="M203" s="1">
        <v>0</v>
      </c>
    </row>
    <row r="204" spans="1:13" ht="12">
      <c r="A204" s="114">
        <v>9</v>
      </c>
      <c r="E204" s="114">
        <v>9</v>
      </c>
      <c r="F204" s="32"/>
      <c r="G204" s="32"/>
      <c r="H204" s="1">
        <v>0</v>
      </c>
      <c r="I204" s="1"/>
      <c r="J204" s="1">
        <v>0</v>
      </c>
      <c r="K204" s="1"/>
      <c r="L204" s="1"/>
      <c r="M204" s="1">
        <v>0</v>
      </c>
    </row>
    <row r="205" spans="1:13" ht="12">
      <c r="A205" s="117"/>
      <c r="E205" s="117"/>
      <c r="F205" s="109" t="s">
        <v>1</v>
      </c>
      <c r="G205" s="109"/>
      <c r="H205" s="137"/>
      <c r="I205" s="137" t="s">
        <v>1</v>
      </c>
      <c r="J205" s="137"/>
      <c r="K205" s="137"/>
      <c r="L205" s="137"/>
      <c r="M205" s="137"/>
    </row>
    <row r="206" spans="1:13" ht="12">
      <c r="A206" s="114">
        <v>10</v>
      </c>
      <c r="C206" s="26" t="s">
        <v>86</v>
      </c>
      <c r="E206" s="114">
        <v>10</v>
      </c>
      <c r="H206" s="121">
        <f>SUM(H196:H204)</f>
        <v>0</v>
      </c>
      <c r="I206" s="122"/>
      <c r="J206" s="1">
        <f>SUM(J196:J204)</f>
        <v>0</v>
      </c>
      <c r="K206" s="121"/>
      <c r="L206" s="122"/>
      <c r="M206" s="1">
        <f>SUM(M196:M204)</f>
        <v>0</v>
      </c>
    </row>
    <row r="207" spans="1:13" ht="12">
      <c r="A207" s="114"/>
      <c r="E207" s="114"/>
      <c r="F207" s="109" t="s">
        <v>1</v>
      </c>
      <c r="G207" s="109"/>
      <c r="H207" s="137"/>
      <c r="I207" s="137" t="s">
        <v>1</v>
      </c>
      <c r="J207" s="137"/>
      <c r="K207" s="137"/>
      <c r="L207" s="137"/>
      <c r="M207" s="137"/>
    </row>
    <row r="208" spans="1:13" ht="12">
      <c r="A208" s="114">
        <v>11</v>
      </c>
      <c r="C208" s="32"/>
      <c r="E208" s="114">
        <v>11</v>
      </c>
      <c r="F208" s="32"/>
      <c r="G208" s="32"/>
      <c r="H208" s="1"/>
      <c r="I208" s="1"/>
      <c r="J208" s="1"/>
      <c r="K208" s="1"/>
      <c r="L208" s="1"/>
      <c r="M208" s="1"/>
    </row>
    <row r="209" spans="1:13" ht="12">
      <c r="A209" s="114">
        <v>12</v>
      </c>
      <c r="C209" s="31" t="s">
        <v>157</v>
      </c>
      <c r="E209" s="114">
        <v>12</v>
      </c>
      <c r="F209" s="32"/>
      <c r="G209" s="32"/>
      <c r="H209" s="1">
        <v>13662651</v>
      </c>
      <c r="I209" s="1"/>
      <c r="J209" s="1">
        <v>7629846</v>
      </c>
      <c r="K209" s="1"/>
      <c r="L209" s="1"/>
      <c r="M209" s="1">
        <v>6423000</v>
      </c>
    </row>
    <row r="210" spans="1:13" ht="12">
      <c r="A210" s="114">
        <v>13</v>
      </c>
      <c r="C210" s="32" t="s">
        <v>233</v>
      </c>
      <c r="E210" s="114">
        <v>13</v>
      </c>
      <c r="F210" s="32"/>
      <c r="G210" s="32"/>
      <c r="H210" s="1"/>
      <c r="I210" s="1"/>
      <c r="J210" s="1">
        <v>0</v>
      </c>
      <c r="K210" s="1"/>
      <c r="L210" s="1"/>
      <c r="M210" s="1">
        <v>0</v>
      </c>
    </row>
    <row r="211" spans="1:13" ht="12">
      <c r="A211" s="114">
        <v>14</v>
      </c>
      <c r="C211" s="26" t="s">
        <v>582</v>
      </c>
      <c r="E211" s="114">
        <v>14</v>
      </c>
      <c r="F211" s="32"/>
      <c r="G211" s="32"/>
      <c r="H211" s="1">
        <v>83543</v>
      </c>
      <c r="I211" s="1"/>
      <c r="J211" s="1">
        <v>115982</v>
      </c>
      <c r="K211" s="1"/>
      <c r="L211" s="1"/>
      <c r="M211" s="1">
        <v>120000</v>
      </c>
    </row>
    <row r="212" spans="1:13" ht="12">
      <c r="A212" s="114">
        <v>15</v>
      </c>
      <c r="E212" s="114">
        <v>15</v>
      </c>
      <c r="F212" s="32"/>
      <c r="G212" s="32"/>
      <c r="H212" s="1"/>
      <c r="I212" s="1"/>
      <c r="J212" s="1"/>
      <c r="K212" s="1"/>
      <c r="L212" s="1"/>
      <c r="M212" s="1">
        <v>0</v>
      </c>
    </row>
    <row r="213" spans="1:13" ht="12">
      <c r="A213" s="114">
        <v>16</v>
      </c>
      <c r="E213" s="114">
        <v>16</v>
      </c>
      <c r="F213" s="32"/>
      <c r="G213" s="32"/>
      <c r="H213" s="1"/>
      <c r="I213" s="1"/>
      <c r="J213" s="1">
        <v>0</v>
      </c>
      <c r="K213" s="1"/>
      <c r="L213" s="1"/>
      <c r="M213" s="1">
        <v>0</v>
      </c>
    </row>
    <row r="214" spans="1:13" ht="12">
      <c r="A214" s="114">
        <v>17</v>
      </c>
      <c r="C214" s="115"/>
      <c r="D214" s="116"/>
      <c r="E214" s="114">
        <v>17</v>
      </c>
      <c r="F214" s="32"/>
      <c r="G214" s="32"/>
      <c r="H214" s="1"/>
      <c r="I214" s="1"/>
      <c r="J214" s="1">
        <v>0</v>
      </c>
      <c r="K214" s="1"/>
      <c r="L214" s="1"/>
      <c r="M214" s="1">
        <v>0</v>
      </c>
    </row>
    <row r="215" spans="1:13" ht="12">
      <c r="A215" s="114">
        <v>18</v>
      </c>
      <c r="C215" s="116"/>
      <c r="D215" s="116"/>
      <c r="E215" s="114">
        <v>18</v>
      </c>
      <c r="F215" s="32"/>
      <c r="G215" s="32"/>
      <c r="H215" s="1">
        <v>0</v>
      </c>
      <c r="I215" s="1"/>
      <c r="J215" s="1">
        <v>0</v>
      </c>
      <c r="K215" s="1"/>
      <c r="L215" s="1"/>
      <c r="M215" s="1">
        <v>0</v>
      </c>
    </row>
    <row r="216" spans="1:13" ht="12">
      <c r="A216" s="114"/>
      <c r="C216" s="149"/>
      <c r="D216" s="116"/>
      <c r="E216" s="114"/>
      <c r="F216" s="109" t="s">
        <v>1</v>
      </c>
      <c r="G216" s="109"/>
      <c r="H216" s="109"/>
      <c r="I216" s="41" t="s">
        <v>1</v>
      </c>
      <c r="J216" s="42"/>
      <c r="K216" s="109"/>
      <c r="L216" s="41"/>
      <c r="M216" s="42"/>
    </row>
    <row r="217" spans="1:13" ht="12">
      <c r="A217" s="114">
        <v>19</v>
      </c>
      <c r="C217" s="26" t="s">
        <v>158</v>
      </c>
      <c r="D217" s="116"/>
      <c r="E217" s="114">
        <v>19</v>
      </c>
      <c r="H217" s="121">
        <f>SUM(H208:H215)</f>
        <v>13746194</v>
      </c>
      <c r="I217" s="121"/>
      <c r="J217" s="121">
        <f>SUM(J208:J215)</f>
        <v>7745828</v>
      </c>
      <c r="K217" s="1"/>
      <c r="L217" s="1"/>
      <c r="M217" s="121">
        <f>SUM(M208:M215)</f>
        <v>6543000</v>
      </c>
    </row>
    <row r="218" spans="1:13" ht="12">
      <c r="A218" s="114"/>
      <c r="C218" s="149"/>
      <c r="D218" s="116"/>
      <c r="E218" s="114"/>
      <c r="F218" s="109" t="s">
        <v>1</v>
      </c>
      <c r="G218" s="109"/>
      <c r="H218" s="109"/>
      <c r="I218" s="41" t="s">
        <v>1</v>
      </c>
      <c r="J218" s="42"/>
      <c r="K218" s="109"/>
      <c r="L218" s="41"/>
      <c r="M218" s="42"/>
    </row>
    <row r="219" spans="1:10" ht="12">
      <c r="A219" s="114"/>
      <c r="C219" s="116"/>
      <c r="D219" s="116"/>
      <c r="E219" s="114"/>
      <c r="J219" s="34"/>
    </row>
    <row r="220" spans="1:13" ht="12">
      <c r="A220" s="114">
        <v>20</v>
      </c>
      <c r="C220" s="31" t="s">
        <v>231</v>
      </c>
      <c r="E220" s="114">
        <v>20</v>
      </c>
      <c r="H220" s="121">
        <f>SUM(H206,H217)</f>
        <v>13746194</v>
      </c>
      <c r="I220" s="122"/>
      <c r="J220" s="121">
        <f>SUM(J206,J217)</f>
        <v>7745828</v>
      </c>
      <c r="K220" s="121"/>
      <c r="L220" s="122"/>
      <c r="M220" s="121">
        <f>SUM(M206,M217)</f>
        <v>6543000</v>
      </c>
    </row>
    <row r="221" spans="3:13" ht="12">
      <c r="C221" s="52" t="s">
        <v>87</v>
      </c>
      <c r="E221" s="69"/>
      <c r="F221" s="109" t="s">
        <v>1</v>
      </c>
      <c r="G221" s="109"/>
      <c r="H221" s="109"/>
      <c r="I221" s="41" t="s">
        <v>1</v>
      </c>
      <c r="J221" s="42"/>
      <c r="K221" s="109"/>
      <c r="L221" s="41"/>
      <c r="M221" s="42"/>
    </row>
    <row r="222" ht="12">
      <c r="C222" s="31" t="s">
        <v>0</v>
      </c>
    </row>
    <row r="223" spans="4:13" ht="12" customHeight="1">
      <c r="D223" s="156"/>
      <c r="E223" s="109"/>
      <c r="F223" s="69"/>
      <c r="G223" s="69"/>
      <c r="H223" s="69"/>
      <c r="I223" s="41"/>
      <c r="J223" s="42"/>
      <c r="K223" s="159"/>
      <c r="L223" s="41"/>
      <c r="M223" s="42"/>
    </row>
    <row r="224" spans="4:13" ht="12" customHeight="1">
      <c r="D224" s="156"/>
      <c r="E224" s="109"/>
      <c r="F224" s="69"/>
      <c r="G224" s="69"/>
      <c r="H224" s="69"/>
      <c r="I224" s="41"/>
      <c r="J224" s="42"/>
      <c r="K224" s="159"/>
      <c r="L224" s="41"/>
      <c r="M224" s="42"/>
    </row>
    <row r="225" spans="4:13" ht="12" customHeight="1">
      <c r="D225" s="156"/>
      <c r="E225" s="109"/>
      <c r="F225" s="69"/>
      <c r="G225" s="69"/>
      <c r="H225" s="69"/>
      <c r="I225" s="41"/>
      <c r="J225" s="42"/>
      <c r="K225" s="159"/>
      <c r="L225" s="41"/>
      <c r="M225" s="42"/>
    </row>
    <row r="226" spans="4:13" ht="12" customHeight="1">
      <c r="D226" s="156"/>
      <c r="E226" s="109"/>
      <c r="F226" s="69"/>
      <c r="G226" s="69"/>
      <c r="H226" s="69"/>
      <c r="I226" s="41"/>
      <c r="J226" s="42"/>
      <c r="K226" s="159"/>
      <c r="L226" s="41"/>
      <c r="M226" s="42"/>
    </row>
    <row r="227" spans="4:13" ht="12" customHeight="1">
      <c r="D227" s="156"/>
      <c r="E227" s="109"/>
      <c r="F227" s="69"/>
      <c r="G227" s="69"/>
      <c r="H227" s="69"/>
      <c r="I227" s="41"/>
      <c r="J227" s="42"/>
      <c r="K227" s="159"/>
      <c r="L227" s="41"/>
      <c r="M227" s="42"/>
    </row>
    <row r="228" spans="4:13" ht="12" customHeight="1">
      <c r="D228" s="156"/>
      <c r="E228" s="109"/>
      <c r="F228" s="69"/>
      <c r="G228" s="69"/>
      <c r="H228" s="69"/>
      <c r="I228" s="41"/>
      <c r="J228" s="42"/>
      <c r="K228" s="159"/>
      <c r="L228" s="41"/>
      <c r="M228" s="42"/>
    </row>
    <row r="229" spans="4:13" ht="12" customHeight="1">
      <c r="D229" s="156"/>
      <c r="E229" s="109"/>
      <c r="F229" s="69"/>
      <c r="G229" s="69"/>
      <c r="H229" s="69"/>
      <c r="I229" s="41"/>
      <c r="J229" s="42"/>
      <c r="K229" s="159"/>
      <c r="L229" s="41"/>
      <c r="M229" s="42"/>
    </row>
    <row r="230" spans="4:13" ht="12" customHeight="1">
      <c r="D230" s="156"/>
      <c r="E230" s="109"/>
      <c r="F230" s="69"/>
      <c r="G230" s="69"/>
      <c r="H230" s="69"/>
      <c r="I230" s="41"/>
      <c r="J230" s="42"/>
      <c r="K230" s="159"/>
      <c r="L230" s="41"/>
      <c r="M230" s="42"/>
    </row>
    <row r="231" spans="4:13" ht="12" customHeight="1">
      <c r="D231" s="156"/>
      <c r="E231" s="109"/>
      <c r="F231" s="69"/>
      <c r="G231" s="69"/>
      <c r="H231" s="69"/>
      <c r="I231" s="41"/>
      <c r="J231" s="42"/>
      <c r="K231" s="159"/>
      <c r="L231" s="41"/>
      <c r="M231" s="42"/>
    </row>
    <row r="232" spans="4:13" ht="12" customHeight="1">
      <c r="D232" s="156"/>
      <c r="E232" s="109"/>
      <c r="F232" s="69"/>
      <c r="G232" s="69"/>
      <c r="H232" s="69"/>
      <c r="I232" s="41"/>
      <c r="J232" s="42"/>
      <c r="K232" s="159"/>
      <c r="L232" s="41"/>
      <c r="M232" s="42"/>
    </row>
    <row r="233" spans="4:13" ht="12" customHeight="1">
      <c r="D233" s="156"/>
      <c r="E233" s="109"/>
      <c r="F233" s="69"/>
      <c r="G233" s="69"/>
      <c r="H233" s="69"/>
      <c r="I233" s="41"/>
      <c r="J233" s="42"/>
      <c r="K233" s="159"/>
      <c r="L233" s="41"/>
      <c r="M233" s="42"/>
    </row>
    <row r="234" spans="4:13" ht="12" customHeight="1">
      <c r="D234" s="156"/>
      <c r="E234" s="109"/>
      <c r="F234" s="69"/>
      <c r="G234" s="69"/>
      <c r="H234" s="69"/>
      <c r="I234" s="41"/>
      <c r="J234" s="42"/>
      <c r="K234" s="159"/>
      <c r="L234" s="41"/>
      <c r="M234" s="42"/>
    </row>
    <row r="235" spans="4:13" ht="12" customHeight="1">
      <c r="D235" s="156"/>
      <c r="E235" s="109"/>
      <c r="F235" s="69"/>
      <c r="G235" s="69"/>
      <c r="H235" s="69"/>
      <c r="I235" s="41"/>
      <c r="J235" s="42"/>
      <c r="K235" s="159"/>
      <c r="L235" s="41"/>
      <c r="M235" s="42"/>
    </row>
    <row r="236" spans="4:13" ht="12" customHeight="1">
      <c r="D236" s="156"/>
      <c r="E236" s="109"/>
      <c r="F236" s="69"/>
      <c r="G236" s="69"/>
      <c r="H236" s="69"/>
      <c r="I236" s="41"/>
      <c r="J236" s="42"/>
      <c r="K236" s="159"/>
      <c r="L236" s="41"/>
      <c r="M236" s="42"/>
    </row>
    <row r="237" spans="4:13" ht="12" customHeight="1">
      <c r="D237" s="156"/>
      <c r="E237" s="109"/>
      <c r="F237" s="69"/>
      <c r="G237" s="69"/>
      <c r="H237" s="69"/>
      <c r="I237" s="41"/>
      <c r="J237" s="42"/>
      <c r="K237" s="159"/>
      <c r="L237" s="41"/>
      <c r="M237" s="42"/>
    </row>
    <row r="238" spans="4:13" ht="12" customHeight="1">
      <c r="D238" s="156"/>
      <c r="E238" s="109"/>
      <c r="F238" s="69"/>
      <c r="G238" s="69"/>
      <c r="H238" s="69"/>
      <c r="I238" s="41"/>
      <c r="J238" s="42"/>
      <c r="K238" s="159"/>
      <c r="L238" s="41"/>
      <c r="M238" s="42"/>
    </row>
    <row r="239" spans="4:13" ht="12" customHeight="1">
      <c r="D239" s="156"/>
      <c r="E239" s="109"/>
      <c r="F239" s="69"/>
      <c r="G239" s="69"/>
      <c r="H239" s="69"/>
      <c r="I239" s="41"/>
      <c r="J239" s="42"/>
      <c r="K239" s="159"/>
      <c r="L239" s="41"/>
      <c r="M239" s="42"/>
    </row>
    <row r="240" spans="4:13" ht="12" customHeight="1">
      <c r="D240" s="156"/>
      <c r="E240" s="109"/>
      <c r="F240" s="69"/>
      <c r="G240" s="69"/>
      <c r="H240" s="69"/>
      <c r="I240" s="41"/>
      <c r="J240" s="42"/>
      <c r="K240" s="159"/>
      <c r="L240" s="41"/>
      <c r="M240" s="42"/>
    </row>
    <row r="241" spans="4:13" ht="12" customHeight="1">
      <c r="D241" s="156"/>
      <c r="E241" s="109"/>
      <c r="F241" s="69"/>
      <c r="G241" s="69"/>
      <c r="H241" s="69"/>
      <c r="I241" s="41"/>
      <c r="J241" s="42"/>
      <c r="K241" s="159"/>
      <c r="L241" s="41"/>
      <c r="M241" s="42"/>
    </row>
    <row r="242" spans="4:13" ht="12" customHeight="1">
      <c r="D242" s="156"/>
      <c r="E242" s="109"/>
      <c r="F242" s="69"/>
      <c r="G242" s="69"/>
      <c r="H242" s="69"/>
      <c r="I242" s="41"/>
      <c r="J242" s="42"/>
      <c r="K242" s="159"/>
      <c r="L242" s="41"/>
      <c r="M242" s="42"/>
    </row>
    <row r="243" spans="4:13" ht="12" customHeight="1">
      <c r="D243" s="156"/>
      <c r="E243" s="109"/>
      <c r="F243" s="69"/>
      <c r="G243" s="69"/>
      <c r="H243" s="69"/>
      <c r="I243" s="41"/>
      <c r="J243" s="42"/>
      <c r="K243" s="159"/>
      <c r="L243" s="41"/>
      <c r="M243" s="42"/>
    </row>
    <row r="244" spans="4:13" ht="12" customHeight="1">
      <c r="D244" s="156"/>
      <c r="E244" s="109"/>
      <c r="F244" s="69"/>
      <c r="G244" s="69"/>
      <c r="H244" s="69"/>
      <c r="I244" s="41"/>
      <c r="J244" s="42"/>
      <c r="K244" s="159"/>
      <c r="L244" s="41"/>
      <c r="M244" s="42"/>
    </row>
    <row r="245" spans="4:13" ht="12" customHeight="1">
      <c r="D245" s="156"/>
      <c r="E245" s="109"/>
      <c r="F245" s="69"/>
      <c r="G245" s="69"/>
      <c r="H245" s="69"/>
      <c r="I245" s="41"/>
      <c r="J245" s="42"/>
      <c r="K245" s="159"/>
      <c r="L245" s="41"/>
      <c r="M245" s="42"/>
    </row>
    <row r="246" spans="4:13" ht="12" customHeight="1">
      <c r="D246" s="156"/>
      <c r="E246" s="109"/>
      <c r="F246" s="69"/>
      <c r="G246" s="69"/>
      <c r="H246" s="69"/>
      <c r="I246" s="41"/>
      <c r="J246" s="42"/>
      <c r="K246" s="159"/>
      <c r="L246" s="41"/>
      <c r="M246" s="42"/>
    </row>
    <row r="247" spans="4:13" ht="12" customHeight="1">
      <c r="D247" s="156"/>
      <c r="E247" s="109"/>
      <c r="F247" s="69"/>
      <c r="G247" s="69"/>
      <c r="H247" s="69"/>
      <c r="I247" s="41"/>
      <c r="J247" s="42"/>
      <c r="K247" s="159"/>
      <c r="L247" s="41"/>
      <c r="M247" s="42"/>
    </row>
    <row r="248" spans="4:13" ht="12" customHeight="1">
      <c r="D248" s="156"/>
      <c r="E248" s="109"/>
      <c r="F248" s="69"/>
      <c r="G248" s="69"/>
      <c r="H248" s="69"/>
      <c r="I248" s="41"/>
      <c r="J248" s="42"/>
      <c r="K248" s="159"/>
      <c r="L248" s="41"/>
      <c r="M248" s="42"/>
    </row>
    <row r="249" spans="4:13" ht="12" customHeight="1">
      <c r="D249" s="156"/>
      <c r="E249" s="109"/>
      <c r="F249" s="69"/>
      <c r="G249" s="69"/>
      <c r="H249" s="69"/>
      <c r="I249" s="41"/>
      <c r="J249" s="42"/>
      <c r="K249" s="159"/>
      <c r="L249" s="41"/>
      <c r="M249" s="42"/>
    </row>
    <row r="250" spans="4:13" ht="12" customHeight="1">
      <c r="D250" s="156"/>
      <c r="E250" s="109"/>
      <c r="F250" s="69"/>
      <c r="G250" s="69"/>
      <c r="H250" s="69"/>
      <c r="I250" s="41"/>
      <c r="J250" s="42"/>
      <c r="K250" s="159"/>
      <c r="L250" s="41"/>
      <c r="M250" s="42"/>
    </row>
    <row r="251" spans="4:13" ht="12" customHeight="1">
      <c r="D251" s="156"/>
      <c r="E251" s="109"/>
      <c r="F251" s="69"/>
      <c r="G251" s="69"/>
      <c r="H251" s="69"/>
      <c r="I251" s="41"/>
      <c r="J251" s="42"/>
      <c r="K251" s="159"/>
      <c r="L251" s="41"/>
      <c r="M251" s="42"/>
    </row>
    <row r="252" spans="4:13" ht="12" customHeight="1">
      <c r="D252" s="156"/>
      <c r="E252" s="109"/>
      <c r="F252" s="69"/>
      <c r="G252" s="69"/>
      <c r="H252" s="69"/>
      <c r="I252" s="41"/>
      <c r="J252" s="42"/>
      <c r="K252" s="159"/>
      <c r="L252" s="41"/>
      <c r="M252" s="42"/>
    </row>
    <row r="253" spans="4:13" ht="12" customHeight="1">
      <c r="D253" s="156"/>
      <c r="E253" s="109"/>
      <c r="F253" s="69"/>
      <c r="G253" s="69"/>
      <c r="H253" s="69"/>
      <c r="I253" s="41"/>
      <c r="J253" s="42"/>
      <c r="K253" s="159"/>
      <c r="L253" s="41"/>
      <c r="M253" s="42"/>
    </row>
    <row r="254" spans="4:13" ht="12" customHeight="1">
      <c r="D254" s="156"/>
      <c r="E254" s="109"/>
      <c r="F254" s="69"/>
      <c r="G254" s="69"/>
      <c r="H254" s="69"/>
      <c r="I254" s="41"/>
      <c r="J254" s="42"/>
      <c r="K254" s="159"/>
      <c r="L254" s="41"/>
      <c r="M254" s="42"/>
    </row>
    <row r="255" spans="4:13" ht="12" customHeight="1">
      <c r="D255" s="156"/>
      <c r="E255" s="109"/>
      <c r="F255" s="69"/>
      <c r="G255" s="69"/>
      <c r="H255" s="69"/>
      <c r="I255" s="41"/>
      <c r="J255" s="42"/>
      <c r="K255" s="159"/>
      <c r="L255" s="41"/>
      <c r="M255" s="42"/>
    </row>
    <row r="256" spans="4:13" ht="12" customHeight="1">
      <c r="D256" s="156"/>
      <c r="E256" s="109"/>
      <c r="F256" s="69"/>
      <c r="G256" s="69"/>
      <c r="H256" s="69"/>
      <c r="I256" s="41"/>
      <c r="J256" s="42"/>
      <c r="K256" s="159"/>
      <c r="L256" s="41"/>
      <c r="M256" s="42"/>
    </row>
    <row r="257" spans="4:13" ht="12" customHeight="1">
      <c r="D257" s="156"/>
      <c r="E257" s="109"/>
      <c r="F257" s="69"/>
      <c r="G257" s="69"/>
      <c r="H257" s="69"/>
      <c r="I257" s="41"/>
      <c r="J257" s="42"/>
      <c r="K257" s="159"/>
      <c r="L257" s="41"/>
      <c r="M257" s="42"/>
    </row>
    <row r="258" spans="4:13" ht="12" customHeight="1">
      <c r="D258" s="156"/>
      <c r="E258" s="109"/>
      <c r="F258" s="69"/>
      <c r="G258" s="69"/>
      <c r="H258" s="69"/>
      <c r="I258" s="41"/>
      <c r="J258" s="42"/>
      <c r="K258" s="159"/>
      <c r="L258" s="41"/>
      <c r="M258" s="42"/>
    </row>
    <row r="259" spans="4:13" ht="12" customHeight="1">
      <c r="D259" s="156"/>
      <c r="E259" s="109"/>
      <c r="F259" s="69"/>
      <c r="G259" s="69"/>
      <c r="H259" s="69"/>
      <c r="I259" s="41"/>
      <c r="J259" s="42"/>
      <c r="K259" s="159"/>
      <c r="L259" s="41"/>
      <c r="M259" s="42"/>
    </row>
    <row r="260" spans="4:13" ht="12" customHeight="1">
      <c r="D260" s="156"/>
      <c r="E260" s="109"/>
      <c r="F260" s="69"/>
      <c r="G260" s="69"/>
      <c r="H260" s="69"/>
      <c r="I260" s="41"/>
      <c r="J260" s="42"/>
      <c r="K260" s="159"/>
      <c r="L260" s="41"/>
      <c r="M260" s="42"/>
    </row>
    <row r="261" spans="4:13" ht="12" customHeight="1">
      <c r="D261" s="156"/>
      <c r="E261" s="109"/>
      <c r="F261" s="69"/>
      <c r="G261" s="69"/>
      <c r="H261" s="69"/>
      <c r="I261" s="41"/>
      <c r="J261" s="42"/>
      <c r="K261" s="159"/>
      <c r="L261" s="41"/>
      <c r="M261" s="42"/>
    </row>
    <row r="262" spans="4:13" ht="12" customHeight="1">
      <c r="D262" s="156"/>
      <c r="E262" s="109"/>
      <c r="F262" s="69"/>
      <c r="G262" s="69"/>
      <c r="H262" s="69"/>
      <c r="I262" s="41"/>
      <c r="J262" s="42"/>
      <c r="K262" s="159"/>
      <c r="L262" s="41"/>
      <c r="M262" s="42"/>
    </row>
    <row r="263" spans="4:13" ht="12" customHeight="1">
      <c r="D263" s="156"/>
      <c r="E263" s="109"/>
      <c r="F263" s="69"/>
      <c r="G263" s="69"/>
      <c r="H263" s="69"/>
      <c r="I263" s="41"/>
      <c r="J263" s="42"/>
      <c r="K263" s="159"/>
      <c r="L263" s="41"/>
      <c r="M263" s="42"/>
    </row>
    <row r="264" spans="4:13" ht="12" customHeight="1">
      <c r="D264" s="156"/>
      <c r="E264" s="109"/>
      <c r="F264" s="69"/>
      <c r="G264" s="69"/>
      <c r="H264" s="69"/>
      <c r="I264" s="41"/>
      <c r="J264" s="42"/>
      <c r="K264" s="159"/>
      <c r="L264" s="41"/>
      <c r="M264" s="42"/>
    </row>
    <row r="265" spans="4:13" ht="12" customHeight="1">
      <c r="D265" s="156"/>
      <c r="E265" s="109"/>
      <c r="F265" s="69"/>
      <c r="G265" s="69"/>
      <c r="H265" s="69"/>
      <c r="I265" s="41"/>
      <c r="J265" s="42"/>
      <c r="K265" s="159"/>
      <c r="L265" s="41"/>
      <c r="M265" s="42"/>
    </row>
    <row r="266" spans="4:13" ht="12" customHeight="1">
      <c r="D266" s="156"/>
      <c r="E266" s="109"/>
      <c r="F266" s="69"/>
      <c r="G266" s="69"/>
      <c r="H266" s="69"/>
      <c r="I266" s="41"/>
      <c r="J266" s="42"/>
      <c r="K266" s="159"/>
      <c r="L266" s="41"/>
      <c r="M266" s="42"/>
    </row>
    <row r="267" spans="4:13" ht="12">
      <c r="D267" s="31"/>
      <c r="I267" s="36"/>
      <c r="J267" s="74"/>
      <c r="K267" s="87"/>
      <c r="L267" s="36"/>
      <c r="M267" s="74"/>
    </row>
    <row r="268" spans="4:13" ht="12">
      <c r="D268" s="31"/>
      <c r="I268" s="36"/>
      <c r="J268" s="74"/>
      <c r="K268" s="87"/>
      <c r="L268" s="36"/>
      <c r="M268" s="74"/>
    </row>
    <row r="269" spans="4:13" ht="12">
      <c r="D269" s="31"/>
      <c r="I269" s="36"/>
      <c r="J269" s="74"/>
      <c r="K269" s="87"/>
      <c r="L269" s="36"/>
      <c r="M269" s="74"/>
    </row>
    <row r="270" spans="4:13" ht="12">
      <c r="D270" s="31"/>
      <c r="I270" s="36"/>
      <c r="J270" s="74"/>
      <c r="K270" s="87"/>
      <c r="L270" s="36"/>
      <c r="M270" s="74"/>
    </row>
    <row r="271" spans="4:13" ht="12">
      <c r="D271" s="31"/>
      <c r="I271" s="36"/>
      <c r="J271" s="74"/>
      <c r="K271" s="87"/>
      <c r="L271" s="36"/>
      <c r="M271" s="74"/>
    </row>
    <row r="272" spans="4:13" ht="12">
      <c r="D272" s="31"/>
      <c r="I272" s="36"/>
      <c r="J272" s="74"/>
      <c r="K272" s="87"/>
      <c r="L272" s="36"/>
      <c r="M272" s="74"/>
    </row>
    <row r="273" spans="4:13" ht="12">
      <c r="D273" s="31"/>
      <c r="I273" s="36"/>
      <c r="J273" s="74"/>
      <c r="K273" s="87"/>
      <c r="L273" s="36"/>
      <c r="M273" s="74"/>
    </row>
    <row r="274" spans="4:13" ht="12">
      <c r="D274" s="31"/>
      <c r="I274" s="36"/>
      <c r="J274" s="74"/>
      <c r="K274" s="87"/>
      <c r="L274" s="36"/>
      <c r="M274" s="74"/>
    </row>
    <row r="275" spans="4:13" ht="12">
      <c r="D275" s="31"/>
      <c r="I275" s="36"/>
      <c r="J275" s="74"/>
      <c r="K275" s="87"/>
      <c r="L275" s="36"/>
      <c r="M275" s="74"/>
    </row>
    <row r="276" spans="4:13" ht="12">
      <c r="D276" s="31"/>
      <c r="I276" s="36"/>
      <c r="J276" s="74"/>
      <c r="K276" s="87"/>
      <c r="L276" s="36"/>
      <c r="M276" s="74"/>
    </row>
    <row r="277" spans="4:13" ht="12">
      <c r="D277" s="31"/>
      <c r="I277" s="36"/>
      <c r="J277" s="74"/>
      <c r="K277" s="87"/>
      <c r="L277" s="36"/>
      <c r="M277" s="74"/>
    </row>
    <row r="278" spans="4:13" ht="12">
      <c r="D278" s="31"/>
      <c r="I278" s="36"/>
      <c r="J278" s="74"/>
      <c r="K278" s="87"/>
      <c r="L278" s="36"/>
      <c r="M278" s="74"/>
    </row>
    <row r="279" spans="4:13" ht="12">
      <c r="D279" s="31"/>
      <c r="I279" s="36"/>
      <c r="J279" s="74"/>
      <c r="K279" s="87"/>
      <c r="L279" s="36"/>
      <c r="M279" s="74"/>
    </row>
    <row r="280" spans="4:13" ht="12">
      <c r="D280" s="31"/>
      <c r="I280" s="36"/>
      <c r="J280" s="74"/>
      <c r="K280" s="87"/>
      <c r="L280" s="36"/>
      <c r="M280" s="74"/>
    </row>
    <row r="281" spans="4:13" ht="12">
      <c r="D281" s="31"/>
      <c r="I281" s="36"/>
      <c r="J281" s="74"/>
      <c r="K281" s="87"/>
      <c r="L281" s="36"/>
      <c r="M281" s="74"/>
    </row>
    <row r="282" spans="4:13" ht="12">
      <c r="D282" s="31"/>
      <c r="I282" s="36"/>
      <c r="J282" s="74"/>
      <c r="K282" s="87"/>
      <c r="L282" s="36"/>
      <c r="M282" s="74"/>
    </row>
    <row r="283" spans="4:13" ht="12">
      <c r="D283" s="31"/>
      <c r="I283" s="36"/>
      <c r="J283" s="74"/>
      <c r="K283" s="87"/>
      <c r="L283" s="36"/>
      <c r="M283" s="74"/>
    </row>
    <row r="284" spans="4:13" ht="12">
      <c r="D284" s="31"/>
      <c r="I284" s="36"/>
      <c r="J284" s="74"/>
      <c r="K284" s="87"/>
      <c r="L284" s="36"/>
      <c r="M284" s="74"/>
    </row>
    <row r="285" spans="4:13" ht="12">
      <c r="D285" s="31"/>
      <c r="I285" s="36"/>
      <c r="J285" s="74"/>
      <c r="K285" s="87"/>
      <c r="L285" s="36"/>
      <c r="M285" s="74"/>
    </row>
    <row r="286" spans="4:13" ht="12">
      <c r="D286" s="31"/>
      <c r="I286" s="36"/>
      <c r="J286" s="74"/>
      <c r="K286" s="87"/>
      <c r="L286" s="36"/>
      <c r="M286" s="74"/>
    </row>
    <row r="287" spans="4:13" ht="12">
      <c r="D287" s="31"/>
      <c r="I287" s="36"/>
      <c r="J287" s="74"/>
      <c r="K287" s="87"/>
      <c r="L287" s="36"/>
      <c r="M287" s="74"/>
    </row>
    <row r="288" spans="4:13" ht="12">
      <c r="D288" s="31"/>
      <c r="I288" s="36"/>
      <c r="J288" s="74"/>
      <c r="K288" s="87"/>
      <c r="L288" s="36"/>
      <c r="M288" s="74"/>
    </row>
    <row r="289" spans="4:13" ht="12">
      <c r="D289" s="31"/>
      <c r="I289" s="36"/>
      <c r="J289" s="74"/>
      <c r="K289" s="87"/>
      <c r="L289" s="36"/>
      <c r="M289" s="74"/>
    </row>
    <row r="290" spans="4:13" ht="12">
      <c r="D290" s="31"/>
      <c r="I290" s="36"/>
      <c r="J290" s="74"/>
      <c r="K290" s="87"/>
      <c r="L290" s="36"/>
      <c r="M290" s="74"/>
    </row>
    <row r="291" spans="4:13" ht="12">
      <c r="D291" s="31"/>
      <c r="I291" s="36"/>
      <c r="J291" s="74"/>
      <c r="K291" s="87"/>
      <c r="L291" s="36"/>
      <c r="M291" s="74"/>
    </row>
    <row r="330" spans="4:13" ht="12">
      <c r="D330" s="44"/>
      <c r="F330" s="69"/>
      <c r="G330" s="69"/>
      <c r="H330" s="69"/>
      <c r="I330" s="36"/>
      <c r="J330" s="74"/>
      <c r="L330" s="36"/>
      <c r="M330" s="74"/>
    </row>
  </sheetData>
  <sheetProtection/>
  <mergeCells count="9">
    <mergeCell ref="A5:M5"/>
    <mergeCell ref="A8:M8"/>
    <mergeCell ref="A9:M9"/>
    <mergeCell ref="A20:M20"/>
    <mergeCell ref="A91:M91"/>
    <mergeCell ref="A190:M190"/>
    <mergeCell ref="A37:M37"/>
    <mergeCell ref="A21:M21"/>
    <mergeCell ref="A40:M40"/>
  </mergeCells>
  <printOptions/>
  <pageMargins left="0.75" right="0.5" top="1" bottom="1" header="0.5" footer="0.24"/>
  <pageSetup fitToHeight="12" horizontalDpi="600" verticalDpi="600" orientation="landscape" scale="70" r:id="rId1"/>
  <rowBreaks count="1" manualBreakCount="1"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Jill Taylor</cp:lastModifiedBy>
  <cp:lastPrinted>2013-07-17T16:16:59Z</cp:lastPrinted>
  <dcterms:created xsi:type="dcterms:W3CDTF">2000-07-06T16:57:05Z</dcterms:created>
  <dcterms:modified xsi:type="dcterms:W3CDTF">2013-07-17T16:17:17Z</dcterms:modified>
  <cp:category/>
  <cp:version/>
  <cp:contentType/>
  <cp:contentStatus/>
</cp:coreProperties>
</file>