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65506" windowWidth="8805" windowHeight="11460" activeTab="0"/>
  </bookViews>
  <sheets>
    <sheet name="FY08 Consolidated" sheetId="1" r:id="rId1"/>
    <sheet name="FY08 Boulder" sheetId="2" r:id="rId2"/>
    <sheet name="FY08 Colorado Springs" sheetId="3" r:id="rId3"/>
    <sheet name="FY08 Denver" sheetId="4" r:id="rId4"/>
    <sheet name="FY08 AMC" sheetId="5" r:id="rId5"/>
  </sheets>
  <externalReferences>
    <externalReference r:id="rId8"/>
    <externalReference r:id="rId9"/>
  </externalReferences>
  <definedNames>
    <definedName name="_xlnm.Print_Area" localSheetId="4">'FY08 AMC'!$A$1:$F$59</definedName>
    <definedName name="_xlnm.Print_Area" localSheetId="1">'FY08 Boulder'!$A$1:$G$70</definedName>
    <definedName name="_xlnm.Print_Area" localSheetId="2">'FY08 Colorado Springs'!$A$1:$F$59</definedName>
    <definedName name="_xlnm.Print_Area" localSheetId="0">'FY08 Consolidated'!$A$1:$F$60</definedName>
  </definedNames>
  <calcPr fullCalcOnLoad="1"/>
</workbook>
</file>

<file path=xl/sharedStrings.xml><?xml version="1.0" encoding="utf-8"?>
<sst xmlns="http://schemas.openxmlformats.org/spreadsheetml/2006/main" count="306" uniqueCount="84">
  <si>
    <t>FY 2007-08 Proposed Current Funds Budget</t>
  </si>
  <si>
    <t xml:space="preserve">University of Colorado Consolidated </t>
  </si>
  <si>
    <t>Description</t>
  </si>
  <si>
    <t>State Appropriated Funding</t>
  </si>
  <si>
    <t>Auxiliary &amp; 
Self-Funded Activities</t>
  </si>
  <si>
    <t>Restricted Fund</t>
  </si>
  <si>
    <t>Total Current Funds</t>
  </si>
  <si>
    <t>FY 2007 Est. Actuals Total Current Funds</t>
  </si>
  <si>
    <t>Revenues</t>
  </si>
  <si>
    <t>Student Tuition and Fees</t>
  </si>
  <si>
    <t>Resident Tuition - COF</t>
  </si>
  <si>
    <t>Resident Tuition - Student Share</t>
  </si>
  <si>
    <t>Non-Resident Tuition</t>
  </si>
  <si>
    <t>Other tuition - Continuing Education</t>
  </si>
  <si>
    <t>Student fees</t>
  </si>
  <si>
    <t>Subtotal - Student Tuition and Fees</t>
  </si>
  <si>
    <t>Investment and Interest Income</t>
  </si>
  <si>
    <t>Grants and Contracts</t>
  </si>
  <si>
    <t>Federal Grants &amp; Contracts</t>
  </si>
  <si>
    <t>State and Local Grants &amp; Contracts</t>
  </si>
  <si>
    <t>Tobacco Funding</t>
  </si>
  <si>
    <t>Fee for Service Contract</t>
  </si>
  <si>
    <t>Subtotal - Grants &amp; Contracts</t>
  </si>
  <si>
    <t>Private/other gifts, grants and contracts</t>
  </si>
  <si>
    <t>Sales &amp; Services of educational departments</t>
  </si>
  <si>
    <t>Auxiliary Operating Revenues</t>
  </si>
  <si>
    <t>Health Services</t>
  </si>
  <si>
    <t>Other Revenues:</t>
  </si>
  <si>
    <t>Indirect Cost Reimbursement</t>
  </si>
  <si>
    <t>Denver AHEC Library Funding</t>
  </si>
  <si>
    <t>Other Sources</t>
  </si>
  <si>
    <t>TOTAL REVENUES</t>
  </si>
  <si>
    <t>Expenditures</t>
  </si>
  <si>
    <t>Educational &amp; General: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</si>
  <si>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</si>
  <si>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</si>
  <si>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</si>
  <si>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</si>
  <si>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</si>
  <si>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</si>
  <si>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Operations of Plant</t>
  </si>
  <si>
    <t>Scholarships &amp; Fellowships</t>
  </si>
  <si>
    <t>Auxiliary operating expenditures</t>
  </si>
  <si>
    <t>Other</t>
  </si>
  <si>
    <t>TOTAL EXPENDITURES</t>
  </si>
  <si>
    <t>Transfers Between Funds</t>
  </si>
  <si>
    <t>Mandatory Transfers</t>
  </si>
  <si>
    <t>Principal and interest</t>
  </si>
  <si>
    <t>Renewals &amp; replacements</t>
  </si>
  <si>
    <t>Matching funds/Other</t>
  </si>
  <si>
    <t>Subtotal -- Mandatory Transfers</t>
  </si>
  <si>
    <t>Voluntary Transfers &amp; Other</t>
  </si>
  <si>
    <t>Restricted receipts to be expended in future years</t>
  </si>
  <si>
    <t>Subtotal Voluntary Transfers</t>
  </si>
  <si>
    <t>TOTAL EXPENDITURES &amp; TRANSFERS</t>
  </si>
  <si>
    <t>Net Increase (Decrease) in Fund Balances</t>
  </si>
  <si>
    <t xml:space="preserve">*  Depreciation is not reflected in the current funds, rather in investment in plant.  Estimated FY 2008 depreciation is $90 million.  </t>
  </si>
  <si>
    <t>FY 2007-08 Current Funds Budget</t>
  </si>
  <si>
    <t>Other Tuition - Continuing Education</t>
  </si>
  <si>
    <t>Student Fees</t>
  </si>
  <si>
    <t>Private/Other Gifts, Grants and Contracts</t>
  </si>
  <si>
    <t>Sales &amp; Services of Educational Departments</t>
  </si>
  <si>
    <t>Renewals &amp; Replacements</t>
  </si>
  <si>
    <t>Matching Funds/Other</t>
  </si>
  <si>
    <t>Restricted Receipts to be Expended in Future Yrs</t>
  </si>
  <si>
    <t>Notes:</t>
  </si>
  <si>
    <t xml:space="preserve">    1) This schedule does not include revenue or expenses associated with the Direct Lending Program.   Direct Lending is reported outside of the current funds.</t>
  </si>
  <si>
    <t>For FY2007, the Direct Lending amount is estimated to be $113M and $117M in FY2008.  Pell and Work Study financial aid are in the Restricted Fund.</t>
  </si>
  <si>
    <t xml:space="preserve">This schedule removes Restricted Fund revenue equal to the indirect costs associated with research activities ($51M FY2007 and $52M in FY2008). </t>
  </si>
  <si>
    <t xml:space="preserve">2) Revenue associated with research activity indirect costs is reflected only in the General Fund and Auxiliary Fund. </t>
  </si>
  <si>
    <t xml:space="preserve">3) State financial aid of $7.0M for FY2007 and $7.3M in FY2008 is included within state and local grants and contracts. </t>
  </si>
  <si>
    <t>4) Internal service revenue/expense activity is excluded from this schedule.</t>
  </si>
  <si>
    <t xml:space="preserve">5) All Auxiliary tuition for Continuing Education is classified as other tuition on this schedule. </t>
  </si>
  <si>
    <t>6) Scholarship allowance, fixed assets and other GASB-related adjustments are not included in the above figures.</t>
  </si>
  <si>
    <t>7)  The scholarship continuing budget in the General Fund is estimated to be $23.6M in FY2007 and $30.4M in FY2008; however, actual scholarship activity occurs in multiple expenditure categories.</t>
  </si>
  <si>
    <t>Boulder Campus</t>
  </si>
  <si>
    <t>University of Colorado</t>
  </si>
  <si>
    <t xml:space="preserve">University of Colorado </t>
  </si>
  <si>
    <t xml:space="preserve">Scholarships &amp; Fellowships </t>
  </si>
  <si>
    <t>Denver Campus</t>
  </si>
  <si>
    <t>Anschutz Medical Campus</t>
  </si>
  <si>
    <t>FY 2007 Est. Actual Total Current Funds</t>
  </si>
  <si>
    <t xml:space="preserve">CU Consolidated </t>
  </si>
  <si>
    <t>Colorado Springs Campus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</si>
</sst>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_);[Red]\([$$-409]#,##0\)"/>
  </numFmts>
  <fonts count="46">
    <font>
      <sz val="11"/>
      <color theme="1"/>
      <name val="Calibri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8.5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double"/>
    </border>
    <border>
      <left/>
      <right style="thin"/>
      <top style="thin"/>
      <bottom style="thin"/>
    </border>
    <border>
      <left style="medium"/>
      <right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double"/>
      <bottom style="thin"/>
    </border>
    <border>
      <left style="thin"/>
      <right/>
      <top style="double"/>
      <bottom style="thin"/>
    </border>
    <border>
      <left/>
      <right/>
      <top/>
      <bottom style="thin"/>
    </border>
    <border>
      <left/>
      <right/>
      <top style="double"/>
      <bottom style="thin"/>
    </border>
    <border>
      <left style="thin"/>
      <right style="medium"/>
      <top style="double"/>
      <bottom style="thin"/>
    </border>
    <border>
      <left/>
      <right/>
      <top/>
      <bottom style="double"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/>
      <top/>
      <bottom style="double"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double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10" fillId="0" borderId="11" xfId="0" applyNumberFormat="1" applyFont="1" applyBorder="1" applyAlignment="1">
      <alignment wrapText="1"/>
    </xf>
    <xf numFmtId="164" fontId="10" fillId="0" borderId="0" xfId="0" applyNumberFormat="1" applyFont="1" applyBorder="1" applyAlignment="1">
      <alignment wrapText="1"/>
    </xf>
    <xf numFmtId="164" fontId="10" fillId="0" borderId="12" xfId="0" applyNumberFormat="1" applyFont="1" applyBorder="1" applyAlignment="1">
      <alignment wrapText="1"/>
    </xf>
    <xf numFmtId="164" fontId="10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 horizontal="left" indent="1"/>
    </xf>
    <xf numFmtId="164" fontId="10" fillId="0" borderId="13" xfId="0" applyNumberFormat="1" applyFont="1" applyBorder="1" applyAlignment="1">
      <alignment horizontal="left" indent="1"/>
    </xf>
    <xf numFmtId="164" fontId="9" fillId="0" borderId="14" xfId="0" applyNumberFormat="1" applyFont="1" applyBorder="1" applyAlignment="1">
      <alignment horizontal="right"/>
    </xf>
    <xf numFmtId="164" fontId="9" fillId="0" borderId="15" xfId="0" applyNumberFormat="1" applyFont="1" applyBorder="1" applyAlignment="1">
      <alignment wrapText="1"/>
    </xf>
    <xf numFmtId="164" fontId="9" fillId="0" borderId="16" xfId="0" applyNumberFormat="1" applyFont="1" applyBorder="1" applyAlignment="1">
      <alignment wrapText="1"/>
    </xf>
    <xf numFmtId="164" fontId="10" fillId="0" borderId="17" xfId="0" applyNumberFormat="1" applyFont="1" applyBorder="1" applyAlignment="1">
      <alignment horizontal="left" indent="1"/>
    </xf>
    <xf numFmtId="164" fontId="10" fillId="0" borderId="17" xfId="0" applyNumberFormat="1" applyFont="1" applyBorder="1" applyAlignment="1">
      <alignment/>
    </xf>
    <xf numFmtId="164" fontId="10" fillId="0" borderId="14" xfId="0" applyNumberFormat="1" applyFont="1" applyBorder="1" applyAlignment="1">
      <alignment horizontal="right"/>
    </xf>
    <xf numFmtId="164" fontId="10" fillId="0" borderId="15" xfId="0" applyNumberFormat="1" applyFont="1" applyBorder="1" applyAlignment="1">
      <alignment wrapText="1"/>
    </xf>
    <xf numFmtId="164" fontId="10" fillId="0" borderId="16" xfId="0" applyNumberFormat="1" applyFont="1" applyBorder="1" applyAlignment="1">
      <alignment wrapText="1"/>
    </xf>
    <xf numFmtId="164" fontId="10" fillId="0" borderId="18" xfId="0" applyNumberFormat="1" applyFont="1" applyBorder="1" applyAlignment="1">
      <alignment wrapText="1"/>
    </xf>
    <xf numFmtId="164" fontId="10" fillId="0" borderId="19" xfId="0" applyNumberFormat="1" applyFont="1" applyBorder="1" applyAlignment="1">
      <alignment horizontal="right"/>
    </xf>
    <xf numFmtId="164" fontId="10" fillId="0" borderId="20" xfId="0" applyNumberFormat="1" applyFont="1" applyBorder="1" applyAlignment="1">
      <alignment wrapText="1"/>
    </xf>
    <xf numFmtId="164" fontId="10" fillId="0" borderId="21" xfId="0" applyNumberFormat="1" applyFont="1" applyBorder="1" applyAlignment="1">
      <alignment wrapText="1"/>
    </xf>
    <xf numFmtId="164" fontId="10" fillId="0" borderId="22" xfId="0" applyNumberFormat="1" applyFont="1" applyBorder="1" applyAlignment="1">
      <alignment/>
    </xf>
    <xf numFmtId="164" fontId="10" fillId="0" borderId="23" xfId="0" applyNumberFormat="1" applyFont="1" applyBorder="1" applyAlignment="1">
      <alignment wrapText="1"/>
    </xf>
    <xf numFmtId="164" fontId="10" fillId="0" borderId="24" xfId="0" applyNumberFormat="1" applyFont="1" applyBorder="1" applyAlignment="1">
      <alignment wrapText="1"/>
    </xf>
    <xf numFmtId="164" fontId="10" fillId="0" borderId="25" xfId="0" applyNumberFormat="1" applyFont="1" applyBorder="1" applyAlignment="1">
      <alignment wrapText="1"/>
    </xf>
    <xf numFmtId="164" fontId="3" fillId="0" borderId="0" xfId="0" applyNumberFormat="1" applyFont="1" applyAlignment="1">
      <alignment wrapText="1"/>
    </xf>
    <xf numFmtId="164" fontId="2" fillId="0" borderId="24" xfId="0" applyNumberFormat="1" applyFont="1" applyBorder="1" applyAlignment="1">
      <alignment horizontal="center"/>
    </xf>
    <xf numFmtId="164" fontId="5" fillId="33" borderId="26" xfId="0" applyNumberFormat="1" applyFont="1" applyFill="1" applyBorder="1" applyAlignment="1">
      <alignment/>
    </xf>
    <xf numFmtId="164" fontId="5" fillId="33" borderId="27" xfId="0" applyNumberFormat="1" applyFont="1" applyFill="1" applyBorder="1" applyAlignment="1">
      <alignment wrapText="1"/>
    </xf>
    <xf numFmtId="164" fontId="5" fillId="33" borderId="28" xfId="0" applyNumberFormat="1" applyFont="1" applyFill="1" applyBorder="1" applyAlignment="1">
      <alignment wrapText="1"/>
    </xf>
    <xf numFmtId="164" fontId="5" fillId="33" borderId="29" xfId="0" applyNumberFormat="1" applyFont="1" applyFill="1" applyBorder="1" applyAlignment="1">
      <alignment wrapText="1"/>
    </xf>
    <xf numFmtId="164" fontId="5" fillId="33" borderId="30" xfId="0" applyNumberFormat="1" applyFont="1" applyFill="1" applyBorder="1" applyAlignment="1">
      <alignment wrapText="1"/>
    </xf>
    <xf numFmtId="164" fontId="10" fillId="0" borderId="31" xfId="0" applyNumberFormat="1" applyFont="1" applyBorder="1" applyAlignment="1">
      <alignment wrapText="1"/>
    </xf>
    <xf numFmtId="164" fontId="10" fillId="0" borderId="32" xfId="0" applyNumberFormat="1" applyFont="1" applyBorder="1" applyAlignment="1">
      <alignment wrapText="1"/>
    </xf>
    <xf numFmtId="164" fontId="10" fillId="0" borderId="33" xfId="0" applyNumberFormat="1" applyFont="1" applyBorder="1" applyAlignment="1">
      <alignment wrapText="1"/>
    </xf>
    <xf numFmtId="164" fontId="10" fillId="0" borderId="28" xfId="0" applyNumberFormat="1" applyFont="1" applyBorder="1" applyAlignment="1">
      <alignment wrapText="1"/>
    </xf>
    <xf numFmtId="164" fontId="9" fillId="0" borderId="34" xfId="0" applyNumberFormat="1" applyFont="1" applyBorder="1" applyAlignment="1">
      <alignment wrapText="1"/>
    </xf>
    <xf numFmtId="164" fontId="10" fillId="0" borderId="35" xfId="0" applyNumberFormat="1" applyFont="1" applyBorder="1" applyAlignment="1">
      <alignment wrapText="1"/>
    </xf>
    <xf numFmtId="164" fontId="10" fillId="0" borderId="34" xfId="0" applyNumberFormat="1" applyFont="1" applyBorder="1" applyAlignment="1">
      <alignment wrapText="1"/>
    </xf>
    <xf numFmtId="164" fontId="10" fillId="0" borderId="36" xfId="0" applyNumberFormat="1" applyFont="1" applyBorder="1" applyAlignment="1">
      <alignment wrapText="1"/>
    </xf>
    <xf numFmtId="164" fontId="10" fillId="0" borderId="37" xfId="0" applyNumberFormat="1" applyFont="1" applyBorder="1" applyAlignment="1">
      <alignment wrapText="1"/>
    </xf>
    <xf numFmtId="0" fontId="0" fillId="0" borderId="0" xfId="0" applyAlignment="1">
      <alignment horizontal="left"/>
    </xf>
    <xf numFmtId="164" fontId="10" fillId="0" borderId="38" xfId="0" applyNumberFormat="1" applyFont="1" applyBorder="1" applyAlignment="1">
      <alignment wrapText="1"/>
    </xf>
    <xf numFmtId="164" fontId="10" fillId="0" borderId="39" xfId="0" applyNumberFormat="1" applyFont="1" applyBorder="1" applyAlignment="1">
      <alignment wrapText="1"/>
    </xf>
    <xf numFmtId="164" fontId="9" fillId="0" borderId="19" xfId="0" applyNumberFormat="1" applyFont="1" applyBorder="1" applyAlignment="1">
      <alignment horizontal="right"/>
    </xf>
    <xf numFmtId="164" fontId="9" fillId="0" borderId="20" xfId="0" applyNumberFormat="1" applyFont="1" applyBorder="1" applyAlignment="1">
      <alignment wrapText="1"/>
    </xf>
    <xf numFmtId="164" fontId="9" fillId="0" borderId="21" xfId="0" applyNumberFormat="1" applyFont="1" applyBorder="1" applyAlignment="1">
      <alignment wrapText="1"/>
    </xf>
    <xf numFmtId="164" fontId="9" fillId="0" borderId="36" xfId="0" applyNumberFormat="1" applyFont="1" applyBorder="1" applyAlignment="1">
      <alignment wrapText="1"/>
    </xf>
    <xf numFmtId="164" fontId="10" fillId="0" borderId="40" xfId="0" applyNumberFormat="1" applyFont="1" applyBorder="1" applyAlignment="1">
      <alignment horizontal="left" indent="1"/>
    </xf>
    <xf numFmtId="164" fontId="10" fillId="0" borderId="41" xfId="0" applyNumberFormat="1" applyFont="1" applyBorder="1" applyAlignment="1">
      <alignment/>
    </xf>
    <xf numFmtId="164" fontId="10" fillId="0" borderId="42" xfId="0" applyNumberFormat="1" applyFont="1" applyBorder="1" applyAlignment="1">
      <alignment/>
    </xf>
    <xf numFmtId="164" fontId="10" fillId="0" borderId="42" xfId="0" applyNumberFormat="1" applyFont="1" applyBorder="1" applyAlignment="1">
      <alignment horizontal="left" indent="1"/>
    </xf>
    <xf numFmtId="164" fontId="10" fillId="0" borderId="43" xfId="0" applyNumberFormat="1" applyFont="1" applyBorder="1" applyAlignment="1">
      <alignment wrapText="1"/>
    </xf>
    <xf numFmtId="164" fontId="10" fillId="0" borderId="44" xfId="0" applyNumberFormat="1" applyFont="1" applyBorder="1" applyAlignment="1">
      <alignment wrapText="1"/>
    </xf>
    <xf numFmtId="164" fontId="10" fillId="0" borderId="45" xfId="0" applyNumberFormat="1" applyFont="1" applyBorder="1" applyAlignment="1">
      <alignment wrapText="1"/>
    </xf>
    <xf numFmtId="164" fontId="10" fillId="0" borderId="46" xfId="0" applyNumberFormat="1" applyFont="1" applyBorder="1" applyAlignment="1">
      <alignment wrapText="1"/>
    </xf>
    <xf numFmtId="164" fontId="10" fillId="0" borderId="19" xfId="0" applyNumberFormat="1" applyFont="1" applyBorder="1" applyAlignment="1">
      <alignment/>
    </xf>
    <xf numFmtId="164" fontId="9" fillId="0" borderId="47" xfId="0" applyNumberFormat="1" applyFont="1" applyBorder="1" applyAlignment="1">
      <alignment horizontal="right" indent="1"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45" fillId="34" borderId="48" xfId="0" applyNumberFormat="1" applyFont="1" applyFill="1" applyBorder="1" applyAlignment="1">
      <alignment horizontal="center"/>
    </xf>
    <xf numFmtId="164" fontId="45" fillId="34" borderId="49" xfId="0" applyNumberFormat="1" applyFont="1" applyFill="1" applyBorder="1" applyAlignment="1">
      <alignment horizontal="center" wrapText="1"/>
    </xf>
    <xf numFmtId="164" fontId="45" fillId="34" borderId="50" xfId="0" applyNumberFormat="1" applyFont="1" applyFill="1" applyBorder="1" applyAlignment="1">
      <alignment horizontal="center" wrapText="1"/>
    </xf>
    <xf numFmtId="164" fontId="45" fillId="34" borderId="51" xfId="0" applyNumberFormat="1" applyFont="1" applyFill="1" applyBorder="1" applyAlignment="1">
      <alignment horizontal="center" wrapText="1"/>
    </xf>
    <xf numFmtId="164" fontId="45" fillId="34" borderId="48" xfId="0" applyNumberFormat="1" applyFont="1" applyFill="1" applyBorder="1" applyAlignment="1">
      <alignment horizontal="center" vertical="center"/>
    </xf>
    <xf numFmtId="164" fontId="45" fillId="34" borderId="49" xfId="0" applyNumberFormat="1" applyFont="1" applyFill="1" applyBorder="1" applyAlignment="1">
      <alignment horizontal="center" vertical="center" wrapText="1"/>
    </xf>
    <xf numFmtId="164" fontId="45" fillId="34" borderId="50" xfId="0" applyNumberFormat="1" applyFont="1" applyFill="1" applyBorder="1" applyAlignment="1">
      <alignment horizontal="center" vertical="center" wrapText="1"/>
    </xf>
    <xf numFmtId="164" fontId="45" fillId="34" borderId="5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'connell\Local%20Settings\Temporary%20Internet%20Files\Content.Outlook\5DS6DTQ0\Documents%20and%20Settings\fox\Local%20Settings\Temporary%20Internet%20Files\OLK10\FINAL%2007~08%20Budget%20Forma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'connell\Local%20Settings\Temporary%20Internet%20Files\Content.Outlook\5DS6DTQ0\Documents%20and%20Settings\fox\Local%20Settings\Temporary%20Internet%20Files\OLK10\DDC%20FY2008%20For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rrative - Intro"/>
      <sheetName val="Table A -- Current Funds"/>
      <sheetName val="Table B -- State Appropriated"/>
      <sheetName val="Table C -- Auxiliary"/>
      <sheetName val="Table D -- Resear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rrative - Intro"/>
      <sheetName val="Table III"/>
      <sheetName val="Table A -- Current Funds"/>
      <sheetName val="Table B -- State Appropriated"/>
      <sheetName val="Table C -- Auxiliary"/>
      <sheetName val="Table D -- Resear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showGridLines="0" tabSelected="1" zoomScalePageLayoutView="0" workbookViewId="0" topLeftCell="A1">
      <selection activeCell="H1" sqref="H1"/>
    </sheetView>
  </sheetViews>
  <sheetFormatPr defaultColWidth="9.140625" defaultRowHeight="15"/>
  <cols>
    <col min="1" max="1" width="44.7109375" style="0" customWidth="1"/>
    <col min="2" max="7" width="15.7109375" style="0" customWidth="1"/>
  </cols>
  <sheetData>
    <row r="1" spans="1:6" ht="15.75">
      <c r="A1" s="62" t="s">
        <v>0</v>
      </c>
      <c r="B1" s="62"/>
      <c r="C1" s="62"/>
      <c r="D1" s="62"/>
      <c r="E1" s="62"/>
      <c r="F1" s="62"/>
    </row>
    <row r="2" spans="1:6" ht="15.75">
      <c r="A2" s="62" t="s">
        <v>1</v>
      </c>
      <c r="B2" s="62"/>
      <c r="C2" s="62"/>
      <c r="D2" s="62"/>
      <c r="E2" s="62"/>
      <c r="F2" s="62"/>
    </row>
    <row r="3" spans="1:6" ht="15.75">
      <c r="A3" s="63" t="s">
        <v>82</v>
      </c>
      <c r="B3" s="63"/>
      <c r="C3" s="63"/>
      <c r="D3" s="63"/>
      <c r="E3" s="63"/>
      <c r="F3" s="63"/>
    </row>
    <row r="4" ht="15.75" thickBot="1"/>
    <row r="5" spans="1:6" ht="39.75" customHeight="1" thickBot="1">
      <c r="A5" s="68" t="s">
        <v>2</v>
      </c>
      <c r="B5" s="69" t="s">
        <v>3</v>
      </c>
      <c r="C5" s="70" t="s">
        <v>4</v>
      </c>
      <c r="D5" s="70" t="s">
        <v>5</v>
      </c>
      <c r="E5" s="70" t="s">
        <v>6</v>
      </c>
      <c r="F5" s="71" t="s">
        <v>81</v>
      </c>
    </row>
    <row r="6" spans="1:6" ht="15">
      <c r="A6" s="2" t="s">
        <v>8</v>
      </c>
      <c r="B6" s="3"/>
      <c r="C6" s="4"/>
      <c r="D6" s="4"/>
      <c r="E6" s="4"/>
      <c r="F6" s="33"/>
    </row>
    <row r="7" spans="1:6" ht="15">
      <c r="A7" s="6" t="s">
        <v>9</v>
      </c>
      <c r="B7" s="3"/>
      <c r="C7" s="4"/>
      <c r="D7" s="4"/>
      <c r="E7" s="4"/>
      <c r="F7" s="33"/>
    </row>
    <row r="8" spans="1:6" ht="15">
      <c r="A8" s="7" t="s">
        <v>10</v>
      </c>
      <c r="B8" s="3">
        <v>73738386</v>
      </c>
      <c r="C8" s="4">
        <v>0</v>
      </c>
      <c r="D8" s="4">
        <v>0</v>
      </c>
      <c r="E8" s="4">
        <v>73738386</v>
      </c>
      <c r="F8" s="33">
        <v>70636013</v>
      </c>
    </row>
    <row r="9" spans="1:6" ht="15">
      <c r="A9" s="7" t="s">
        <v>11</v>
      </c>
      <c r="B9" s="3">
        <v>249047993</v>
      </c>
      <c r="C9" s="4">
        <v>0</v>
      </c>
      <c r="D9" s="4">
        <v>0</v>
      </c>
      <c r="E9" s="4">
        <v>249047993</v>
      </c>
      <c r="F9" s="33">
        <v>226554240</v>
      </c>
    </row>
    <row r="10" spans="1:6" ht="15">
      <c r="A10" s="7" t="s">
        <v>12</v>
      </c>
      <c r="B10" s="3">
        <v>225307040</v>
      </c>
      <c r="C10" s="4">
        <v>0</v>
      </c>
      <c r="D10" s="4">
        <v>0</v>
      </c>
      <c r="E10" s="4">
        <v>225307040</v>
      </c>
      <c r="F10" s="33">
        <v>220144491</v>
      </c>
    </row>
    <row r="11" spans="1:6" ht="15">
      <c r="A11" s="7" t="s">
        <v>13</v>
      </c>
      <c r="B11" s="3">
        <v>0</v>
      </c>
      <c r="C11" s="4">
        <v>37577073</v>
      </c>
      <c r="D11" s="4">
        <v>0</v>
      </c>
      <c r="E11" s="4">
        <v>37577073</v>
      </c>
      <c r="F11" s="33">
        <v>36650389</v>
      </c>
    </row>
    <row r="12" spans="1:6" ht="15">
      <c r="A12" s="8" t="s">
        <v>14</v>
      </c>
      <c r="B12" s="34">
        <v>21875596.04</v>
      </c>
      <c r="C12" s="35">
        <v>40220451</v>
      </c>
      <c r="D12" s="35">
        <v>0</v>
      </c>
      <c r="E12" s="35">
        <v>62096047.04</v>
      </c>
      <c r="F12" s="33">
        <v>56371675</v>
      </c>
    </row>
    <row r="13" spans="1:6" ht="15">
      <c r="A13" s="9" t="s">
        <v>15</v>
      </c>
      <c r="B13" s="10">
        <v>569969015.04</v>
      </c>
      <c r="C13" s="11">
        <v>77797524</v>
      </c>
      <c r="D13" s="11">
        <v>0</v>
      </c>
      <c r="E13" s="11">
        <v>647766539.04</v>
      </c>
      <c r="F13" s="36">
        <v>610356808</v>
      </c>
    </row>
    <row r="14" spans="1:6" ht="15">
      <c r="A14" s="6" t="s">
        <v>16</v>
      </c>
      <c r="B14" s="3">
        <v>13821656</v>
      </c>
      <c r="C14" s="4">
        <v>17883394</v>
      </c>
      <c r="D14" s="4">
        <v>3311562</v>
      </c>
      <c r="E14" s="4">
        <v>35016612</v>
      </c>
      <c r="F14" s="33">
        <v>66347559</v>
      </c>
    </row>
    <row r="15" spans="1:6" ht="15">
      <c r="A15" s="6" t="s">
        <v>17</v>
      </c>
      <c r="B15" s="3">
        <v>0</v>
      </c>
      <c r="C15" s="4">
        <v>0</v>
      </c>
      <c r="D15" s="4">
        <v>0</v>
      </c>
      <c r="E15" s="4">
        <v>0</v>
      </c>
      <c r="F15" s="33">
        <v>0</v>
      </c>
    </row>
    <row r="16" spans="1:6" ht="15">
      <c r="A16" s="7" t="s">
        <v>18</v>
      </c>
      <c r="B16" s="3">
        <v>0</v>
      </c>
      <c r="C16" s="4">
        <v>0</v>
      </c>
      <c r="D16" s="4">
        <v>414319716.27</v>
      </c>
      <c r="E16" s="4">
        <v>414319716.27</v>
      </c>
      <c r="F16" s="33">
        <v>408328268</v>
      </c>
    </row>
    <row r="17" spans="1:6" ht="15">
      <c r="A17" s="7" t="s">
        <v>19</v>
      </c>
      <c r="B17" s="3">
        <v>0</v>
      </c>
      <c r="C17" s="4">
        <v>0</v>
      </c>
      <c r="D17" s="4">
        <v>45749670.33</v>
      </c>
      <c r="E17" s="4">
        <v>45749670.33</v>
      </c>
      <c r="F17" s="33">
        <v>38574604</v>
      </c>
    </row>
    <row r="18" spans="1:6" ht="15">
      <c r="A18" s="7" t="s">
        <v>20</v>
      </c>
      <c r="B18" s="3">
        <v>8393149</v>
      </c>
      <c r="C18" s="4">
        <v>0</v>
      </c>
      <c r="D18" s="4">
        <v>0</v>
      </c>
      <c r="E18" s="4">
        <v>8393149</v>
      </c>
      <c r="F18" s="33">
        <v>0</v>
      </c>
    </row>
    <row r="19" spans="1:6" ht="15">
      <c r="A19" s="7" t="s">
        <v>21</v>
      </c>
      <c r="B19" s="3">
        <v>121247955</v>
      </c>
      <c r="C19" s="4">
        <v>0</v>
      </c>
      <c r="D19" s="4">
        <v>0</v>
      </c>
      <c r="E19" s="4">
        <v>121247955</v>
      </c>
      <c r="F19" s="33">
        <v>109156568</v>
      </c>
    </row>
    <row r="20" spans="1:6" ht="15">
      <c r="A20" s="9" t="s">
        <v>22</v>
      </c>
      <c r="B20" s="10">
        <v>143462760</v>
      </c>
      <c r="C20" s="11">
        <v>17883394</v>
      </c>
      <c r="D20" s="11">
        <v>463380948.59999996</v>
      </c>
      <c r="E20" s="11">
        <v>624727102.5999999</v>
      </c>
      <c r="F20" s="36">
        <v>622406999</v>
      </c>
    </row>
    <row r="21" spans="1:6" ht="15">
      <c r="A21" s="6" t="s">
        <v>23</v>
      </c>
      <c r="B21" s="3">
        <v>0</v>
      </c>
      <c r="C21" s="4">
        <v>0</v>
      </c>
      <c r="D21" s="4">
        <v>133431227.7</v>
      </c>
      <c r="E21" s="4">
        <v>133431227.7</v>
      </c>
      <c r="F21" s="33">
        <v>126865749</v>
      </c>
    </row>
    <row r="22" spans="1:6" ht="15">
      <c r="A22" s="6" t="s">
        <v>24</v>
      </c>
      <c r="B22" s="3">
        <v>0</v>
      </c>
      <c r="C22" s="4">
        <v>120454994</v>
      </c>
      <c r="D22" s="4">
        <v>0</v>
      </c>
      <c r="E22" s="4">
        <v>120454994</v>
      </c>
      <c r="F22" s="33">
        <v>112667529</v>
      </c>
    </row>
    <row r="23" spans="1:6" ht="15">
      <c r="A23" s="7" t="s">
        <v>25</v>
      </c>
      <c r="B23" s="3">
        <v>0</v>
      </c>
      <c r="C23" s="4">
        <v>162690773</v>
      </c>
      <c r="D23" s="4">
        <v>0</v>
      </c>
      <c r="E23" s="4">
        <v>162690773</v>
      </c>
      <c r="F23" s="33">
        <v>145738112</v>
      </c>
    </row>
    <row r="24" spans="1:6" ht="15">
      <c r="A24" s="7" t="s">
        <v>26</v>
      </c>
      <c r="B24" s="3">
        <v>1107705</v>
      </c>
      <c r="C24" s="4">
        <v>261497594</v>
      </c>
      <c r="D24" s="4">
        <v>0</v>
      </c>
      <c r="E24" s="4">
        <v>262605299</v>
      </c>
      <c r="F24" s="33">
        <v>253894589</v>
      </c>
    </row>
    <row r="25" spans="1:6" ht="15">
      <c r="A25" s="7" t="s">
        <v>27</v>
      </c>
      <c r="B25" s="3">
        <v>0</v>
      </c>
      <c r="C25" s="4">
        <v>0</v>
      </c>
      <c r="D25" s="4">
        <v>0</v>
      </c>
      <c r="E25" s="4">
        <v>0</v>
      </c>
      <c r="F25" s="33">
        <v>0</v>
      </c>
    </row>
    <row r="26" spans="1:6" ht="15">
      <c r="A26" s="7" t="s">
        <v>28</v>
      </c>
      <c r="B26" s="3">
        <v>92328431.4</v>
      </c>
      <c r="C26" s="4">
        <v>31977195</v>
      </c>
      <c r="D26" s="4">
        <v>0</v>
      </c>
      <c r="E26" s="4">
        <v>124305626.4</v>
      </c>
      <c r="F26" s="33">
        <v>120469543</v>
      </c>
    </row>
    <row r="27" spans="1:6" ht="15">
      <c r="A27" s="8" t="s">
        <v>29</v>
      </c>
      <c r="B27" s="34">
        <v>4120247</v>
      </c>
      <c r="C27" s="35">
        <v>0</v>
      </c>
      <c r="D27" s="35">
        <v>0</v>
      </c>
      <c r="E27" s="35">
        <v>4120247</v>
      </c>
      <c r="F27" s="42">
        <v>3924045</v>
      </c>
    </row>
    <row r="28" spans="1:6" ht="15.75" thickBot="1">
      <c r="A28" s="56" t="s">
        <v>30</v>
      </c>
      <c r="B28" s="19">
        <v>48815595.16</v>
      </c>
      <c r="C28" s="20">
        <v>54983880</v>
      </c>
      <c r="D28" s="20">
        <v>3339166</v>
      </c>
      <c r="E28" s="20">
        <v>107138641.16</v>
      </c>
      <c r="F28" s="39">
        <v>109037927</v>
      </c>
    </row>
    <row r="29" spans="1:6" ht="15.75" thickTop="1">
      <c r="A29" s="27" t="s">
        <v>31</v>
      </c>
      <c r="B29" s="28">
        <v>859803753.5999999</v>
      </c>
      <c r="C29" s="29">
        <v>727285354</v>
      </c>
      <c r="D29" s="30">
        <v>600151342.3</v>
      </c>
      <c r="E29" s="30">
        <v>2187240449.8999996</v>
      </c>
      <c r="F29" s="31">
        <v>2105361301</v>
      </c>
    </row>
    <row r="30" spans="1:6" ht="15">
      <c r="A30" s="6"/>
      <c r="B30" s="3"/>
      <c r="C30" s="4"/>
      <c r="D30" s="4"/>
      <c r="E30" s="4"/>
      <c r="F30" s="33"/>
    </row>
    <row r="31" spans="1:6" ht="15">
      <c r="A31" s="2" t="s">
        <v>32</v>
      </c>
      <c r="B31" s="3"/>
      <c r="C31" s="4"/>
      <c r="D31" s="4"/>
      <c r="E31" s="4"/>
      <c r="F31" s="33"/>
    </row>
    <row r="32" spans="1:6" ht="15">
      <c r="A32" s="6" t="s">
        <v>33</v>
      </c>
      <c r="B32" s="3"/>
      <c r="C32" s="4"/>
      <c r="D32" s="4"/>
      <c r="E32" s="4"/>
      <c r="F32" s="33"/>
    </row>
    <row r="33" spans="1:6" ht="15">
      <c r="A33" s="7" t="s">
        <v>34</v>
      </c>
      <c r="B33" s="3">
        <v>426966955</v>
      </c>
      <c r="C33" s="4">
        <v>105175976</v>
      </c>
      <c r="D33" s="4">
        <v>86451305.33</v>
      </c>
      <c r="E33" s="4">
        <v>618594236.3299999</v>
      </c>
      <c r="F33" s="33">
        <v>577265155</v>
      </c>
    </row>
    <row r="34" spans="1:6" ht="15">
      <c r="A34" s="7" t="s">
        <v>35</v>
      </c>
      <c r="B34" s="3">
        <v>3200532</v>
      </c>
      <c r="C34" s="4">
        <v>554750</v>
      </c>
      <c r="D34" s="4">
        <v>391666385</v>
      </c>
      <c r="E34" s="4">
        <v>395421667</v>
      </c>
      <c r="F34" s="33">
        <v>388202711</v>
      </c>
    </row>
    <row r="35" spans="1:6" ht="15">
      <c r="A35" s="7" t="s">
        <v>36</v>
      </c>
      <c r="B35" s="3">
        <v>1311210</v>
      </c>
      <c r="C35" s="4">
        <v>40806579</v>
      </c>
      <c r="D35" s="4">
        <v>38339011.51</v>
      </c>
      <c r="E35" s="4">
        <v>80456800.51</v>
      </c>
      <c r="F35" s="33">
        <v>78585477</v>
      </c>
    </row>
    <row r="36" spans="1:6" ht="15">
      <c r="A36" s="7" t="s">
        <v>37</v>
      </c>
      <c r="B36" s="3">
        <v>113097810</v>
      </c>
      <c r="C36" s="4">
        <v>4573929</v>
      </c>
      <c r="D36" s="4">
        <v>4405103.98</v>
      </c>
      <c r="E36" s="4">
        <v>122076842.98</v>
      </c>
      <c r="F36" s="33">
        <v>113761370</v>
      </c>
    </row>
    <row r="37" spans="1:6" ht="15">
      <c r="A37" s="7" t="s">
        <v>38</v>
      </c>
      <c r="B37" s="3">
        <v>42931177</v>
      </c>
      <c r="C37" s="4">
        <v>37741609</v>
      </c>
      <c r="D37" s="4">
        <v>4198427.58</v>
      </c>
      <c r="E37" s="4">
        <v>84871213.58</v>
      </c>
      <c r="F37" s="33">
        <v>81964264</v>
      </c>
    </row>
    <row r="38" spans="1:6" ht="15">
      <c r="A38" s="7" t="s">
        <v>39</v>
      </c>
      <c r="B38" s="3">
        <v>97169235.50999999</v>
      </c>
      <c r="C38" s="4">
        <v>55407610</v>
      </c>
      <c r="D38" s="4">
        <v>2848246.16</v>
      </c>
      <c r="E38" s="4">
        <v>155425091.67000002</v>
      </c>
      <c r="F38" s="33">
        <v>149035382</v>
      </c>
    </row>
    <row r="39" spans="1:6" ht="15">
      <c r="A39" s="7" t="s">
        <v>40</v>
      </c>
      <c r="B39" s="3">
        <v>98209690</v>
      </c>
      <c r="C39" s="4">
        <v>12717870</v>
      </c>
      <c r="D39" s="4">
        <v>1785357.1</v>
      </c>
      <c r="E39" s="4">
        <v>112712917.1</v>
      </c>
      <c r="F39" s="33">
        <v>108280599</v>
      </c>
    </row>
    <row r="40" spans="1:6" ht="15">
      <c r="A40" s="7" t="s">
        <v>41</v>
      </c>
      <c r="B40" s="3">
        <v>27760874</v>
      </c>
      <c r="C40" s="4">
        <v>6327712</v>
      </c>
      <c r="D40" s="4">
        <v>61962403</v>
      </c>
      <c r="E40" s="4">
        <v>96050989</v>
      </c>
      <c r="F40" s="33">
        <v>87235292</v>
      </c>
    </row>
    <row r="41" spans="1:6" ht="15">
      <c r="A41" s="6" t="s">
        <v>42</v>
      </c>
      <c r="B41" s="3">
        <v>0</v>
      </c>
      <c r="C41" s="4">
        <v>151640384</v>
      </c>
      <c r="D41" s="4">
        <v>126659.15</v>
      </c>
      <c r="E41" s="4">
        <v>151767043.15</v>
      </c>
      <c r="F41" s="33">
        <v>140348468</v>
      </c>
    </row>
    <row r="42" spans="1:6" ht="15">
      <c r="A42" s="6" t="s">
        <v>26</v>
      </c>
      <c r="B42" s="3">
        <v>4557</v>
      </c>
      <c r="C42" s="4">
        <v>250585609</v>
      </c>
      <c r="D42" s="4">
        <v>6228</v>
      </c>
      <c r="E42" s="4">
        <v>250596394</v>
      </c>
      <c r="F42" s="33">
        <v>236925127</v>
      </c>
    </row>
    <row r="43" spans="1:6" ht="15.75" thickBot="1">
      <c r="A43" s="13" t="s">
        <v>43</v>
      </c>
      <c r="B43" s="37">
        <v>58459</v>
      </c>
      <c r="C43" s="32">
        <v>507602</v>
      </c>
      <c r="D43" s="32">
        <v>153718.48</v>
      </c>
      <c r="E43" s="32">
        <v>719779.48</v>
      </c>
      <c r="F43" s="43">
        <v>0</v>
      </c>
    </row>
    <row r="44" spans="1:6" ht="15.75" thickTop="1">
      <c r="A44" s="27" t="s">
        <v>44</v>
      </c>
      <c r="B44" s="28">
        <v>810710499.51</v>
      </c>
      <c r="C44" s="29">
        <v>666039630</v>
      </c>
      <c r="D44" s="30">
        <v>591942845.2900001</v>
      </c>
      <c r="E44" s="30">
        <v>2068692974.8000002</v>
      </c>
      <c r="F44" s="31">
        <v>1961603845</v>
      </c>
    </row>
    <row r="45" spans="1:6" ht="15">
      <c r="A45" s="2"/>
      <c r="B45" s="3"/>
      <c r="C45" s="4"/>
      <c r="D45" s="4"/>
      <c r="E45" s="4"/>
      <c r="F45" s="33"/>
    </row>
    <row r="46" spans="1:6" ht="15">
      <c r="A46" s="2" t="s">
        <v>45</v>
      </c>
      <c r="B46" s="3"/>
      <c r="C46" s="4"/>
      <c r="D46" s="4"/>
      <c r="E46" s="4"/>
      <c r="F46" s="33"/>
    </row>
    <row r="47" spans="1:6" ht="15">
      <c r="A47" s="7" t="s">
        <v>46</v>
      </c>
      <c r="B47" s="3"/>
      <c r="C47" s="4"/>
      <c r="D47" s="4"/>
      <c r="E47" s="4"/>
      <c r="F47" s="33"/>
    </row>
    <row r="48" spans="1:6" ht="15">
      <c r="A48" s="7" t="s">
        <v>47</v>
      </c>
      <c r="B48" s="3">
        <v>3248570</v>
      </c>
      <c r="C48" s="4">
        <v>49874232</v>
      </c>
      <c r="D48" s="4">
        <v>121372</v>
      </c>
      <c r="E48" s="4">
        <v>53244174</v>
      </c>
      <c r="F48" s="33">
        <v>45271907</v>
      </c>
    </row>
    <row r="49" spans="1:6" ht="15">
      <c r="A49" s="7" t="s">
        <v>48</v>
      </c>
      <c r="B49" s="3">
        <v>0</v>
      </c>
      <c r="C49" s="4">
        <v>3068055</v>
      </c>
      <c r="D49" s="4">
        <v>0</v>
      </c>
      <c r="E49" s="4">
        <v>3068055</v>
      </c>
      <c r="F49" s="33">
        <v>3010787</v>
      </c>
    </row>
    <row r="50" spans="1:6" ht="15">
      <c r="A50" s="7" t="s">
        <v>49</v>
      </c>
      <c r="B50" s="3">
        <v>14747210</v>
      </c>
      <c r="C50" s="4">
        <v>0</v>
      </c>
      <c r="D50" s="4">
        <v>0</v>
      </c>
      <c r="E50" s="4">
        <v>14747210</v>
      </c>
      <c r="F50" s="33">
        <v>13682531</v>
      </c>
    </row>
    <row r="51" spans="1:6" ht="15">
      <c r="A51" s="57" t="s">
        <v>50</v>
      </c>
      <c r="B51" s="15">
        <v>17995780</v>
      </c>
      <c r="C51" s="16">
        <v>52942287</v>
      </c>
      <c r="D51" s="16">
        <v>121372</v>
      </c>
      <c r="E51" s="17">
        <v>71059439</v>
      </c>
      <c r="F51" s="17">
        <v>61965225</v>
      </c>
    </row>
    <row r="52" spans="1:6" ht="15">
      <c r="A52" s="7"/>
      <c r="B52" s="3"/>
      <c r="C52" s="4"/>
      <c r="D52" s="4"/>
      <c r="E52" s="4"/>
      <c r="F52" s="33"/>
    </row>
    <row r="53" spans="1:6" ht="15">
      <c r="A53" s="7" t="s">
        <v>51</v>
      </c>
      <c r="B53" s="3"/>
      <c r="C53" s="4"/>
      <c r="D53" s="4"/>
      <c r="E53" s="4"/>
      <c r="F53" s="33"/>
    </row>
    <row r="54" spans="1:6" ht="15">
      <c r="A54" s="7" t="s">
        <v>52</v>
      </c>
      <c r="B54" s="3">
        <v>0</v>
      </c>
      <c r="C54" s="4">
        <v>-11911</v>
      </c>
      <c r="D54" s="4">
        <v>0</v>
      </c>
      <c r="E54" s="4">
        <v>-11911</v>
      </c>
      <c r="F54" s="33">
        <v>0</v>
      </c>
    </row>
    <row r="55" spans="1:6" ht="15">
      <c r="A55" s="6" t="s">
        <v>43</v>
      </c>
      <c r="B55" s="3">
        <v>31097474</v>
      </c>
      <c r="C55" s="4">
        <v>8315348</v>
      </c>
      <c r="D55" s="4">
        <v>8087125</v>
      </c>
      <c r="E55" s="4">
        <v>47499947</v>
      </c>
      <c r="F55" s="33">
        <v>81792231</v>
      </c>
    </row>
    <row r="56" spans="1:6" ht="15.75" thickBot="1">
      <c r="A56" s="9" t="s">
        <v>53</v>
      </c>
      <c r="B56" s="10">
        <v>31097474</v>
      </c>
      <c r="C56" s="46">
        <v>8303437</v>
      </c>
      <c r="D56" s="11">
        <v>8087125</v>
      </c>
      <c r="E56" s="11">
        <v>47488036</v>
      </c>
      <c r="F56" s="36">
        <v>81792231</v>
      </c>
    </row>
    <row r="57" spans="1:6" ht="15.75" thickTop="1">
      <c r="A57" s="27" t="s">
        <v>54</v>
      </c>
      <c r="B57" s="28">
        <v>859803753.51</v>
      </c>
      <c r="C57" s="29">
        <v>727285354</v>
      </c>
      <c r="D57" s="30">
        <v>600151342.2900001</v>
      </c>
      <c r="E57" s="30">
        <v>2187240449.8</v>
      </c>
      <c r="F57" s="31">
        <v>2105361301</v>
      </c>
    </row>
    <row r="58" spans="1:6" ht="15">
      <c r="A58" s="6"/>
      <c r="B58" s="3"/>
      <c r="C58" s="4"/>
      <c r="D58" s="4"/>
      <c r="E58" s="4"/>
      <c r="F58" s="33"/>
    </row>
    <row r="59" spans="1:6" ht="15.75" thickBot="1">
      <c r="A59" s="21" t="s">
        <v>55</v>
      </c>
      <c r="B59" s="22">
        <v>0.08999991416931152</v>
      </c>
      <c r="C59" s="23">
        <v>0</v>
      </c>
      <c r="D59" s="23">
        <v>0.009999871253967285</v>
      </c>
      <c r="E59" s="24">
        <v>0.09999942779541016</v>
      </c>
      <c r="F59" s="40">
        <v>0</v>
      </c>
    </row>
    <row r="60" spans="1:7" ht="19.5" customHeight="1">
      <c r="A60" s="58" t="s">
        <v>56</v>
      </c>
      <c r="B60" s="58"/>
      <c r="C60" s="58"/>
      <c r="D60" s="58"/>
      <c r="E60" s="58"/>
      <c r="F60" s="58"/>
      <c r="G60" s="58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GridLines="0" zoomScalePageLayoutView="0" workbookViewId="0" topLeftCell="A1">
      <selection activeCell="H5" sqref="H5"/>
    </sheetView>
  </sheetViews>
  <sheetFormatPr defaultColWidth="9.140625" defaultRowHeight="15"/>
  <cols>
    <col min="1" max="1" width="44.7109375" style="0" customWidth="1"/>
    <col min="2" max="6" width="15.7109375" style="0" customWidth="1"/>
  </cols>
  <sheetData>
    <row r="1" spans="1:6" ht="15.75">
      <c r="A1" s="62" t="s">
        <v>57</v>
      </c>
      <c r="B1" s="62"/>
      <c r="C1" s="62"/>
      <c r="D1" s="62"/>
      <c r="E1" s="62"/>
      <c r="F1" s="62"/>
    </row>
    <row r="2" spans="1:6" ht="15.75">
      <c r="A2" s="62" t="s">
        <v>76</v>
      </c>
      <c r="B2" s="62"/>
      <c r="C2" s="62"/>
      <c r="D2" s="62"/>
      <c r="E2" s="62"/>
      <c r="F2" s="62"/>
    </row>
    <row r="3" spans="1:6" ht="15.75">
      <c r="A3" s="64" t="s">
        <v>75</v>
      </c>
      <c r="B3" s="64"/>
      <c r="C3" s="64"/>
      <c r="D3" s="64"/>
      <c r="E3" s="64"/>
      <c r="F3" s="64"/>
    </row>
    <row r="4" spans="1:6" ht="16.5" thickBot="1">
      <c r="A4" s="26"/>
      <c r="B4" s="26"/>
      <c r="C4" s="26"/>
      <c r="D4" s="26"/>
      <c r="E4" s="26"/>
      <c r="F4" s="26"/>
    </row>
    <row r="5" spans="1:6" ht="39.75" customHeight="1" thickBot="1">
      <c r="A5" s="68" t="s">
        <v>2</v>
      </c>
      <c r="B5" s="69" t="s">
        <v>3</v>
      </c>
      <c r="C5" s="70" t="s">
        <v>4</v>
      </c>
      <c r="D5" s="70" t="s">
        <v>5</v>
      </c>
      <c r="E5" s="70" t="s">
        <v>6</v>
      </c>
      <c r="F5" s="71" t="s">
        <v>7</v>
      </c>
    </row>
    <row r="6" spans="1:6" ht="15">
      <c r="A6" s="2" t="s">
        <v>8</v>
      </c>
      <c r="B6" s="3"/>
      <c r="C6" s="4"/>
      <c r="D6" s="4"/>
      <c r="E6" s="4"/>
      <c r="F6" s="33"/>
    </row>
    <row r="7" spans="1:6" ht="15">
      <c r="A7" s="6" t="s">
        <v>9</v>
      </c>
      <c r="B7" s="3"/>
      <c r="C7" s="4"/>
      <c r="D7" s="4"/>
      <c r="E7" s="4"/>
      <c r="F7" s="33"/>
    </row>
    <row r="8" spans="1:6" ht="15">
      <c r="A8" s="7" t="s">
        <v>10</v>
      </c>
      <c r="B8" s="3">
        <v>43448243</v>
      </c>
      <c r="C8" s="4">
        <v>0</v>
      </c>
      <c r="D8" s="4">
        <v>0</v>
      </c>
      <c r="E8" s="4">
        <f aca="true" t="shared" si="0" ref="E8:E57">+B8+C8+D8</f>
        <v>43448243</v>
      </c>
      <c r="F8" s="33">
        <v>41404544</v>
      </c>
    </row>
    <row r="9" spans="1:6" ht="15">
      <c r="A9" s="7" t="s">
        <v>11</v>
      </c>
      <c r="B9" s="3">
        <f>101474826+22577906+801443+315518</f>
        <v>125169693</v>
      </c>
      <c r="C9" s="4">
        <v>0</v>
      </c>
      <c r="D9" s="4">
        <v>0</v>
      </c>
      <c r="E9" s="4">
        <f t="shared" si="0"/>
        <v>125169693</v>
      </c>
      <c r="F9" s="33">
        <v>108196024</v>
      </c>
    </row>
    <row r="10" spans="1:6" ht="15">
      <c r="A10" s="7" t="s">
        <v>12</v>
      </c>
      <c r="B10" s="3">
        <f>178877219+18910354</f>
        <v>197787573</v>
      </c>
      <c r="C10" s="4">
        <v>0</v>
      </c>
      <c r="D10" s="4">
        <v>0</v>
      </c>
      <c r="E10" s="4">
        <f t="shared" si="0"/>
        <v>197787573</v>
      </c>
      <c r="F10" s="33">
        <v>193477878</v>
      </c>
    </row>
    <row r="11" spans="1:6" ht="15">
      <c r="A11" s="7" t="s">
        <v>58</v>
      </c>
      <c r="B11" s="3">
        <v>0</v>
      </c>
      <c r="C11" s="4">
        <v>15051200</v>
      </c>
      <c r="D11" s="4">
        <v>0</v>
      </c>
      <c r="E11" s="4">
        <f t="shared" si="0"/>
        <v>15051200</v>
      </c>
      <c r="F11" s="33">
        <v>14820125</v>
      </c>
    </row>
    <row r="12" spans="1:6" ht="15">
      <c r="A12" s="8" t="s">
        <v>59</v>
      </c>
      <c r="B12" s="34">
        <v>11177819</v>
      </c>
      <c r="C12" s="35">
        <f>26815384+3346740</f>
        <v>30162124</v>
      </c>
      <c r="D12" s="35">
        <v>0</v>
      </c>
      <c r="E12" s="35">
        <f t="shared" si="0"/>
        <v>41339943</v>
      </c>
      <c r="F12" s="33">
        <v>38103223</v>
      </c>
    </row>
    <row r="13" spans="1:6" ht="15">
      <c r="A13" s="9" t="s">
        <v>15</v>
      </c>
      <c r="B13" s="10">
        <f>SUM(B8:B12)</f>
        <v>377583328</v>
      </c>
      <c r="C13" s="11">
        <f>SUM(C8:C12)</f>
        <v>45213324</v>
      </c>
      <c r="D13" s="11">
        <f>SUM(D8:D12)</f>
        <v>0</v>
      </c>
      <c r="E13" s="11">
        <f t="shared" si="0"/>
        <v>422796652</v>
      </c>
      <c r="F13" s="36">
        <f>SUM(F8:F12)</f>
        <v>396001794</v>
      </c>
    </row>
    <row r="14" spans="1:6" ht="15">
      <c r="A14" s="6" t="s">
        <v>16</v>
      </c>
      <c r="B14" s="3">
        <v>0</v>
      </c>
      <c r="C14" s="4">
        <v>76000</v>
      </c>
      <c r="D14" s="4">
        <v>831137</v>
      </c>
      <c r="E14" s="4">
        <f t="shared" si="0"/>
        <v>907137</v>
      </c>
      <c r="F14" s="33">
        <v>1338453</v>
      </c>
    </row>
    <row r="15" spans="1:6" ht="15">
      <c r="A15" s="6" t="s">
        <v>17</v>
      </c>
      <c r="B15" s="3"/>
      <c r="C15" s="4"/>
      <c r="D15" s="4"/>
      <c r="E15" s="4"/>
      <c r="F15" s="33"/>
    </row>
    <row r="16" spans="1:6" ht="15">
      <c r="A16" s="7" t="s">
        <v>18</v>
      </c>
      <c r="B16" s="3">
        <v>0</v>
      </c>
      <c r="C16" s="4">
        <v>0</v>
      </c>
      <c r="D16" s="4">
        <f>259139561-52488079+3132387</f>
        <v>209783869</v>
      </c>
      <c r="E16" s="4">
        <f t="shared" si="0"/>
        <v>209783869</v>
      </c>
      <c r="F16" s="33">
        <v>200151978</v>
      </c>
    </row>
    <row r="17" spans="1:6" ht="15">
      <c r="A17" s="7" t="s">
        <v>19</v>
      </c>
      <c r="B17" s="3">
        <v>0</v>
      </c>
      <c r="C17" s="4">
        <v>0</v>
      </c>
      <c r="D17" s="4">
        <v>9174699</v>
      </c>
      <c r="E17" s="4">
        <f t="shared" si="0"/>
        <v>9174699</v>
      </c>
      <c r="F17" s="33">
        <v>8606754</v>
      </c>
    </row>
    <row r="18" spans="1:6" ht="15">
      <c r="A18" s="7" t="s">
        <v>20</v>
      </c>
      <c r="B18" s="3"/>
      <c r="C18" s="4"/>
      <c r="D18" s="4"/>
      <c r="E18" s="4"/>
      <c r="F18" s="33"/>
    </row>
    <row r="19" spans="1:6" ht="15">
      <c r="A19" s="8" t="s">
        <v>21</v>
      </c>
      <c r="B19" s="34">
        <v>35971128</v>
      </c>
      <c r="C19" s="35">
        <v>0</v>
      </c>
      <c r="D19" s="35">
        <v>0</v>
      </c>
      <c r="E19" s="35">
        <f t="shared" si="0"/>
        <v>35971128</v>
      </c>
      <c r="F19" s="33">
        <v>31064641</v>
      </c>
    </row>
    <row r="20" spans="1:6" ht="15">
      <c r="A20" s="9" t="s">
        <v>22</v>
      </c>
      <c r="B20" s="10">
        <f>SUM(B15:B19)</f>
        <v>35971128</v>
      </c>
      <c r="C20" s="11">
        <f>SUM(C15:C19)</f>
        <v>0</v>
      </c>
      <c r="D20" s="11">
        <f>SUM(D15:D19)</f>
        <v>218958568</v>
      </c>
      <c r="E20" s="11">
        <f>SUM(E15:E19)</f>
        <v>254929696</v>
      </c>
      <c r="F20" s="36">
        <f>SUM(F16:F19)</f>
        <v>239823373</v>
      </c>
    </row>
    <row r="21" spans="1:6" ht="15">
      <c r="A21" s="6" t="s">
        <v>60</v>
      </c>
      <c r="B21" s="3">
        <v>0</v>
      </c>
      <c r="C21" s="4">
        <v>0</v>
      </c>
      <c r="D21" s="4">
        <f>13545856+36815885</f>
        <v>50361741</v>
      </c>
      <c r="E21" s="4">
        <f t="shared" si="0"/>
        <v>50361741</v>
      </c>
      <c r="F21" s="33">
        <v>49212711</v>
      </c>
    </row>
    <row r="22" spans="1:6" ht="15">
      <c r="A22" s="6" t="s">
        <v>61</v>
      </c>
      <c r="B22" s="3">
        <v>0</v>
      </c>
      <c r="C22" s="4">
        <v>28526675</v>
      </c>
      <c r="D22" s="4">
        <v>0</v>
      </c>
      <c r="E22" s="4">
        <f t="shared" si="0"/>
        <v>28526675</v>
      </c>
      <c r="F22" s="33">
        <v>27058980</v>
      </c>
    </row>
    <row r="23" spans="1:6" ht="15">
      <c r="A23" s="6" t="s">
        <v>25</v>
      </c>
      <c r="B23" s="3">
        <v>0</v>
      </c>
      <c r="C23" s="4">
        <v>132071424</v>
      </c>
      <c r="D23" s="4">
        <v>0</v>
      </c>
      <c r="E23" s="4">
        <f t="shared" si="0"/>
        <v>132071424</v>
      </c>
      <c r="F23" s="33">
        <v>118876533</v>
      </c>
    </row>
    <row r="24" spans="1:6" ht="15">
      <c r="A24" s="6" t="s">
        <v>26</v>
      </c>
      <c r="B24" s="3">
        <v>0</v>
      </c>
      <c r="C24" s="4">
        <v>0</v>
      </c>
      <c r="D24" s="4">
        <v>0</v>
      </c>
      <c r="E24" s="4">
        <f t="shared" si="0"/>
        <v>0</v>
      </c>
      <c r="F24" s="33">
        <v>0</v>
      </c>
    </row>
    <row r="25" spans="1:6" ht="15">
      <c r="A25" s="6" t="s">
        <v>27</v>
      </c>
      <c r="B25" s="3"/>
      <c r="C25" s="4"/>
      <c r="D25" s="4"/>
      <c r="E25" s="4"/>
      <c r="F25" s="33">
        <v>0</v>
      </c>
    </row>
    <row r="26" spans="1:6" ht="15">
      <c r="A26" s="7" t="s">
        <v>28</v>
      </c>
      <c r="B26" s="3">
        <v>42037137</v>
      </c>
      <c r="C26" s="4">
        <v>10450942</v>
      </c>
      <c r="D26" s="4">
        <v>0</v>
      </c>
      <c r="E26" s="4">
        <f t="shared" si="0"/>
        <v>52488079</v>
      </c>
      <c r="F26" s="33">
        <v>51250242</v>
      </c>
    </row>
    <row r="27" spans="1:6" ht="15">
      <c r="A27" s="7" t="s">
        <v>29</v>
      </c>
      <c r="B27" s="3">
        <v>0</v>
      </c>
      <c r="C27" s="4">
        <v>0</v>
      </c>
      <c r="D27" s="4">
        <v>0</v>
      </c>
      <c r="E27" s="4">
        <f t="shared" si="0"/>
        <v>0</v>
      </c>
      <c r="F27" s="33">
        <v>0</v>
      </c>
    </row>
    <row r="28" spans="1:6" ht="15.75" thickBot="1">
      <c r="A28" s="12" t="s">
        <v>30</v>
      </c>
      <c r="B28" s="37">
        <v>3596581</v>
      </c>
      <c r="C28" s="32">
        <v>9189428</v>
      </c>
      <c r="D28" s="32">
        <v>0</v>
      </c>
      <c r="E28" s="32">
        <f t="shared" si="0"/>
        <v>12786009</v>
      </c>
      <c r="F28" s="33">
        <v>20691524</v>
      </c>
    </row>
    <row r="29" spans="1:6" ht="15.75" thickTop="1">
      <c r="A29" s="27" t="s">
        <v>31</v>
      </c>
      <c r="B29" s="28">
        <f>+B28+B27+B26+B24+B23+B22+B21+B20+B13+B14</f>
        <v>459188174</v>
      </c>
      <c r="C29" s="29">
        <f>+C28+C27+C26+C24+C23+C22+C21+C20+C13+C14</f>
        <v>225527793</v>
      </c>
      <c r="D29" s="30">
        <f>+D28+D27+D26+D24+D23+D22+D21+D20+D13+D14</f>
        <v>270151446</v>
      </c>
      <c r="E29" s="30">
        <f>+E28+E27+E26+E24+E23+E22+E21+E20+E13+E14</f>
        <v>954867413</v>
      </c>
      <c r="F29" s="31">
        <f>+F28+F27+F26+F24+F23+F22+F21+F20+F13+F14</f>
        <v>904253610</v>
      </c>
    </row>
    <row r="30" spans="1:6" ht="15">
      <c r="A30" s="6"/>
      <c r="B30" s="3"/>
      <c r="C30" s="4"/>
      <c r="D30" s="4"/>
      <c r="E30" s="4"/>
      <c r="F30" s="33"/>
    </row>
    <row r="31" spans="1:6" ht="15">
      <c r="A31" s="2" t="s">
        <v>32</v>
      </c>
      <c r="B31" s="3"/>
      <c r="C31" s="4"/>
      <c r="D31" s="4"/>
      <c r="E31" s="4"/>
      <c r="F31" s="33"/>
    </row>
    <row r="32" spans="1:6" ht="15">
      <c r="A32" s="6" t="s">
        <v>33</v>
      </c>
      <c r="B32" s="3"/>
      <c r="C32" s="4"/>
      <c r="D32" s="4"/>
      <c r="E32" s="4"/>
      <c r="F32" s="33"/>
    </row>
    <row r="33" spans="1:6" ht="15">
      <c r="A33" s="7" t="s">
        <v>34</v>
      </c>
      <c r="B33" s="3">
        <v>260632998</v>
      </c>
      <c r="C33" s="4">
        <v>25052699</v>
      </c>
      <c r="D33" s="4">
        <v>25802376</v>
      </c>
      <c r="E33" s="4">
        <f t="shared" si="0"/>
        <v>311488073</v>
      </c>
      <c r="F33" s="33">
        <v>296723966</v>
      </c>
    </row>
    <row r="34" spans="1:6" ht="15">
      <c r="A34" s="7" t="s">
        <v>35</v>
      </c>
      <c r="B34" s="3">
        <v>2695978</v>
      </c>
      <c r="C34" s="4">
        <v>522734</v>
      </c>
      <c r="D34" s="4">
        <f>189005404+3132387+3500000+516709</f>
        <v>196154500</v>
      </c>
      <c r="E34" s="4">
        <f t="shared" si="0"/>
        <v>199373212</v>
      </c>
      <c r="F34" s="33">
        <v>190610041</v>
      </c>
    </row>
    <row r="35" spans="1:6" ht="15">
      <c r="A35" s="7" t="s">
        <v>36</v>
      </c>
      <c r="B35" s="3">
        <v>770655</v>
      </c>
      <c r="C35" s="4">
        <v>2334800</v>
      </c>
      <c r="D35" s="4">
        <v>2653860</v>
      </c>
      <c r="E35" s="4">
        <f t="shared" si="0"/>
        <v>5759315</v>
      </c>
      <c r="F35" s="33">
        <v>5472242</v>
      </c>
    </row>
    <row r="36" spans="1:6" ht="15">
      <c r="A36" s="7" t="s">
        <v>37</v>
      </c>
      <c r="B36" s="3">
        <v>67810154</v>
      </c>
      <c r="C36" s="4">
        <v>3899540</v>
      </c>
      <c r="D36" s="4">
        <v>3335810</v>
      </c>
      <c r="E36" s="4">
        <f t="shared" si="0"/>
        <v>75045504</v>
      </c>
      <c r="F36" s="33">
        <v>70024928</v>
      </c>
    </row>
    <row r="37" spans="1:6" ht="15">
      <c r="A37" s="7" t="s">
        <v>38</v>
      </c>
      <c r="B37" s="3">
        <v>27387006</v>
      </c>
      <c r="C37" s="4">
        <v>33393724</v>
      </c>
      <c r="D37" s="4">
        <v>2400681</v>
      </c>
      <c r="E37" s="4">
        <f t="shared" si="0"/>
        <v>63181411</v>
      </c>
      <c r="F37" s="33">
        <v>62670839</v>
      </c>
    </row>
    <row r="38" spans="1:6" ht="15">
      <c r="A38" s="7" t="s">
        <v>39</v>
      </c>
      <c r="B38" s="3">
        <v>30457834</v>
      </c>
      <c r="C38" s="4">
        <v>3458890</v>
      </c>
      <c r="D38" s="4">
        <v>767967</v>
      </c>
      <c r="E38" s="4">
        <f t="shared" si="0"/>
        <v>34684691</v>
      </c>
      <c r="F38" s="33">
        <v>33161865</v>
      </c>
    </row>
    <row r="39" spans="1:6" ht="15">
      <c r="A39" s="7" t="s">
        <v>40</v>
      </c>
      <c r="B39" s="3">
        <v>52846320</v>
      </c>
      <c r="C39" s="4">
        <v>0</v>
      </c>
      <c r="D39" s="4">
        <v>1231992</v>
      </c>
      <c r="E39" s="4">
        <f t="shared" si="0"/>
        <v>54078312</v>
      </c>
      <c r="F39" s="33">
        <v>51194309</v>
      </c>
    </row>
    <row r="40" spans="1:6" ht="15">
      <c r="A40" s="7" t="s">
        <v>41</v>
      </c>
      <c r="B40" s="3">
        <v>16587229</v>
      </c>
      <c r="C40" s="4">
        <v>6098568</v>
      </c>
      <c r="D40" s="4">
        <v>33525906</v>
      </c>
      <c r="E40" s="4">
        <f t="shared" si="0"/>
        <v>56211703</v>
      </c>
      <c r="F40" s="33">
        <v>49085274</v>
      </c>
    </row>
    <row r="41" spans="1:6" ht="15">
      <c r="A41" s="6" t="s">
        <v>42</v>
      </c>
      <c r="B41" s="3">
        <v>0</v>
      </c>
      <c r="C41" s="4">
        <v>117565600</v>
      </c>
      <c r="D41" s="4">
        <v>0</v>
      </c>
      <c r="E41" s="4">
        <f t="shared" si="0"/>
        <v>117565600</v>
      </c>
      <c r="F41" s="33">
        <v>109425000</v>
      </c>
    </row>
    <row r="42" spans="1:6" ht="15">
      <c r="A42" s="6" t="s">
        <v>26</v>
      </c>
      <c r="B42" s="3">
        <v>0</v>
      </c>
      <c r="C42" s="4">
        <v>0</v>
      </c>
      <c r="D42" s="4">
        <v>0</v>
      </c>
      <c r="E42" s="4">
        <f t="shared" si="0"/>
        <v>0</v>
      </c>
      <c r="F42" s="33">
        <v>0</v>
      </c>
    </row>
    <row r="43" spans="1:6" ht="15.75" thickBot="1">
      <c r="A43" s="13" t="s">
        <v>43</v>
      </c>
      <c r="B43" s="37">
        <v>0</v>
      </c>
      <c r="C43" s="32">
        <v>0</v>
      </c>
      <c r="D43" s="32">
        <v>0</v>
      </c>
      <c r="E43" s="32">
        <f t="shared" si="0"/>
        <v>0</v>
      </c>
      <c r="F43" s="33">
        <v>0</v>
      </c>
    </row>
    <row r="44" spans="1:6" ht="15.75" thickTop="1">
      <c r="A44" s="27" t="s">
        <v>44</v>
      </c>
      <c r="B44" s="28">
        <f>SUM(B33:B43)</f>
        <v>459188174</v>
      </c>
      <c r="C44" s="29">
        <f>SUM(C33:C43)</f>
        <v>192326555</v>
      </c>
      <c r="D44" s="30">
        <f>SUM(D33:D43)</f>
        <v>265873092</v>
      </c>
      <c r="E44" s="30">
        <f t="shared" si="0"/>
        <v>917387821</v>
      </c>
      <c r="F44" s="31">
        <f>SUM(F33:F43)</f>
        <v>868368464</v>
      </c>
    </row>
    <row r="45" spans="1:6" ht="15">
      <c r="A45" s="6"/>
      <c r="B45" s="3"/>
      <c r="C45" s="4"/>
      <c r="D45" s="4"/>
      <c r="E45" s="4"/>
      <c r="F45" s="33"/>
    </row>
    <row r="46" spans="1:6" ht="15">
      <c r="A46" s="2" t="s">
        <v>45</v>
      </c>
      <c r="B46" s="3"/>
      <c r="C46" s="4"/>
      <c r="D46" s="4"/>
      <c r="E46" s="4"/>
      <c r="F46" s="33"/>
    </row>
    <row r="47" spans="1:6" ht="15">
      <c r="A47" s="6" t="s">
        <v>46</v>
      </c>
      <c r="B47" s="3"/>
      <c r="C47" s="4"/>
      <c r="D47" s="4"/>
      <c r="E47" s="4"/>
      <c r="F47" s="33"/>
    </row>
    <row r="48" spans="1:6" ht="15">
      <c r="A48" s="7" t="s">
        <v>47</v>
      </c>
      <c r="B48" s="3">
        <v>0</v>
      </c>
      <c r="C48" s="4">
        <f>15460156+9834947</f>
        <v>25295103</v>
      </c>
      <c r="D48" s="4">
        <v>0</v>
      </c>
      <c r="E48" s="4">
        <f t="shared" si="0"/>
        <v>25295103</v>
      </c>
      <c r="F48" s="33">
        <v>20040084</v>
      </c>
    </row>
    <row r="49" spans="1:6" ht="15">
      <c r="A49" s="7" t="s">
        <v>62</v>
      </c>
      <c r="B49" s="3">
        <v>0</v>
      </c>
      <c r="C49" s="4">
        <v>0</v>
      </c>
      <c r="D49" s="4">
        <v>0</v>
      </c>
      <c r="E49" s="4">
        <f t="shared" si="0"/>
        <v>0</v>
      </c>
      <c r="F49" s="33">
        <v>0</v>
      </c>
    </row>
    <row r="50" spans="1:6" ht="15">
      <c r="A50" s="8" t="s">
        <v>63</v>
      </c>
      <c r="B50" s="34">
        <v>0</v>
      </c>
      <c r="C50" s="35">
        <v>0</v>
      </c>
      <c r="D50" s="35">
        <v>0</v>
      </c>
      <c r="E50" s="35">
        <f t="shared" si="0"/>
        <v>0</v>
      </c>
      <c r="F50" s="33">
        <v>0</v>
      </c>
    </row>
    <row r="51" spans="1:6" ht="15">
      <c r="A51" s="14" t="s">
        <v>50</v>
      </c>
      <c r="B51" s="15">
        <f>SUM(B48:B50)</f>
        <v>0</v>
      </c>
      <c r="C51" s="16">
        <f>SUM(C48:C50)</f>
        <v>25295103</v>
      </c>
      <c r="D51" s="16">
        <f>SUM(D48:D50)</f>
        <v>0</v>
      </c>
      <c r="E51" s="16">
        <f t="shared" si="0"/>
        <v>25295103</v>
      </c>
      <c r="F51" s="38">
        <f>SUM(F48:F50)</f>
        <v>20040084</v>
      </c>
    </row>
    <row r="52" spans="1:6" ht="15">
      <c r="A52" s="6"/>
      <c r="B52" s="3"/>
      <c r="C52" s="4"/>
      <c r="D52" s="4"/>
      <c r="E52" s="4"/>
      <c r="F52" s="33"/>
    </row>
    <row r="53" spans="1:6" ht="15">
      <c r="A53" s="6" t="s">
        <v>51</v>
      </c>
      <c r="B53" s="3"/>
      <c r="C53" s="4"/>
      <c r="D53" s="4"/>
      <c r="E53" s="4"/>
      <c r="F53" s="33"/>
    </row>
    <row r="54" spans="1:6" ht="15">
      <c r="A54" s="7" t="s">
        <v>64</v>
      </c>
      <c r="B54" s="3">
        <v>0</v>
      </c>
      <c r="C54" s="4">
        <v>0</v>
      </c>
      <c r="D54" s="4">
        <v>0</v>
      </c>
      <c r="E54" s="4">
        <f t="shared" si="0"/>
        <v>0</v>
      </c>
      <c r="F54" s="33">
        <v>0</v>
      </c>
    </row>
    <row r="55" spans="1:6" ht="15">
      <c r="A55" s="8" t="s">
        <v>43</v>
      </c>
      <c r="B55" s="34">
        <v>0</v>
      </c>
      <c r="C55" s="35">
        <f>10826159-2920024</f>
        <v>7906135</v>
      </c>
      <c r="D55" s="35">
        <v>4278354</v>
      </c>
      <c r="E55" s="35">
        <f t="shared" si="0"/>
        <v>12184489</v>
      </c>
      <c r="F55" s="33">
        <v>15845062</v>
      </c>
    </row>
    <row r="56" spans="1:6" ht="15.75" thickBot="1">
      <c r="A56" s="18" t="s">
        <v>53</v>
      </c>
      <c r="B56" s="19">
        <f>SUM(B54:B55)</f>
        <v>0</v>
      </c>
      <c r="C56" s="20">
        <f>SUM(C54:C55)</f>
        <v>7906135</v>
      </c>
      <c r="D56" s="20">
        <f>SUM(D54:D55)</f>
        <v>4278354</v>
      </c>
      <c r="E56" s="20">
        <f t="shared" si="0"/>
        <v>12184489</v>
      </c>
      <c r="F56" s="39">
        <f>SUM(F54:F55)</f>
        <v>15845062</v>
      </c>
    </row>
    <row r="57" spans="1:6" ht="15.75" thickTop="1">
      <c r="A57" s="27" t="s">
        <v>54</v>
      </c>
      <c r="B57" s="28">
        <f>+B44+B51+B56</f>
        <v>459188174</v>
      </c>
      <c r="C57" s="29">
        <f>+C56+C51+C44</f>
        <v>225527793</v>
      </c>
      <c r="D57" s="30">
        <f>+D56+D51+D44</f>
        <v>270151446</v>
      </c>
      <c r="E57" s="30">
        <f t="shared" si="0"/>
        <v>954867413</v>
      </c>
      <c r="F57" s="31">
        <f>+F56+F51+F44</f>
        <v>904253610</v>
      </c>
    </row>
    <row r="58" spans="1:6" ht="15">
      <c r="A58" s="6"/>
      <c r="B58" s="3"/>
      <c r="C58" s="4"/>
      <c r="D58" s="4"/>
      <c r="E58" s="4"/>
      <c r="F58" s="33"/>
    </row>
    <row r="59" spans="1:6" ht="15.75" thickBot="1">
      <c r="A59" s="21" t="s">
        <v>55</v>
      </c>
      <c r="B59" s="22">
        <f>+B29-B57</f>
        <v>0</v>
      </c>
      <c r="C59" s="23">
        <f>+C29-C57</f>
        <v>0</v>
      </c>
      <c r="D59" s="23">
        <f>+D29-D57</f>
        <v>0</v>
      </c>
      <c r="E59" s="24">
        <f>+E29-E57</f>
        <v>0</v>
      </c>
      <c r="F59" s="40">
        <f>+F29-F57</f>
        <v>0</v>
      </c>
    </row>
    <row r="60" spans="1:6" ht="15.75">
      <c r="A60" s="1"/>
      <c r="B60" s="25"/>
      <c r="C60" s="25"/>
      <c r="D60" s="25"/>
      <c r="E60" s="25"/>
      <c r="F60" s="25"/>
    </row>
    <row r="61" spans="1:6" ht="15.75">
      <c r="A61" s="61" t="s">
        <v>65</v>
      </c>
      <c r="B61" s="25"/>
      <c r="C61" s="25"/>
      <c r="D61" s="25"/>
      <c r="E61" s="25"/>
      <c r="F61" s="25"/>
    </row>
    <row r="62" spans="1:14" ht="15.75" customHeight="1">
      <c r="A62" s="60" t="s">
        <v>66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41"/>
      <c r="M62" s="41"/>
      <c r="N62" s="41"/>
    </row>
    <row r="63" spans="1:14" ht="15.75" customHeight="1">
      <c r="A63" s="59" t="s">
        <v>67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41"/>
      <c r="M63" s="41"/>
      <c r="N63" s="41"/>
    </row>
    <row r="64" spans="1:14" ht="15.75" customHeight="1">
      <c r="A64" s="59" t="s">
        <v>68</v>
      </c>
      <c r="B64" s="59"/>
      <c r="C64" s="59"/>
      <c r="D64" s="59"/>
      <c r="E64" s="59"/>
      <c r="F64" s="59"/>
      <c r="G64" s="59"/>
      <c r="H64" s="59"/>
      <c r="I64" s="59"/>
      <c r="J64" s="59"/>
      <c r="K64" s="41"/>
      <c r="L64" s="41"/>
      <c r="M64" s="41"/>
      <c r="N64" s="41"/>
    </row>
    <row r="65" spans="1:14" ht="15.75" customHeight="1">
      <c r="A65" s="59" t="s">
        <v>69</v>
      </c>
      <c r="B65" s="59"/>
      <c r="C65" s="59"/>
      <c r="D65" s="59"/>
      <c r="E65" s="59"/>
      <c r="F65" s="59"/>
      <c r="G65" s="59"/>
      <c r="H65" s="59"/>
      <c r="I65" s="59"/>
      <c r="J65" s="59"/>
      <c r="K65" s="41"/>
      <c r="L65" s="41"/>
      <c r="M65" s="41"/>
      <c r="N65" s="41"/>
    </row>
    <row r="66" spans="1:14" ht="15.75" customHeight="1">
      <c r="A66" s="59" t="s">
        <v>70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41"/>
      <c r="M66" s="41"/>
      <c r="N66" s="41"/>
    </row>
    <row r="67" spans="1:14" ht="15.75" customHeight="1">
      <c r="A67" s="59" t="s">
        <v>71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41"/>
      <c r="M67" s="41"/>
      <c r="N67" s="41"/>
    </row>
    <row r="68" spans="1:14" ht="15.75" customHeight="1">
      <c r="A68" s="59" t="s">
        <v>72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41"/>
      <c r="M68" s="41"/>
      <c r="N68" s="41"/>
    </row>
    <row r="69" spans="1:14" ht="15.75" customHeight="1">
      <c r="A69" s="59" t="s">
        <v>73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41"/>
      <c r="M69" s="41"/>
      <c r="N69" s="41"/>
    </row>
    <row r="70" spans="1:14" ht="15.75" customHeight="1">
      <c r="A70" s="59" t="s">
        <v>74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fitToHeight="1" fitToWidth="1" horizontalDpi="600" verticalDpi="600" orientation="portrait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showGridLines="0" zoomScalePageLayoutView="0" workbookViewId="0" topLeftCell="A1">
      <selection activeCell="I11" sqref="I11"/>
    </sheetView>
  </sheetViews>
  <sheetFormatPr defaultColWidth="9.140625" defaultRowHeight="15"/>
  <cols>
    <col min="1" max="1" width="44.7109375" style="0" customWidth="1"/>
    <col min="2" max="6" width="15.7109375" style="0" customWidth="1"/>
  </cols>
  <sheetData>
    <row r="1" spans="1:6" ht="15.75">
      <c r="A1" s="62" t="s">
        <v>57</v>
      </c>
      <c r="B1" s="62"/>
      <c r="C1" s="62"/>
      <c r="D1" s="62"/>
      <c r="E1" s="62"/>
      <c r="F1" s="62"/>
    </row>
    <row r="2" spans="1:6" ht="15.75">
      <c r="A2" s="62" t="s">
        <v>76</v>
      </c>
      <c r="B2" s="62"/>
      <c r="C2" s="62"/>
      <c r="D2" s="62"/>
      <c r="E2" s="62"/>
      <c r="F2" s="62"/>
    </row>
    <row r="3" spans="1:6" ht="15.75">
      <c r="A3" s="64" t="s">
        <v>83</v>
      </c>
      <c r="B3" s="65"/>
      <c r="C3" s="65"/>
      <c r="D3" s="65"/>
      <c r="E3" s="65"/>
      <c r="F3" s="65"/>
    </row>
    <row r="4" spans="1:6" ht="16.5" thickBot="1">
      <c r="A4" s="26"/>
      <c r="B4" s="26"/>
      <c r="C4" s="26"/>
      <c r="D4" s="26"/>
      <c r="E4" s="26"/>
      <c r="F4" s="26"/>
    </row>
    <row r="5" spans="1:6" ht="40.5" customHeight="1" thickBot="1">
      <c r="A5" s="72" t="s">
        <v>2</v>
      </c>
      <c r="B5" s="73" t="s">
        <v>3</v>
      </c>
      <c r="C5" s="70" t="s">
        <v>4</v>
      </c>
      <c r="D5" s="74" t="s">
        <v>5</v>
      </c>
      <c r="E5" s="70" t="s">
        <v>6</v>
      </c>
      <c r="F5" s="71" t="s">
        <v>7</v>
      </c>
    </row>
    <row r="6" spans="1:6" ht="15">
      <c r="A6" s="2" t="s">
        <v>8</v>
      </c>
      <c r="B6" s="3"/>
      <c r="C6" s="4"/>
      <c r="D6" s="4"/>
      <c r="E6" s="4"/>
      <c r="F6" s="33"/>
    </row>
    <row r="7" spans="1:6" ht="15">
      <c r="A7" s="6" t="s">
        <v>9</v>
      </c>
      <c r="B7" s="3"/>
      <c r="C7" s="4"/>
      <c r="D7" s="4"/>
      <c r="E7" s="4"/>
      <c r="F7" s="33"/>
    </row>
    <row r="8" spans="1:6" ht="15">
      <c r="A8" s="7" t="s">
        <v>10</v>
      </c>
      <c r="B8" s="3">
        <v>13692713</v>
      </c>
      <c r="C8" s="4">
        <v>0</v>
      </c>
      <c r="D8" s="4">
        <v>0</v>
      </c>
      <c r="E8" s="4">
        <f aca="true" t="shared" si="0" ref="E8:E57">+B8+C8+D8</f>
        <v>13692713</v>
      </c>
      <c r="F8" s="33">
        <f>13661195-961301</f>
        <v>12699894</v>
      </c>
    </row>
    <row r="9" spans="1:6" ht="15">
      <c r="A9" s="7" t="s">
        <v>11</v>
      </c>
      <c r="B9" s="3">
        <v>33757564</v>
      </c>
      <c r="C9" s="4">
        <v>0</v>
      </c>
      <c r="D9" s="4">
        <v>0</v>
      </c>
      <c r="E9" s="4">
        <f t="shared" si="0"/>
        <v>33757564</v>
      </c>
      <c r="F9" s="33">
        <v>31535192</v>
      </c>
    </row>
    <row r="10" spans="1:6" ht="15">
      <c r="A10" s="7" t="s">
        <v>12</v>
      </c>
      <c r="B10" s="3">
        <v>7131035</v>
      </c>
      <c r="C10" s="4">
        <v>0</v>
      </c>
      <c r="D10" s="4">
        <v>0</v>
      </c>
      <c r="E10" s="4">
        <f t="shared" si="0"/>
        <v>7131035</v>
      </c>
      <c r="F10" s="33">
        <v>7002694</v>
      </c>
    </row>
    <row r="11" spans="1:6" ht="15">
      <c r="A11" s="7" t="s">
        <v>13</v>
      </c>
      <c r="B11" s="3">
        <v>0</v>
      </c>
      <c r="C11" s="4">
        <v>5432436</v>
      </c>
      <c r="D11" s="4">
        <v>0</v>
      </c>
      <c r="E11" s="4">
        <f t="shared" si="0"/>
        <v>5432436</v>
      </c>
      <c r="F11" s="33">
        <v>5399862</v>
      </c>
    </row>
    <row r="12" spans="1:6" ht="15">
      <c r="A12" s="8" t="s">
        <v>14</v>
      </c>
      <c r="B12" s="34">
        <v>1969775.04</v>
      </c>
      <c r="C12" s="35">
        <v>6946199</v>
      </c>
      <c r="D12" s="4">
        <v>0</v>
      </c>
      <c r="E12" s="35">
        <f t="shared" si="0"/>
        <v>8915974.04</v>
      </c>
      <c r="F12" s="42">
        <v>7863399</v>
      </c>
    </row>
    <row r="13" spans="1:6" ht="15">
      <c r="A13" s="9" t="s">
        <v>15</v>
      </c>
      <c r="B13" s="10">
        <f>SUM(B8:B12)</f>
        <v>56551087.04</v>
      </c>
      <c r="C13" s="11">
        <f>SUM(C8:C12)</f>
        <v>12378635</v>
      </c>
      <c r="D13" s="11">
        <f>SUM(D8:D12)</f>
        <v>0</v>
      </c>
      <c r="E13" s="11">
        <f t="shared" si="0"/>
        <v>68929722.03999999</v>
      </c>
      <c r="F13" s="36">
        <f>SUM(F8:F12)</f>
        <v>64501041</v>
      </c>
    </row>
    <row r="14" spans="1:6" ht="15">
      <c r="A14" s="6" t="s">
        <v>16</v>
      </c>
      <c r="B14" s="3">
        <v>0</v>
      </c>
      <c r="C14" s="4">
        <v>0</v>
      </c>
      <c r="D14" s="4">
        <v>0</v>
      </c>
      <c r="E14" s="4">
        <v>0</v>
      </c>
      <c r="F14" s="33">
        <v>0</v>
      </c>
    </row>
    <row r="15" spans="1:6" ht="15">
      <c r="A15" s="6" t="s">
        <v>17</v>
      </c>
      <c r="B15" s="3">
        <v>0</v>
      </c>
      <c r="C15" s="4">
        <v>0</v>
      </c>
      <c r="D15" s="4">
        <v>0</v>
      </c>
      <c r="E15" s="4">
        <v>0</v>
      </c>
      <c r="F15" s="33">
        <v>0</v>
      </c>
    </row>
    <row r="16" spans="1:6" ht="15">
      <c r="A16" s="7" t="s">
        <v>18</v>
      </c>
      <c r="B16" s="3">
        <v>0</v>
      </c>
      <c r="C16" s="4">
        <v>0</v>
      </c>
      <c r="D16" s="4">
        <f>8778299.27+500000+150000</f>
        <v>9428299.27</v>
      </c>
      <c r="E16" s="4">
        <f t="shared" si="0"/>
        <v>9428299.27</v>
      </c>
      <c r="F16" s="33">
        <v>10414256</v>
      </c>
    </row>
    <row r="17" spans="1:6" ht="15">
      <c r="A17" s="7" t="s">
        <v>19</v>
      </c>
      <c r="B17" s="3">
        <v>0</v>
      </c>
      <c r="C17" s="4">
        <v>0</v>
      </c>
      <c r="D17" s="4">
        <f>4434872.33+300000</f>
        <v>4734872.33</v>
      </c>
      <c r="E17" s="4">
        <f t="shared" si="0"/>
        <v>4734872.33</v>
      </c>
      <c r="F17" s="33">
        <v>3812262</v>
      </c>
    </row>
    <row r="18" spans="1:6" ht="15">
      <c r="A18" s="7" t="s">
        <v>20</v>
      </c>
      <c r="B18" s="3"/>
      <c r="C18" s="4"/>
      <c r="D18" s="4"/>
      <c r="E18" s="4"/>
      <c r="F18" s="33"/>
    </row>
    <row r="19" spans="1:6" ht="15">
      <c r="A19" s="8" t="s">
        <v>21</v>
      </c>
      <c r="B19" s="34">
        <v>8037123</v>
      </c>
      <c r="C19" s="35">
        <v>0</v>
      </c>
      <c r="D19" s="35">
        <v>0</v>
      </c>
      <c r="E19" s="35">
        <f t="shared" si="0"/>
        <v>8037123</v>
      </c>
      <c r="F19" s="42">
        <f>4957776+961301</f>
        <v>5919077</v>
      </c>
    </row>
    <row r="20" spans="1:6" ht="15">
      <c r="A20" s="9" t="s">
        <v>22</v>
      </c>
      <c r="B20" s="10">
        <f>SUM(B14:B19)</f>
        <v>8037123</v>
      </c>
      <c r="C20" s="11">
        <f>SUM(C14:C19)</f>
        <v>0</v>
      </c>
      <c r="D20" s="11">
        <f>SUM(D14:D19)</f>
        <v>14163171.6</v>
      </c>
      <c r="E20" s="11">
        <f t="shared" si="0"/>
        <v>22200294.6</v>
      </c>
      <c r="F20" s="36">
        <f>SUM(F16:F19)</f>
        <v>20145595</v>
      </c>
    </row>
    <row r="21" spans="1:6" ht="15">
      <c r="A21" s="6" t="s">
        <v>23</v>
      </c>
      <c r="B21" s="52">
        <v>0</v>
      </c>
      <c r="C21" s="53">
        <v>0</v>
      </c>
      <c r="D21" s="53">
        <f>1382527.15+2798115.55+1500000+60000</f>
        <v>5740642.699999999</v>
      </c>
      <c r="E21" s="54">
        <f t="shared" si="0"/>
        <v>5740642.699999999</v>
      </c>
      <c r="F21" s="33">
        <v>3880136</v>
      </c>
    </row>
    <row r="22" spans="1:6" ht="15">
      <c r="A22" s="6" t="s">
        <v>24</v>
      </c>
      <c r="B22" s="3">
        <v>0</v>
      </c>
      <c r="C22" s="4">
        <v>376478</v>
      </c>
      <c r="D22" s="4">
        <v>0</v>
      </c>
      <c r="E22" s="5">
        <f t="shared" si="0"/>
        <v>376478</v>
      </c>
      <c r="F22" s="33">
        <v>362076</v>
      </c>
    </row>
    <row r="23" spans="1:6" ht="15">
      <c r="A23" s="6" t="s">
        <v>25</v>
      </c>
      <c r="B23" s="3">
        <v>0</v>
      </c>
      <c r="C23" s="4">
        <v>13322173</v>
      </c>
      <c r="D23" s="4">
        <v>0</v>
      </c>
      <c r="E23" s="5">
        <f t="shared" si="0"/>
        <v>13322173</v>
      </c>
      <c r="F23" s="33">
        <v>12456637</v>
      </c>
    </row>
    <row r="24" spans="1:6" ht="15">
      <c r="A24" s="6" t="s">
        <v>26</v>
      </c>
      <c r="B24" s="3">
        <v>0</v>
      </c>
      <c r="C24" s="4">
        <v>65000</v>
      </c>
      <c r="D24" s="4">
        <v>0</v>
      </c>
      <c r="E24" s="5">
        <f t="shared" si="0"/>
        <v>65000</v>
      </c>
      <c r="F24" s="33">
        <v>76537</v>
      </c>
    </row>
    <row r="25" spans="1:6" ht="15">
      <c r="A25" s="6" t="s">
        <v>27</v>
      </c>
      <c r="B25" s="3">
        <v>0</v>
      </c>
      <c r="C25" s="4">
        <v>0</v>
      </c>
      <c r="D25" s="4">
        <v>0</v>
      </c>
      <c r="E25" s="5">
        <v>0</v>
      </c>
      <c r="F25" s="33">
        <v>0</v>
      </c>
    </row>
    <row r="26" spans="1:6" ht="15">
      <c r="A26" s="7" t="s">
        <v>28</v>
      </c>
      <c r="B26" s="3">
        <v>909516.4</v>
      </c>
      <c r="C26" s="4">
        <v>0</v>
      </c>
      <c r="D26" s="4">
        <v>0</v>
      </c>
      <c r="E26" s="5">
        <f t="shared" si="0"/>
        <v>909516.4</v>
      </c>
      <c r="F26" s="33">
        <v>965756</v>
      </c>
    </row>
    <row r="27" spans="1:6" ht="15">
      <c r="A27" s="7" t="s">
        <v>29</v>
      </c>
      <c r="B27" s="3">
        <v>0</v>
      </c>
      <c r="C27" s="4">
        <v>0</v>
      </c>
      <c r="D27" s="4">
        <v>0</v>
      </c>
      <c r="E27" s="5">
        <f t="shared" si="0"/>
        <v>0</v>
      </c>
      <c r="F27" s="33">
        <v>0</v>
      </c>
    </row>
    <row r="28" spans="1:6" ht="15.75" thickBot="1">
      <c r="A28" s="12" t="s">
        <v>30</v>
      </c>
      <c r="B28" s="37">
        <v>982880.16</v>
      </c>
      <c r="C28" s="32">
        <v>2601593</v>
      </c>
      <c r="D28" s="32">
        <v>0</v>
      </c>
      <c r="E28" s="55">
        <f t="shared" si="0"/>
        <v>3584473.16</v>
      </c>
      <c r="F28" s="43">
        <v>3247862</v>
      </c>
    </row>
    <row r="29" spans="1:6" ht="15.75" thickTop="1">
      <c r="A29" s="27" t="s">
        <v>31</v>
      </c>
      <c r="B29" s="28">
        <f>+B28+B27+B26+B24+B23+B22+B21+B20+B13</f>
        <v>66480606.6</v>
      </c>
      <c r="C29" s="29">
        <f>+C28+C27+C26+C24+C23+C22+C21+C20+C13</f>
        <v>28743879</v>
      </c>
      <c r="D29" s="30">
        <f>+D28+D27+D26+D24+D23+D22+D21+D20+D13</f>
        <v>19903814.299999997</v>
      </c>
      <c r="E29" s="30">
        <f t="shared" si="0"/>
        <v>115128299.89999999</v>
      </c>
      <c r="F29" s="31">
        <f>+F28+F27+F26+F24+F23+F22+F21+F20+F13</f>
        <v>105635640</v>
      </c>
    </row>
    <row r="30" spans="1:6" ht="15">
      <c r="A30" s="6"/>
      <c r="B30" s="3"/>
      <c r="C30" s="4"/>
      <c r="D30" s="4"/>
      <c r="E30" s="4"/>
      <c r="F30" s="33"/>
    </row>
    <row r="31" spans="1:6" ht="15">
      <c r="A31" s="2" t="s">
        <v>32</v>
      </c>
      <c r="B31" s="3"/>
      <c r="C31" s="4"/>
      <c r="D31" s="4"/>
      <c r="E31" s="4"/>
      <c r="F31" s="33"/>
    </row>
    <row r="32" spans="1:6" ht="15">
      <c r="A32" s="6" t="s">
        <v>33</v>
      </c>
      <c r="B32" s="3"/>
      <c r="C32" s="4"/>
      <c r="D32" s="4"/>
      <c r="E32" s="4"/>
      <c r="F32" s="33"/>
    </row>
    <row r="33" spans="1:6" ht="15">
      <c r="A33" s="7" t="s">
        <v>34</v>
      </c>
      <c r="B33" s="3">
        <v>33407210</v>
      </c>
      <c r="C33" s="4">
        <f>1258569+1335113+87746+86491+243227+16547</f>
        <v>3027693</v>
      </c>
      <c r="D33" s="4">
        <v>847620.33</v>
      </c>
      <c r="E33" s="4">
        <f t="shared" si="0"/>
        <v>37282523.33</v>
      </c>
      <c r="F33" s="33">
        <f>35125565-297639</f>
        <v>34827926</v>
      </c>
    </row>
    <row r="34" spans="1:6" ht="15">
      <c r="A34" s="7" t="s">
        <v>35</v>
      </c>
      <c r="B34" s="3">
        <v>106515</v>
      </c>
      <c r="C34" s="4">
        <f>5826+6955+750</f>
        <v>13531</v>
      </c>
      <c r="D34" s="4">
        <v>5175000</v>
      </c>
      <c r="E34" s="4">
        <f t="shared" si="0"/>
        <v>5295046</v>
      </c>
      <c r="F34" s="33">
        <v>4571378</v>
      </c>
    </row>
    <row r="35" spans="1:6" ht="15">
      <c r="A35" s="7" t="s">
        <v>36</v>
      </c>
      <c r="B35" s="3">
        <v>800</v>
      </c>
      <c r="C35" s="4">
        <f>237934+326264+59979+26554+20660+2651</f>
        <v>674042</v>
      </c>
      <c r="D35" s="4">
        <v>1141216.51</v>
      </c>
      <c r="E35" s="4">
        <f t="shared" si="0"/>
        <v>1816058.51</v>
      </c>
      <c r="F35" s="33">
        <v>2120877</v>
      </c>
    </row>
    <row r="36" spans="1:6" ht="15">
      <c r="A36" s="7" t="s">
        <v>37</v>
      </c>
      <c r="B36" s="3">
        <v>8439869</v>
      </c>
      <c r="C36" s="4">
        <f>186000+126676+12486+21452</f>
        <v>346614</v>
      </c>
      <c r="D36" s="4">
        <v>810776.98</v>
      </c>
      <c r="E36" s="4">
        <f t="shared" si="0"/>
        <v>9597259.98</v>
      </c>
      <c r="F36" s="33">
        <v>8105041</v>
      </c>
    </row>
    <row r="37" spans="1:6" ht="15">
      <c r="A37" s="7" t="s">
        <v>38</v>
      </c>
      <c r="B37" s="3">
        <v>4966089</v>
      </c>
      <c r="C37" s="4">
        <f>67418+6235+934+80497-837+14170</f>
        <v>168417</v>
      </c>
      <c r="D37" s="4">
        <v>1172250.58</v>
      </c>
      <c r="E37" s="4">
        <f t="shared" si="0"/>
        <v>6306756.58</v>
      </c>
      <c r="F37" s="33">
        <v>5438270</v>
      </c>
    </row>
    <row r="38" spans="1:6" ht="15">
      <c r="A38" s="7" t="s">
        <v>39</v>
      </c>
      <c r="B38" s="3">
        <f>9137872-204762.49</f>
        <v>8933109.51</v>
      </c>
      <c r="C38" s="4">
        <f>475578+1690+181+13082+220712+39464</f>
        <v>750707</v>
      </c>
      <c r="D38" s="4">
        <v>496518.16</v>
      </c>
      <c r="E38" s="4">
        <f t="shared" si="0"/>
        <v>10180334.67</v>
      </c>
      <c r="F38" s="33">
        <v>8308495</v>
      </c>
    </row>
    <row r="39" spans="1:6" ht="15">
      <c r="A39" s="7" t="s">
        <v>40</v>
      </c>
      <c r="B39" s="3">
        <f>7452160-726648-1100000</f>
        <v>5625512</v>
      </c>
      <c r="C39" s="4">
        <v>0</v>
      </c>
      <c r="D39" s="4">
        <v>4076.1</v>
      </c>
      <c r="E39" s="4">
        <f t="shared" si="0"/>
        <v>5629588.1</v>
      </c>
      <c r="F39" s="33">
        <v>5059341</v>
      </c>
    </row>
    <row r="40" spans="1:6" ht="15">
      <c r="A40" s="7" t="s">
        <v>41</v>
      </c>
      <c r="B40" s="3">
        <v>3174854</v>
      </c>
      <c r="C40" s="4">
        <v>8450</v>
      </c>
      <c r="D40" s="4">
        <v>9816896</v>
      </c>
      <c r="E40" s="4">
        <f t="shared" si="0"/>
        <v>13000200</v>
      </c>
      <c r="F40" s="33">
        <v>12780112</v>
      </c>
    </row>
    <row r="41" spans="1:6" ht="15">
      <c r="A41" s="6" t="s">
        <v>42</v>
      </c>
      <c r="B41" s="3">
        <v>0</v>
      </c>
      <c r="C41" s="4">
        <f>9866533+1458356+1654703+767589+335378+372998</f>
        <v>14455557</v>
      </c>
      <c r="D41" s="4">
        <v>10850.15</v>
      </c>
      <c r="E41" s="4">
        <f t="shared" si="0"/>
        <v>14466407.15</v>
      </c>
      <c r="F41" s="33">
        <v>14265540</v>
      </c>
    </row>
    <row r="42" spans="1:6" ht="15">
      <c r="A42" s="6" t="s">
        <v>26</v>
      </c>
      <c r="B42" s="3">
        <v>0</v>
      </c>
      <c r="C42" s="4">
        <v>0</v>
      </c>
      <c r="D42" s="4">
        <v>0</v>
      </c>
      <c r="E42" s="4">
        <f t="shared" si="0"/>
        <v>0</v>
      </c>
      <c r="F42" s="33">
        <v>0</v>
      </c>
    </row>
    <row r="43" spans="1:6" ht="15.75" thickBot="1">
      <c r="A43" s="13" t="s">
        <v>43</v>
      </c>
      <c r="B43" s="37">
        <v>0</v>
      </c>
      <c r="C43" s="32">
        <f>414238+43067+10634+39663</f>
        <v>507602</v>
      </c>
      <c r="D43" s="32">
        <v>153718.48</v>
      </c>
      <c r="E43" s="32">
        <f t="shared" si="0"/>
        <v>661320.48</v>
      </c>
      <c r="F43" s="43">
        <v>0</v>
      </c>
    </row>
    <row r="44" spans="1:6" ht="15.75" thickTop="1">
      <c r="A44" s="27" t="s">
        <v>44</v>
      </c>
      <c r="B44" s="28">
        <f>SUM(B33:B43)</f>
        <v>64653958.51</v>
      </c>
      <c r="C44" s="29">
        <f>SUM(C33:C43)</f>
        <v>19952613</v>
      </c>
      <c r="D44" s="30">
        <f>SUM(D33:D43)</f>
        <v>19628923.29</v>
      </c>
      <c r="E44" s="30">
        <f t="shared" si="0"/>
        <v>104235494.79999998</v>
      </c>
      <c r="F44" s="31">
        <f>SUM(F33:F43)</f>
        <v>95476980</v>
      </c>
    </row>
    <row r="45" spans="1:6" ht="15">
      <c r="A45" s="6"/>
      <c r="B45" s="3"/>
      <c r="C45" s="4"/>
      <c r="D45" s="4"/>
      <c r="E45" s="4"/>
      <c r="F45" s="33"/>
    </row>
    <row r="46" spans="1:6" ht="15">
      <c r="A46" s="2" t="s">
        <v>45</v>
      </c>
      <c r="B46" s="3"/>
      <c r="C46" s="4"/>
      <c r="D46" s="4"/>
      <c r="E46" s="4"/>
      <c r="F46" s="33"/>
    </row>
    <row r="47" spans="1:6" ht="15">
      <c r="A47" s="6" t="s">
        <v>46</v>
      </c>
      <c r="B47" s="3"/>
      <c r="C47" s="4"/>
      <c r="D47" s="4"/>
      <c r="E47" s="4"/>
      <c r="F47" s="33"/>
    </row>
    <row r="48" spans="1:6" ht="15">
      <c r="A48" s="7" t="s">
        <v>47</v>
      </c>
      <c r="B48" s="3">
        <f>416069+310579</f>
        <v>726648</v>
      </c>
      <c r="C48" s="4">
        <f>4339596+565000</f>
        <v>4904596</v>
      </c>
      <c r="D48" s="4">
        <v>0</v>
      </c>
      <c r="E48" s="4">
        <f t="shared" si="0"/>
        <v>5631244</v>
      </c>
      <c r="F48" s="33">
        <v>5021569</v>
      </c>
    </row>
    <row r="49" spans="1:6" ht="15">
      <c r="A49" s="7" t="s">
        <v>48</v>
      </c>
      <c r="B49" s="3">
        <v>0</v>
      </c>
      <c r="C49" s="4">
        <v>3068055</v>
      </c>
      <c r="D49" s="4">
        <v>0</v>
      </c>
      <c r="E49" s="4">
        <f t="shared" si="0"/>
        <v>3068055</v>
      </c>
      <c r="F49" s="33">
        <v>3010787</v>
      </c>
    </row>
    <row r="50" spans="1:6" ht="15">
      <c r="A50" s="8" t="s">
        <v>49</v>
      </c>
      <c r="B50" s="34">
        <v>0</v>
      </c>
      <c r="C50" s="35">
        <v>0</v>
      </c>
      <c r="D50" s="35">
        <v>0</v>
      </c>
      <c r="E50" s="35">
        <f t="shared" si="0"/>
        <v>0</v>
      </c>
      <c r="F50" s="42">
        <v>0</v>
      </c>
    </row>
    <row r="51" spans="1:6" ht="15">
      <c r="A51" s="14" t="s">
        <v>50</v>
      </c>
      <c r="B51" s="15">
        <f>SUM(B48:B50)</f>
        <v>726648</v>
      </c>
      <c r="C51" s="16">
        <f>SUM(C48:C50)</f>
        <v>7972651</v>
      </c>
      <c r="D51" s="16">
        <f>SUM(D48:D50)</f>
        <v>0</v>
      </c>
      <c r="E51" s="16">
        <f t="shared" si="0"/>
        <v>8699299</v>
      </c>
      <c r="F51" s="38">
        <f>SUM(F48:F50)</f>
        <v>8032356</v>
      </c>
    </row>
    <row r="52" spans="1:6" ht="15">
      <c r="A52" s="6"/>
      <c r="B52" s="3"/>
      <c r="C52" s="4"/>
      <c r="D52" s="4"/>
      <c r="E52" s="4"/>
      <c r="F52" s="33"/>
    </row>
    <row r="53" spans="1:6" ht="15">
      <c r="A53" s="2" t="s">
        <v>51</v>
      </c>
      <c r="B53" s="3"/>
      <c r="C53" s="4"/>
      <c r="D53" s="4"/>
      <c r="E53" s="4"/>
      <c r="F53" s="33"/>
    </row>
    <row r="54" spans="1:6" ht="15">
      <c r="A54" s="7" t="s">
        <v>52</v>
      </c>
      <c r="B54" s="3">
        <v>0</v>
      </c>
      <c r="C54" s="4">
        <v>-11911</v>
      </c>
      <c r="D54" s="4">
        <v>0</v>
      </c>
      <c r="E54" s="4">
        <f t="shared" si="0"/>
        <v>-11911</v>
      </c>
      <c r="F54" s="33">
        <v>0</v>
      </c>
    </row>
    <row r="55" spans="1:6" ht="15">
      <c r="A55" s="8" t="s">
        <v>43</v>
      </c>
      <c r="B55" s="34">
        <f>350055+749945</f>
        <v>1100000</v>
      </c>
      <c r="C55" s="35">
        <v>830526</v>
      </c>
      <c r="D55" s="35">
        <f>152102+122789</f>
        <v>274891</v>
      </c>
      <c r="E55" s="35">
        <f t="shared" si="0"/>
        <v>2205417</v>
      </c>
      <c r="F55" s="42">
        <v>2126304</v>
      </c>
    </row>
    <row r="56" spans="1:6" ht="15.75" thickBot="1">
      <c r="A56" s="18" t="s">
        <v>53</v>
      </c>
      <c r="B56" s="19">
        <f>SUM(B54:B55)</f>
        <v>1100000</v>
      </c>
      <c r="C56" s="20">
        <f>SUM(C54:C55)</f>
        <v>818615</v>
      </c>
      <c r="D56" s="20">
        <f>SUM(D54:D55)</f>
        <v>274891</v>
      </c>
      <c r="E56" s="20">
        <f t="shared" si="0"/>
        <v>2193506</v>
      </c>
      <c r="F56" s="39">
        <f>SUM(F54:F55)</f>
        <v>2126304</v>
      </c>
    </row>
    <row r="57" spans="1:6" ht="15.75" thickTop="1">
      <c r="A57" s="27" t="s">
        <v>54</v>
      </c>
      <c r="B57" s="28">
        <f>+B44+B51+B56</f>
        <v>66480606.51</v>
      </c>
      <c r="C57" s="29">
        <f>+C56+C51+C44</f>
        <v>28743879</v>
      </c>
      <c r="D57" s="30">
        <f>+D56+D51+D44</f>
        <v>19903814.29</v>
      </c>
      <c r="E57" s="30">
        <f t="shared" si="0"/>
        <v>115128299.79999998</v>
      </c>
      <c r="F57" s="31">
        <f>+F56+F51+F44</f>
        <v>105635640</v>
      </c>
    </row>
    <row r="58" spans="1:6" ht="15">
      <c r="A58" s="6"/>
      <c r="B58" s="3"/>
      <c r="C58" s="4"/>
      <c r="D58" s="4"/>
      <c r="E58" s="4"/>
      <c r="F58" s="33"/>
    </row>
    <row r="59" spans="1:6" ht="15.75" thickBot="1">
      <c r="A59" s="21" t="s">
        <v>55</v>
      </c>
      <c r="B59" s="22">
        <f>+B29-B57</f>
        <v>0.09000000357627869</v>
      </c>
      <c r="C59" s="23">
        <f>+C29-C57</f>
        <v>0</v>
      </c>
      <c r="D59" s="23">
        <f>+D29-D57</f>
        <v>0.009999997913837433</v>
      </c>
      <c r="E59" s="24">
        <f>+E29-E57</f>
        <v>0.10000000894069672</v>
      </c>
      <c r="F59" s="40">
        <f>+F29-F57</f>
        <v>0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showGridLines="0" zoomScalePageLayoutView="0" workbookViewId="0" topLeftCell="A1">
      <selection activeCell="I9" sqref="I9"/>
    </sheetView>
  </sheetViews>
  <sheetFormatPr defaultColWidth="9.140625" defaultRowHeight="15"/>
  <cols>
    <col min="1" max="1" width="44.7109375" style="0" customWidth="1"/>
    <col min="2" max="6" width="15.7109375" style="0" customWidth="1"/>
  </cols>
  <sheetData>
    <row r="1" spans="1:6" ht="15.75">
      <c r="A1" s="62" t="s">
        <v>57</v>
      </c>
      <c r="B1" s="62"/>
      <c r="C1" s="62"/>
      <c r="D1" s="62"/>
      <c r="E1" s="62"/>
      <c r="F1" s="62"/>
    </row>
    <row r="2" spans="1:6" ht="15.75">
      <c r="A2" s="62" t="s">
        <v>76</v>
      </c>
      <c r="B2" s="62"/>
      <c r="C2" s="62"/>
      <c r="D2" s="62"/>
      <c r="E2" s="62"/>
      <c r="F2" s="62"/>
    </row>
    <row r="3" spans="1:6" ht="15.75">
      <c r="A3" s="66" t="s">
        <v>79</v>
      </c>
      <c r="B3" s="66"/>
      <c r="C3" s="66"/>
      <c r="D3" s="66"/>
      <c r="E3" s="66"/>
      <c r="F3" s="66"/>
    </row>
    <row r="4" spans="1:6" ht="16.5" thickBot="1">
      <c r="A4" s="67"/>
      <c r="B4" s="67"/>
      <c r="C4" s="67"/>
      <c r="D4" s="67"/>
      <c r="E4" s="67"/>
      <c r="F4" s="67"/>
    </row>
    <row r="5" spans="1:6" ht="42" customHeight="1" thickBot="1">
      <c r="A5" s="68" t="s">
        <v>2</v>
      </c>
      <c r="B5" s="69" t="s">
        <v>3</v>
      </c>
      <c r="C5" s="70" t="s">
        <v>4</v>
      </c>
      <c r="D5" s="70" t="s">
        <v>5</v>
      </c>
      <c r="E5" s="70" t="s">
        <v>6</v>
      </c>
      <c r="F5" s="71" t="s">
        <v>7</v>
      </c>
    </row>
    <row r="6" spans="1:6" ht="15">
      <c r="A6" s="2" t="s">
        <v>8</v>
      </c>
      <c r="B6" s="3"/>
      <c r="C6" s="4"/>
      <c r="D6" s="4"/>
      <c r="E6" s="4"/>
      <c r="F6" s="33"/>
    </row>
    <row r="7" spans="1:6" ht="15">
      <c r="A7" s="6" t="s">
        <v>9</v>
      </c>
      <c r="B7" s="3"/>
      <c r="C7" s="4"/>
      <c r="D7" s="4"/>
      <c r="E7" s="4"/>
      <c r="F7" s="33"/>
    </row>
    <row r="8" spans="1:6" ht="15">
      <c r="A8" s="7" t="s">
        <v>10</v>
      </c>
      <c r="B8" s="3">
        <v>15413397</v>
      </c>
      <c r="C8" s="4"/>
      <c r="D8" s="4"/>
      <c r="E8" s="4">
        <f aca="true" t="shared" si="0" ref="E8:E57">+B8+C8+D8</f>
        <v>15413397</v>
      </c>
      <c r="F8" s="33">
        <v>15349751</v>
      </c>
    </row>
    <row r="9" spans="1:6" ht="15">
      <c r="A9" s="7" t="s">
        <v>11</v>
      </c>
      <c r="B9" s="3">
        <v>58335761</v>
      </c>
      <c r="C9" s="4"/>
      <c r="D9" s="4"/>
      <c r="E9" s="4">
        <f t="shared" si="0"/>
        <v>58335761</v>
      </c>
      <c r="F9" s="33">
        <f>56769917</f>
        <v>56769917</v>
      </c>
    </row>
    <row r="10" spans="1:6" ht="15">
      <c r="A10" s="7" t="s">
        <v>12</v>
      </c>
      <c r="B10" s="3">
        <v>13976843</v>
      </c>
      <c r="C10" s="4"/>
      <c r="D10" s="4"/>
      <c r="E10" s="4">
        <f t="shared" si="0"/>
        <v>13976843</v>
      </c>
      <c r="F10" s="33">
        <f>13601678</f>
        <v>13601678</v>
      </c>
    </row>
    <row r="11" spans="1:6" ht="15">
      <c r="A11" s="7" t="s">
        <v>13</v>
      </c>
      <c r="B11" s="3"/>
      <c r="C11" s="4">
        <f>9706444</f>
        <v>9706444</v>
      </c>
      <c r="D11" s="4"/>
      <c r="E11" s="4">
        <f t="shared" si="0"/>
        <v>9706444</v>
      </c>
      <c r="F11" s="33">
        <f>9445904</f>
        <v>9445904</v>
      </c>
    </row>
    <row r="12" spans="1:6" ht="15">
      <c r="A12" s="8" t="s">
        <v>14</v>
      </c>
      <c r="B12" s="34">
        <v>4824917</v>
      </c>
      <c r="C12" s="35">
        <f>2695141</f>
        <v>2695141</v>
      </c>
      <c r="D12" s="35"/>
      <c r="E12" s="35">
        <f t="shared" si="0"/>
        <v>7520058</v>
      </c>
      <c r="F12" s="42">
        <f>6359048</f>
        <v>6359048</v>
      </c>
    </row>
    <row r="13" spans="1:6" ht="15">
      <c r="A13" s="9" t="s">
        <v>15</v>
      </c>
      <c r="B13" s="10">
        <f>SUM(B8:B12)</f>
        <v>92550918</v>
      </c>
      <c r="C13" s="11">
        <f>SUM(C8:C12)</f>
        <v>12401585</v>
      </c>
      <c r="D13" s="11">
        <f>SUM(D8:D12)</f>
        <v>0</v>
      </c>
      <c r="E13" s="11">
        <f t="shared" si="0"/>
        <v>104952503</v>
      </c>
      <c r="F13" s="36">
        <f>SUM(F8:F12)</f>
        <v>101526298</v>
      </c>
    </row>
    <row r="14" spans="1:6" ht="15">
      <c r="A14" s="6" t="s">
        <v>16</v>
      </c>
      <c r="B14" s="3"/>
      <c r="C14" s="4"/>
      <c r="D14" s="4">
        <f>-17021</f>
        <v>-17021</v>
      </c>
      <c r="E14" s="4">
        <f t="shared" si="0"/>
        <v>-17021</v>
      </c>
      <c r="F14" s="33">
        <v>2800</v>
      </c>
    </row>
    <row r="15" spans="1:6" ht="15">
      <c r="A15" s="6" t="s">
        <v>17</v>
      </c>
      <c r="B15" s="3"/>
      <c r="C15" s="4"/>
      <c r="D15" s="4"/>
      <c r="E15" s="4"/>
      <c r="F15" s="33"/>
    </row>
    <row r="16" spans="1:6" ht="15">
      <c r="A16" s="7" t="s">
        <v>18</v>
      </c>
      <c r="B16" s="3"/>
      <c r="C16" s="4"/>
      <c r="D16" s="4">
        <f>18621091-2200000</f>
        <v>16421091</v>
      </c>
      <c r="E16" s="4">
        <f t="shared" si="0"/>
        <v>16421091</v>
      </c>
      <c r="F16" s="33">
        <f>18621091-2400000</f>
        <v>16221091</v>
      </c>
    </row>
    <row r="17" spans="1:6" ht="15">
      <c r="A17" s="7" t="s">
        <v>19</v>
      </c>
      <c r="B17" s="3"/>
      <c r="C17" s="4"/>
      <c r="D17" s="4">
        <f>11566001-1208388</f>
        <v>10357613</v>
      </c>
      <c r="E17" s="4">
        <f t="shared" si="0"/>
        <v>10357613</v>
      </c>
      <c r="F17" s="33">
        <f>8631344</f>
        <v>8631344</v>
      </c>
    </row>
    <row r="18" spans="1:6" ht="15">
      <c r="A18" s="7" t="s">
        <v>20</v>
      </c>
      <c r="B18" s="3"/>
      <c r="C18" s="4"/>
      <c r="D18" s="4"/>
      <c r="E18" s="4"/>
      <c r="F18" s="33"/>
    </row>
    <row r="19" spans="1:6" ht="15">
      <c r="A19" s="8" t="s">
        <v>21</v>
      </c>
      <c r="B19" s="34">
        <v>15870784</v>
      </c>
      <c r="C19" s="35"/>
      <c r="D19" s="35"/>
      <c r="E19" s="35">
        <f t="shared" si="0"/>
        <v>15870784</v>
      </c>
      <c r="F19" s="42">
        <f>12001166</f>
        <v>12001166</v>
      </c>
    </row>
    <row r="20" spans="1:6" ht="15">
      <c r="A20" s="9" t="s">
        <v>22</v>
      </c>
      <c r="B20" s="10">
        <f>SUM(B14:B19)</f>
        <v>15870784</v>
      </c>
      <c r="C20" s="11">
        <f>SUM(C14:C19)</f>
        <v>0</v>
      </c>
      <c r="D20" s="11">
        <f>SUM(D14:D19)</f>
        <v>26761683</v>
      </c>
      <c r="E20" s="11">
        <f t="shared" si="0"/>
        <v>42632467</v>
      </c>
      <c r="F20" s="36">
        <f>SUM(F14:F19)</f>
        <v>36856401</v>
      </c>
    </row>
    <row r="21" spans="1:6" ht="15">
      <c r="A21" s="6" t="s">
        <v>23</v>
      </c>
      <c r="B21" s="3"/>
      <c r="C21" s="4"/>
      <c r="D21" s="4">
        <f>2923961+2885129</f>
        <v>5809090</v>
      </c>
      <c r="E21" s="4">
        <f t="shared" si="0"/>
        <v>5809090</v>
      </c>
      <c r="F21" s="33">
        <f>2658146+2510085</f>
        <v>5168231</v>
      </c>
    </row>
    <row r="22" spans="1:6" ht="15">
      <c r="A22" s="6" t="s">
        <v>24</v>
      </c>
      <c r="B22" s="3"/>
      <c r="C22" s="4">
        <f>599831</f>
        <v>599831</v>
      </c>
      <c r="D22" s="4"/>
      <c r="E22" s="4">
        <f t="shared" si="0"/>
        <v>599831</v>
      </c>
      <c r="F22" s="33">
        <f>555399</f>
        <v>555399</v>
      </c>
    </row>
    <row r="23" spans="1:6" ht="15">
      <c r="A23" s="6" t="s">
        <v>25</v>
      </c>
      <c r="B23" s="3"/>
      <c r="C23" s="4">
        <v>394796</v>
      </c>
      <c r="D23" s="4"/>
      <c r="E23" s="4">
        <f t="shared" si="0"/>
        <v>394796</v>
      </c>
      <c r="F23" s="33">
        <f>355672</f>
        <v>355672</v>
      </c>
    </row>
    <row r="24" spans="1:6" ht="15">
      <c r="A24" s="6" t="s">
        <v>26</v>
      </c>
      <c r="B24" s="3"/>
      <c r="C24" s="4"/>
      <c r="D24" s="4">
        <v>0</v>
      </c>
      <c r="E24" s="4">
        <f t="shared" si="0"/>
        <v>0</v>
      </c>
      <c r="F24" s="33"/>
    </row>
    <row r="25" spans="1:6" ht="15">
      <c r="A25" s="6" t="s">
        <v>27</v>
      </c>
      <c r="B25" s="3"/>
      <c r="C25" s="4"/>
      <c r="D25" s="4"/>
      <c r="E25" s="4"/>
      <c r="F25" s="33"/>
    </row>
    <row r="26" spans="1:6" ht="15">
      <c r="A26" s="7" t="s">
        <v>28</v>
      </c>
      <c r="B26" s="3">
        <v>2200000</v>
      </c>
      <c r="C26" s="4"/>
      <c r="D26" s="4"/>
      <c r="E26" s="4">
        <f t="shared" si="0"/>
        <v>2200000</v>
      </c>
      <c r="F26" s="33">
        <f>2400000</f>
        <v>2400000</v>
      </c>
    </row>
    <row r="27" spans="1:6" ht="15">
      <c r="A27" s="7" t="s">
        <v>29</v>
      </c>
      <c r="B27" s="3">
        <v>4120247</v>
      </c>
      <c r="C27" s="4"/>
      <c r="D27" s="4"/>
      <c r="E27" s="4">
        <f t="shared" si="0"/>
        <v>4120247</v>
      </c>
      <c r="F27" s="33">
        <f>3924045</f>
        <v>3924045</v>
      </c>
    </row>
    <row r="28" spans="1:6" ht="15.75" thickBot="1">
      <c r="A28" s="12" t="s">
        <v>30</v>
      </c>
      <c r="B28" s="37">
        <v>4585300</v>
      </c>
      <c r="C28" s="32">
        <f>4097672</f>
        <v>4097672</v>
      </c>
      <c r="D28" s="32">
        <f>440883</f>
        <v>440883</v>
      </c>
      <c r="E28" s="32">
        <f t="shared" si="0"/>
        <v>9123855</v>
      </c>
      <c r="F28" s="43">
        <f>6935283</f>
        <v>6935283</v>
      </c>
    </row>
    <row r="29" spans="1:6" ht="15.75" thickTop="1">
      <c r="A29" s="27" t="s">
        <v>31</v>
      </c>
      <c r="B29" s="28">
        <f>+B28+B27+B26+B24+B23+B22+B21+B20+B13</f>
        <v>119327249</v>
      </c>
      <c r="C29" s="29">
        <f>+C28+C27+C26+C24+C23+C22+C21+C20+C13</f>
        <v>17493884</v>
      </c>
      <c r="D29" s="30">
        <f>+D28+D27+D26+D24+D23+D22+D21+D20+D13</f>
        <v>33011656</v>
      </c>
      <c r="E29" s="30">
        <f t="shared" si="0"/>
        <v>169832789</v>
      </c>
      <c r="F29" s="31">
        <f>+F28+F27+F26+F24+F23+F22+F21+F20+F13</f>
        <v>157721329</v>
      </c>
    </row>
    <row r="30" spans="1:6" ht="15">
      <c r="A30" s="6"/>
      <c r="B30" s="3"/>
      <c r="C30" s="4"/>
      <c r="D30" s="4"/>
      <c r="E30" s="4"/>
      <c r="F30" s="33"/>
    </row>
    <row r="31" spans="1:6" ht="15">
      <c r="A31" s="2" t="s">
        <v>32</v>
      </c>
      <c r="B31" s="3"/>
      <c r="C31" s="4"/>
      <c r="D31" s="4"/>
      <c r="E31" s="4"/>
      <c r="F31" s="33"/>
    </row>
    <row r="32" spans="1:6" ht="15">
      <c r="A32" s="6" t="s">
        <v>33</v>
      </c>
      <c r="B32" s="3"/>
      <c r="C32" s="4"/>
      <c r="D32" s="4"/>
      <c r="E32" s="4">
        <f t="shared" si="0"/>
        <v>0</v>
      </c>
      <c r="F32" s="33"/>
    </row>
    <row r="33" spans="1:6" ht="15">
      <c r="A33" s="7" t="s">
        <v>34</v>
      </c>
      <c r="B33" s="3">
        <f>69486015-4710146-151250</f>
        <v>64624619</v>
      </c>
      <c r="C33" s="4">
        <f>8733278-11110-49794+662214</f>
        <v>9334588</v>
      </c>
      <c r="D33" s="4">
        <f>8115681-1208388+4710146</f>
        <v>11617439</v>
      </c>
      <c r="E33" s="4">
        <f t="shared" si="0"/>
        <v>85576646</v>
      </c>
      <c r="F33" s="33">
        <f>75012046+1+350079</f>
        <v>75362126</v>
      </c>
    </row>
    <row r="34" spans="1:6" ht="15">
      <c r="A34" s="7" t="s">
        <v>35</v>
      </c>
      <c r="B34" s="3">
        <f>46010</f>
        <v>46010</v>
      </c>
      <c r="C34" s="4"/>
      <c r="D34" s="4">
        <f>5216732</f>
        <v>5216732</v>
      </c>
      <c r="E34" s="4">
        <f t="shared" si="0"/>
        <v>5262742</v>
      </c>
      <c r="F34" s="33">
        <f>5190141</f>
        <v>5190141</v>
      </c>
    </row>
    <row r="35" spans="1:6" ht="15">
      <c r="A35" s="7" t="s">
        <v>36</v>
      </c>
      <c r="B35" s="3">
        <f>268391</f>
        <v>268391</v>
      </c>
      <c r="C35" s="4">
        <f>1538576</f>
        <v>1538576</v>
      </c>
      <c r="D35" s="4">
        <f>4269329</f>
        <v>4269329</v>
      </c>
      <c r="E35" s="4">
        <f t="shared" si="0"/>
        <v>6076296</v>
      </c>
      <c r="F35" s="33">
        <f>3417994</f>
        <v>3417994</v>
      </c>
    </row>
    <row r="36" spans="1:6" ht="15">
      <c r="A36" s="7" t="s">
        <v>37</v>
      </c>
      <c r="B36" s="3">
        <v>19149488</v>
      </c>
      <c r="C36" s="4">
        <f>197498</f>
        <v>197498</v>
      </c>
      <c r="D36" s="4">
        <f>90270</f>
        <v>90270</v>
      </c>
      <c r="E36" s="4">
        <f t="shared" si="0"/>
        <v>19437256</v>
      </c>
      <c r="F36" s="33">
        <f>18528329</f>
        <v>18528329</v>
      </c>
    </row>
    <row r="37" spans="1:6" ht="15">
      <c r="A37" s="7" t="s">
        <v>38</v>
      </c>
      <c r="B37" s="3">
        <f>6352259</f>
        <v>6352259</v>
      </c>
      <c r="C37" s="4">
        <f>4078937</f>
        <v>4078937</v>
      </c>
      <c r="D37" s="4">
        <f>549668</f>
        <v>549668</v>
      </c>
      <c r="E37" s="4">
        <f t="shared" si="0"/>
        <v>10980864</v>
      </c>
      <c r="F37" s="33">
        <f>10391366</f>
        <v>10391366</v>
      </c>
    </row>
    <row r="38" spans="1:6" ht="15">
      <c r="A38" s="7" t="s">
        <v>39</v>
      </c>
      <c r="B38" s="3">
        <f>7959173</f>
        <v>7959173</v>
      </c>
      <c r="C38" s="4">
        <f>63812</f>
        <v>63812</v>
      </c>
      <c r="D38" s="4">
        <f>29678</f>
        <v>29678</v>
      </c>
      <c r="E38" s="4">
        <f t="shared" si="0"/>
        <v>8052663</v>
      </c>
      <c r="F38" s="33">
        <f>7923557</f>
        <v>7923557</v>
      </c>
    </row>
    <row r="39" spans="1:6" ht="15">
      <c r="A39" s="7" t="s">
        <v>40</v>
      </c>
      <c r="B39" s="3">
        <f>10378126</f>
        <v>10378126</v>
      </c>
      <c r="C39" s="4">
        <f>50217</f>
        <v>50217</v>
      </c>
      <c r="D39" s="4"/>
      <c r="E39" s="4">
        <f t="shared" si="0"/>
        <v>10428343</v>
      </c>
      <c r="F39" s="33">
        <f>9906926</f>
        <v>9906926</v>
      </c>
    </row>
    <row r="40" spans="1:6" ht="15">
      <c r="A40" s="7" t="s">
        <v>78</v>
      </c>
      <c r="B40" s="3">
        <f>5543097+151250</f>
        <v>5694347</v>
      </c>
      <c r="C40" s="4">
        <f>75067</f>
        <v>75067</v>
      </c>
      <c r="D40" s="4">
        <f>1700781+14591056-4710146</f>
        <v>11581691</v>
      </c>
      <c r="E40" s="4">
        <f t="shared" si="0"/>
        <v>17351105</v>
      </c>
      <c r="F40" s="33">
        <f>2582969+14288846</f>
        <v>16871815</v>
      </c>
    </row>
    <row r="41" spans="1:6" ht="15">
      <c r="A41" s="6" t="s">
        <v>42</v>
      </c>
      <c r="B41" s="3"/>
      <c r="C41" s="4">
        <f>144848</f>
        <v>144848</v>
      </c>
      <c r="D41" s="4">
        <f>56515</f>
        <v>56515</v>
      </c>
      <c r="E41" s="4">
        <f t="shared" si="0"/>
        <v>201363</v>
      </c>
      <c r="F41" s="33">
        <f>166579</f>
        <v>166579</v>
      </c>
    </row>
    <row r="42" spans="1:6" ht="15">
      <c r="A42" s="6" t="s">
        <v>26</v>
      </c>
      <c r="B42" s="3"/>
      <c r="C42" s="4"/>
      <c r="D42" s="4">
        <v>0</v>
      </c>
      <c r="E42" s="4">
        <f t="shared" si="0"/>
        <v>0</v>
      </c>
      <c r="F42" s="33"/>
    </row>
    <row r="43" spans="1:6" ht="15.75" thickBot="1">
      <c r="A43" s="13" t="s">
        <v>43</v>
      </c>
      <c r="B43" s="37">
        <f>58459</f>
        <v>58459</v>
      </c>
      <c r="C43" s="32"/>
      <c r="D43" s="32"/>
      <c r="E43" s="32">
        <f t="shared" si="0"/>
        <v>58459</v>
      </c>
      <c r="F43" s="43"/>
    </row>
    <row r="44" spans="1:6" ht="15.75" thickTop="1">
      <c r="A44" s="27" t="s">
        <v>44</v>
      </c>
      <c r="B44" s="28">
        <f>SUM(B33:B43)</f>
        <v>114530872</v>
      </c>
      <c r="C44" s="29">
        <f>SUM(C33:C43)</f>
        <v>15483543</v>
      </c>
      <c r="D44" s="30">
        <f>SUM(D33:D43)</f>
        <v>33411322</v>
      </c>
      <c r="E44" s="30">
        <f t="shared" si="0"/>
        <v>163425737</v>
      </c>
      <c r="F44" s="31">
        <f>SUM(F33:F43)</f>
        <v>147758833</v>
      </c>
    </row>
    <row r="45" spans="1:6" ht="15">
      <c r="A45" s="6"/>
      <c r="B45" s="3"/>
      <c r="C45" s="4"/>
      <c r="D45" s="4"/>
      <c r="E45" s="4"/>
      <c r="F45" s="33"/>
    </row>
    <row r="46" spans="1:6" ht="15">
      <c r="A46" s="2" t="s">
        <v>45</v>
      </c>
      <c r="B46" s="3"/>
      <c r="C46" s="4"/>
      <c r="D46" s="4"/>
      <c r="E46" s="4"/>
      <c r="F46" s="33"/>
    </row>
    <row r="47" spans="1:6" ht="15">
      <c r="A47" s="6" t="s">
        <v>46</v>
      </c>
      <c r="B47" s="3"/>
      <c r="C47" s="4"/>
      <c r="D47" s="4"/>
      <c r="E47" s="4"/>
      <c r="F47" s="33"/>
    </row>
    <row r="48" spans="1:6" ht="15">
      <c r="A48" s="7" t="s">
        <v>47</v>
      </c>
      <c r="B48" s="3">
        <f>607083+1636227</f>
        <v>2243310</v>
      </c>
      <c r="C48" s="4">
        <f>11110</f>
        <v>11110</v>
      </c>
      <c r="D48" s="4"/>
      <c r="E48" s="4">
        <f t="shared" si="0"/>
        <v>2254420</v>
      </c>
      <c r="F48" s="33">
        <f>809712+1541279</f>
        <v>2350991</v>
      </c>
    </row>
    <row r="49" spans="1:6" ht="15">
      <c r="A49" s="7" t="s">
        <v>48</v>
      </c>
      <c r="B49" s="3"/>
      <c r="C49" s="4"/>
      <c r="D49" s="4"/>
      <c r="E49" s="4">
        <f t="shared" si="0"/>
        <v>0</v>
      </c>
      <c r="F49" s="33"/>
    </row>
    <row r="50" spans="1:6" ht="15">
      <c r="A50" s="8" t="s">
        <v>49</v>
      </c>
      <c r="B50" s="34">
        <f>310000</f>
        <v>310000</v>
      </c>
      <c r="C50" s="35"/>
      <c r="D50" s="35"/>
      <c r="E50" s="35">
        <f t="shared" si="0"/>
        <v>310000</v>
      </c>
      <c r="F50" s="42">
        <f>310000</f>
        <v>310000</v>
      </c>
    </row>
    <row r="51" spans="1:6" ht="15">
      <c r="A51" s="9" t="s">
        <v>50</v>
      </c>
      <c r="B51" s="10">
        <f>SUM(B48:B50)</f>
        <v>2553310</v>
      </c>
      <c r="C51" s="11">
        <f>SUM(C48:C50)</f>
        <v>11110</v>
      </c>
      <c r="D51" s="11">
        <f>SUM(D48:D50)</f>
        <v>0</v>
      </c>
      <c r="E51" s="11">
        <f t="shared" si="0"/>
        <v>2564420</v>
      </c>
      <c r="F51" s="36">
        <f>SUM(F48:F50)</f>
        <v>2660991</v>
      </c>
    </row>
    <row r="52" spans="1:6" ht="15">
      <c r="A52" s="6"/>
      <c r="B52" s="3"/>
      <c r="C52" s="4"/>
      <c r="D52" s="4"/>
      <c r="E52" s="4"/>
      <c r="F52" s="33"/>
    </row>
    <row r="53" spans="1:6" ht="15">
      <c r="A53" s="6" t="s">
        <v>51</v>
      </c>
      <c r="B53" s="3"/>
      <c r="C53" s="4"/>
      <c r="D53" s="4"/>
      <c r="E53" s="4"/>
      <c r="F53" s="33"/>
    </row>
    <row r="54" spans="1:6" ht="15">
      <c r="A54" s="7" t="s">
        <v>52</v>
      </c>
      <c r="B54" s="3"/>
      <c r="C54" s="4"/>
      <c r="D54" s="4"/>
      <c r="E54" s="4">
        <f t="shared" si="0"/>
        <v>0</v>
      </c>
      <c r="F54" s="33"/>
    </row>
    <row r="55" spans="1:6" ht="15">
      <c r="A55" s="8" t="s">
        <v>43</v>
      </c>
      <c r="B55" s="34">
        <f>2243067</f>
        <v>2243067</v>
      </c>
      <c r="C55" s="35">
        <v>1999231</v>
      </c>
      <c r="D55" s="35">
        <v>-399666</v>
      </c>
      <c r="E55" s="35">
        <f t="shared" si="0"/>
        <v>3842632</v>
      </c>
      <c r="F55" s="42">
        <f>7301505</f>
        <v>7301505</v>
      </c>
    </row>
    <row r="56" spans="1:6" ht="15.75" thickBot="1">
      <c r="A56" s="44" t="s">
        <v>53</v>
      </c>
      <c r="B56" s="45">
        <f>SUM(B54:B55)</f>
        <v>2243067</v>
      </c>
      <c r="C56" s="46">
        <f>SUM(C54:C55)</f>
        <v>1999231</v>
      </c>
      <c r="D56" s="46">
        <f>SUM(D54:D55)</f>
        <v>-399666</v>
      </c>
      <c r="E56" s="46">
        <f t="shared" si="0"/>
        <v>3842632</v>
      </c>
      <c r="F56" s="47">
        <f>SUM(F54:F55)</f>
        <v>7301505</v>
      </c>
    </row>
    <row r="57" spans="1:6" ht="15.75" thickTop="1">
      <c r="A57" s="27" t="s">
        <v>54</v>
      </c>
      <c r="B57" s="28">
        <f>+B44+B51+B56</f>
        <v>119327249</v>
      </c>
      <c r="C57" s="29">
        <f>+C56+C51+C44</f>
        <v>17493884</v>
      </c>
      <c r="D57" s="30">
        <f>+D56+D51+D44</f>
        <v>33011656</v>
      </c>
      <c r="E57" s="30">
        <f t="shared" si="0"/>
        <v>169832789</v>
      </c>
      <c r="F57" s="31">
        <f>+F56+F51+F44</f>
        <v>157721329</v>
      </c>
    </row>
    <row r="58" spans="1:6" ht="15">
      <c r="A58" s="6"/>
      <c r="B58" s="3"/>
      <c r="C58" s="4"/>
      <c r="D58" s="4"/>
      <c r="E58" s="4"/>
      <c r="F58" s="33"/>
    </row>
    <row r="59" spans="1:6" ht="15.75" thickBot="1">
      <c r="A59" s="21" t="s">
        <v>55</v>
      </c>
      <c r="B59" s="22">
        <f>+B29-B57</f>
        <v>0</v>
      </c>
      <c r="C59" s="23">
        <f>+C29-C57</f>
        <v>0</v>
      </c>
      <c r="D59" s="23">
        <f>+D29-D57</f>
        <v>0</v>
      </c>
      <c r="E59" s="24">
        <f>+E29-E57</f>
        <v>0</v>
      </c>
      <c r="F59" s="40">
        <f>+F29-F57</f>
        <v>0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showGridLines="0" zoomScalePageLayoutView="0" workbookViewId="0" topLeftCell="A1">
      <selection activeCell="H5" sqref="H5"/>
    </sheetView>
  </sheetViews>
  <sheetFormatPr defaultColWidth="9.140625" defaultRowHeight="15"/>
  <cols>
    <col min="1" max="1" width="44.7109375" style="0" customWidth="1"/>
    <col min="2" max="6" width="15.7109375" style="0" customWidth="1"/>
  </cols>
  <sheetData>
    <row r="1" spans="1:6" ht="15.75">
      <c r="A1" s="62" t="s">
        <v>57</v>
      </c>
      <c r="B1" s="62"/>
      <c r="C1" s="62"/>
      <c r="D1" s="62"/>
      <c r="E1" s="62"/>
      <c r="F1" s="62"/>
    </row>
    <row r="2" spans="1:6" ht="15.75">
      <c r="A2" s="62" t="s">
        <v>77</v>
      </c>
      <c r="B2" s="62"/>
      <c r="C2" s="62"/>
      <c r="D2" s="62"/>
      <c r="E2" s="62"/>
      <c r="F2" s="62"/>
    </row>
    <row r="3" spans="1:6" ht="15.75">
      <c r="A3" s="63" t="s">
        <v>80</v>
      </c>
      <c r="B3" s="63"/>
      <c r="C3" s="63"/>
      <c r="D3" s="63"/>
      <c r="E3" s="63"/>
      <c r="F3" s="63"/>
    </row>
    <row r="4" spans="1:6" ht="16.5" thickBot="1">
      <c r="A4" s="67"/>
      <c r="B4" s="67"/>
      <c r="C4" s="67"/>
      <c r="D4" s="67"/>
      <c r="E4" s="67"/>
      <c r="F4" s="67"/>
    </row>
    <row r="5" spans="1:6" ht="39.75" customHeight="1" thickBot="1">
      <c r="A5" s="72" t="s">
        <v>2</v>
      </c>
      <c r="B5" s="73" t="s">
        <v>3</v>
      </c>
      <c r="C5" s="74" t="s">
        <v>4</v>
      </c>
      <c r="D5" s="74" t="s">
        <v>5</v>
      </c>
      <c r="E5" s="74" t="s">
        <v>6</v>
      </c>
      <c r="F5" s="75" t="s">
        <v>7</v>
      </c>
    </row>
    <row r="6" spans="1:6" ht="15">
      <c r="A6" s="2" t="s">
        <v>8</v>
      </c>
      <c r="B6" s="3"/>
      <c r="C6" s="4"/>
      <c r="D6" s="4"/>
      <c r="E6" s="4"/>
      <c r="F6" s="33"/>
    </row>
    <row r="7" spans="1:6" ht="15">
      <c r="A7" s="6" t="s">
        <v>9</v>
      </c>
      <c r="B7" s="3"/>
      <c r="C7" s="4"/>
      <c r="D7" s="4"/>
      <c r="E7" s="4"/>
      <c r="F7" s="33"/>
    </row>
    <row r="8" spans="1:6" ht="15">
      <c r="A8" s="7" t="s">
        <v>10</v>
      </c>
      <c r="B8" s="3">
        <v>1184033</v>
      </c>
      <c r="C8" s="4"/>
      <c r="D8" s="4"/>
      <c r="E8" s="4">
        <v>1184033</v>
      </c>
      <c r="F8" s="33">
        <v>1181824</v>
      </c>
    </row>
    <row r="9" spans="1:6" ht="15">
      <c r="A9" s="7" t="s">
        <v>11</v>
      </c>
      <c r="B9" s="3">
        <v>31784975</v>
      </c>
      <c r="C9" s="4"/>
      <c r="D9" s="4"/>
      <c r="E9" s="4">
        <v>31784975</v>
      </c>
      <c r="F9" s="33">
        <v>30053107</v>
      </c>
    </row>
    <row r="10" spans="1:6" ht="15">
      <c r="A10" s="7" t="s">
        <v>12</v>
      </c>
      <c r="B10" s="3">
        <v>6411589</v>
      </c>
      <c r="C10" s="4"/>
      <c r="D10" s="4"/>
      <c r="E10" s="4">
        <v>6411589</v>
      </c>
      <c r="F10" s="33">
        <v>6062241</v>
      </c>
    </row>
    <row r="11" spans="1:6" ht="15">
      <c r="A11" s="7" t="s">
        <v>13</v>
      </c>
      <c r="B11" s="3"/>
      <c r="C11" s="4">
        <v>7386993</v>
      </c>
      <c r="D11" s="4"/>
      <c r="E11" s="4">
        <v>7386993</v>
      </c>
      <c r="F11" s="33">
        <v>6984498</v>
      </c>
    </row>
    <row r="12" spans="1:6" ht="15">
      <c r="A12" s="8" t="s">
        <v>14</v>
      </c>
      <c r="B12" s="34">
        <v>3903085</v>
      </c>
      <c r="C12" s="35">
        <v>416987</v>
      </c>
      <c r="D12" s="35"/>
      <c r="E12" s="35">
        <v>4320072</v>
      </c>
      <c r="F12" s="42">
        <v>4046005</v>
      </c>
    </row>
    <row r="13" spans="1:6" ht="15">
      <c r="A13" s="9" t="s">
        <v>15</v>
      </c>
      <c r="B13" s="10">
        <v>43283682</v>
      </c>
      <c r="C13" s="11">
        <v>7803980</v>
      </c>
      <c r="D13" s="11">
        <v>0</v>
      </c>
      <c r="E13" s="11">
        <v>51087662</v>
      </c>
      <c r="F13" s="36">
        <v>48327675</v>
      </c>
    </row>
    <row r="14" spans="1:6" ht="15">
      <c r="A14" s="49" t="s">
        <v>16</v>
      </c>
      <c r="B14" s="4"/>
      <c r="C14" s="4">
        <v>2127043</v>
      </c>
      <c r="D14" s="4">
        <v>1999453</v>
      </c>
      <c r="E14" s="4">
        <v>4126496</v>
      </c>
      <c r="F14" s="33">
        <v>4006306</v>
      </c>
    </row>
    <row r="15" spans="1:6" ht="15">
      <c r="A15" s="50" t="s">
        <v>17</v>
      </c>
      <c r="B15" s="4"/>
      <c r="C15" s="4"/>
      <c r="D15" s="4"/>
      <c r="E15" s="4"/>
      <c r="F15" s="33"/>
    </row>
    <row r="16" spans="1:6" ht="15">
      <c r="A16" s="51" t="s">
        <v>18</v>
      </c>
      <c r="B16" s="4"/>
      <c r="C16" s="4"/>
      <c r="D16" s="4">
        <v>178686457</v>
      </c>
      <c r="E16" s="4">
        <v>178686457</v>
      </c>
      <c r="F16" s="33">
        <v>181540943</v>
      </c>
    </row>
    <row r="17" spans="1:6" ht="15">
      <c r="A17" s="51" t="s">
        <v>19</v>
      </c>
      <c r="B17" s="4"/>
      <c r="C17" s="4"/>
      <c r="D17" s="4">
        <v>21482486</v>
      </c>
      <c r="E17" s="4">
        <v>21482486</v>
      </c>
      <c r="F17" s="33">
        <v>17524244</v>
      </c>
    </row>
    <row r="18" spans="1:6" ht="15">
      <c r="A18" s="51" t="s">
        <v>20</v>
      </c>
      <c r="B18" s="4">
        <v>8393149</v>
      </c>
      <c r="C18" s="4"/>
      <c r="D18" s="4"/>
      <c r="E18" s="4">
        <v>8393149</v>
      </c>
      <c r="F18" s="33"/>
    </row>
    <row r="19" spans="1:6" ht="15">
      <c r="A19" s="48" t="s">
        <v>21</v>
      </c>
      <c r="B19" s="35">
        <v>61368920</v>
      </c>
      <c r="C19" s="35"/>
      <c r="D19" s="35"/>
      <c r="E19" s="35">
        <v>61368920</v>
      </c>
      <c r="F19" s="42">
        <v>60171684</v>
      </c>
    </row>
    <row r="20" spans="1:6" ht="15">
      <c r="A20" s="9" t="s">
        <v>22</v>
      </c>
      <c r="B20" s="10">
        <v>69762069</v>
      </c>
      <c r="C20" s="11">
        <v>2127043</v>
      </c>
      <c r="D20" s="11">
        <v>202168396</v>
      </c>
      <c r="E20" s="11">
        <v>274057508</v>
      </c>
      <c r="F20" s="36">
        <v>263243177</v>
      </c>
    </row>
    <row r="21" spans="1:6" ht="15">
      <c r="A21" s="6" t="s">
        <v>23</v>
      </c>
      <c r="B21" s="3"/>
      <c r="C21" s="4"/>
      <c r="D21" s="4">
        <v>69899706</v>
      </c>
      <c r="E21" s="4">
        <v>69899706</v>
      </c>
      <c r="F21" s="33">
        <v>67181671</v>
      </c>
    </row>
    <row r="22" spans="1:6" ht="15">
      <c r="A22" s="6" t="s">
        <v>24</v>
      </c>
      <c r="B22" s="3"/>
      <c r="C22" s="4">
        <v>90952010</v>
      </c>
      <c r="D22" s="4"/>
      <c r="E22" s="4">
        <v>90952010</v>
      </c>
      <c r="F22" s="33">
        <v>84691074</v>
      </c>
    </row>
    <row r="23" spans="1:6" ht="15">
      <c r="A23" s="6" t="s">
        <v>25</v>
      </c>
      <c r="B23" s="3"/>
      <c r="C23" s="4">
        <v>16902380</v>
      </c>
      <c r="D23" s="4"/>
      <c r="E23" s="4">
        <v>16902380</v>
      </c>
      <c r="F23" s="33">
        <v>14049270</v>
      </c>
    </row>
    <row r="24" spans="1:6" ht="15">
      <c r="A24" s="6" t="s">
        <v>26</v>
      </c>
      <c r="B24" s="3">
        <v>1107705</v>
      </c>
      <c r="C24" s="4">
        <v>261432594</v>
      </c>
      <c r="D24" s="4"/>
      <c r="E24" s="4">
        <v>262540299</v>
      </c>
      <c r="F24" s="33">
        <v>253818052</v>
      </c>
    </row>
    <row r="25" spans="1:6" ht="15">
      <c r="A25" s="6" t="s">
        <v>27</v>
      </c>
      <c r="B25" s="3"/>
      <c r="C25" s="4"/>
      <c r="D25" s="4"/>
      <c r="E25" s="4"/>
      <c r="F25" s="33"/>
    </row>
    <row r="26" spans="1:6" ht="15">
      <c r="A26" s="7" t="s">
        <v>28</v>
      </c>
      <c r="B26" s="3">
        <v>47181778</v>
      </c>
      <c r="C26" s="4">
        <v>21526253</v>
      </c>
      <c r="D26" s="4"/>
      <c r="E26" s="4">
        <v>68708031</v>
      </c>
      <c r="F26" s="33">
        <v>65853545</v>
      </c>
    </row>
    <row r="27" spans="1:6" ht="15">
      <c r="A27" s="7" t="s">
        <v>29</v>
      </c>
      <c r="B27" s="3"/>
      <c r="C27" s="4"/>
      <c r="D27" s="4"/>
      <c r="E27" s="4">
        <v>0</v>
      </c>
      <c r="F27" s="33"/>
    </row>
    <row r="28" spans="1:6" ht="15.75" thickBot="1">
      <c r="A28" s="12" t="s">
        <v>30</v>
      </c>
      <c r="B28" s="37">
        <v>3522178</v>
      </c>
      <c r="C28" s="32">
        <v>16091094</v>
      </c>
      <c r="D28" s="32">
        <v>2898283</v>
      </c>
      <c r="E28" s="32">
        <v>22511555</v>
      </c>
      <c r="F28" s="43">
        <v>21706707</v>
      </c>
    </row>
    <row r="29" spans="1:6" ht="15.75" thickTop="1">
      <c r="A29" s="27" t="s">
        <v>31</v>
      </c>
      <c r="B29" s="28">
        <v>164857412</v>
      </c>
      <c r="C29" s="29">
        <v>416835354</v>
      </c>
      <c r="D29" s="30">
        <v>274966385</v>
      </c>
      <c r="E29" s="30">
        <v>856659151</v>
      </c>
      <c r="F29" s="31">
        <v>818871171</v>
      </c>
    </row>
    <row r="30" spans="1:6" ht="15">
      <c r="A30" s="6"/>
      <c r="B30" s="3"/>
      <c r="C30" s="4"/>
      <c r="D30" s="4"/>
      <c r="E30" s="4"/>
      <c r="F30" s="33"/>
    </row>
    <row r="31" spans="1:6" ht="15">
      <c r="A31" s="2" t="s">
        <v>32</v>
      </c>
      <c r="B31" s="3"/>
      <c r="C31" s="4"/>
      <c r="D31" s="4"/>
      <c r="E31" s="4"/>
      <c r="F31" s="33"/>
    </row>
    <row r="32" spans="1:6" ht="15">
      <c r="A32" s="6" t="s">
        <v>33</v>
      </c>
      <c r="B32" s="3"/>
      <c r="C32" s="4"/>
      <c r="D32" s="4"/>
      <c r="E32" s="4">
        <v>0</v>
      </c>
      <c r="F32" s="33"/>
    </row>
    <row r="33" spans="1:6" ht="15">
      <c r="A33" s="7" t="s">
        <v>34</v>
      </c>
      <c r="B33" s="3">
        <v>68302128</v>
      </c>
      <c r="C33" s="4">
        <v>67760996</v>
      </c>
      <c r="D33" s="4">
        <v>48183870</v>
      </c>
      <c r="E33" s="4">
        <v>184246994</v>
      </c>
      <c r="F33" s="33">
        <v>170351137</v>
      </c>
    </row>
    <row r="34" spans="1:6" ht="15">
      <c r="A34" s="7" t="s">
        <v>35</v>
      </c>
      <c r="B34" s="3">
        <v>352029</v>
      </c>
      <c r="C34" s="4">
        <v>18485</v>
      </c>
      <c r="D34" s="4">
        <v>185120153</v>
      </c>
      <c r="E34" s="4">
        <v>185490667</v>
      </c>
      <c r="F34" s="33">
        <v>187831151</v>
      </c>
    </row>
    <row r="35" spans="1:6" ht="15">
      <c r="A35" s="7" t="s">
        <v>36</v>
      </c>
      <c r="B35" s="3">
        <v>271364</v>
      </c>
      <c r="C35" s="4">
        <v>36259161</v>
      </c>
      <c r="D35" s="4">
        <v>30274606</v>
      </c>
      <c r="E35" s="4">
        <v>66805131</v>
      </c>
      <c r="F35" s="33">
        <v>67574364</v>
      </c>
    </row>
    <row r="36" spans="1:6" ht="15">
      <c r="A36" s="7" t="s">
        <v>37</v>
      </c>
      <c r="B36" s="3">
        <v>17698299</v>
      </c>
      <c r="C36" s="4">
        <v>130277</v>
      </c>
      <c r="D36" s="4">
        <v>168247</v>
      </c>
      <c r="E36" s="4">
        <v>17996823</v>
      </c>
      <c r="F36" s="33">
        <v>17103072</v>
      </c>
    </row>
    <row r="37" spans="1:6" ht="15">
      <c r="A37" s="7" t="s">
        <v>38</v>
      </c>
      <c r="B37" s="3">
        <v>4225823</v>
      </c>
      <c r="C37" s="4">
        <v>100531</v>
      </c>
      <c r="D37" s="4">
        <v>75828</v>
      </c>
      <c r="E37" s="4">
        <v>4402182</v>
      </c>
      <c r="F37" s="33">
        <v>3463789</v>
      </c>
    </row>
    <row r="38" spans="1:6" ht="15">
      <c r="A38" s="7" t="s">
        <v>39</v>
      </c>
      <c r="B38" s="3">
        <v>25785991</v>
      </c>
      <c r="C38" s="4">
        <v>275362</v>
      </c>
      <c r="D38" s="4">
        <v>1532987</v>
      </c>
      <c r="E38" s="4">
        <v>27594340</v>
      </c>
      <c r="F38" s="33">
        <v>25091262</v>
      </c>
    </row>
    <row r="39" spans="1:6" ht="15">
      <c r="A39" s="7" t="s">
        <v>40</v>
      </c>
      <c r="B39" s="3">
        <v>29359732</v>
      </c>
      <c r="C39" s="4">
        <v>12667653</v>
      </c>
      <c r="D39" s="4">
        <v>549289</v>
      </c>
      <c r="E39" s="4">
        <v>42576674</v>
      </c>
      <c r="F39" s="33">
        <v>42120023</v>
      </c>
    </row>
    <row r="40" spans="1:6" ht="15">
      <c r="A40" s="7" t="s">
        <v>78</v>
      </c>
      <c r="B40" s="3">
        <v>2300000</v>
      </c>
      <c r="C40" s="4">
        <v>145627</v>
      </c>
      <c r="D40" s="4">
        <v>6975131</v>
      </c>
      <c r="E40" s="4">
        <v>9420758</v>
      </c>
      <c r="F40" s="33">
        <v>8432856</v>
      </c>
    </row>
    <row r="41" spans="1:6" ht="15">
      <c r="A41" s="6" t="s">
        <v>42</v>
      </c>
      <c r="B41" s="3"/>
      <c r="C41" s="4">
        <v>19474379</v>
      </c>
      <c r="D41" s="4">
        <v>59294</v>
      </c>
      <c r="E41" s="4">
        <v>19533673</v>
      </c>
      <c r="F41" s="33">
        <v>16491349</v>
      </c>
    </row>
    <row r="42" spans="1:6" ht="15">
      <c r="A42" s="6" t="s">
        <v>26</v>
      </c>
      <c r="B42" s="3">
        <v>4557</v>
      </c>
      <c r="C42" s="4">
        <v>250585609</v>
      </c>
      <c r="D42" s="4">
        <v>6228</v>
      </c>
      <c r="E42" s="4">
        <v>250596394</v>
      </c>
      <c r="F42" s="33">
        <v>236925127</v>
      </c>
    </row>
    <row r="43" spans="1:6" ht="15.75" thickBot="1">
      <c r="A43" s="13" t="s">
        <v>43</v>
      </c>
      <c r="B43" s="37"/>
      <c r="C43" s="32"/>
      <c r="D43" s="32"/>
      <c r="E43" s="32">
        <v>0</v>
      </c>
      <c r="F43" s="43"/>
    </row>
    <row r="44" spans="1:6" ht="15.75" thickTop="1">
      <c r="A44" s="27" t="s">
        <v>44</v>
      </c>
      <c r="B44" s="28">
        <v>148299923</v>
      </c>
      <c r="C44" s="29">
        <v>387418080</v>
      </c>
      <c r="D44" s="30">
        <v>272945633</v>
      </c>
      <c r="E44" s="30">
        <v>808663636</v>
      </c>
      <c r="F44" s="31">
        <v>775384130</v>
      </c>
    </row>
    <row r="45" spans="1:6" ht="15">
      <c r="A45" s="6"/>
      <c r="B45" s="3"/>
      <c r="C45" s="4"/>
      <c r="D45" s="4"/>
      <c r="E45" s="4"/>
      <c r="F45" s="33"/>
    </row>
    <row r="46" spans="1:6" ht="15">
      <c r="A46" s="2" t="s">
        <v>45</v>
      </c>
      <c r="B46" s="3"/>
      <c r="C46" s="4"/>
      <c r="D46" s="4"/>
      <c r="E46" s="4"/>
      <c r="F46" s="33"/>
    </row>
    <row r="47" spans="1:6" ht="15">
      <c r="A47" s="6" t="s">
        <v>46</v>
      </c>
      <c r="B47" s="3"/>
      <c r="C47" s="4"/>
      <c r="D47" s="4"/>
      <c r="E47" s="4"/>
      <c r="F47" s="33"/>
    </row>
    <row r="48" spans="1:6" ht="15">
      <c r="A48" s="7" t="s">
        <v>47</v>
      </c>
      <c r="B48" s="3">
        <v>278612</v>
      </c>
      <c r="C48" s="4">
        <v>19663423</v>
      </c>
      <c r="D48" s="4">
        <v>121372</v>
      </c>
      <c r="E48" s="4">
        <v>20063407</v>
      </c>
      <c r="F48" s="33">
        <v>17859263</v>
      </c>
    </row>
    <row r="49" spans="1:6" ht="15">
      <c r="A49" s="7" t="s">
        <v>48</v>
      </c>
      <c r="B49" s="3"/>
      <c r="C49" s="4"/>
      <c r="D49" s="4"/>
      <c r="E49" s="4">
        <v>0</v>
      </c>
      <c r="F49" s="33"/>
    </row>
    <row r="50" spans="1:6" ht="15">
      <c r="A50" s="8" t="s">
        <v>49</v>
      </c>
      <c r="B50" s="34">
        <v>14437210</v>
      </c>
      <c r="C50" s="35"/>
      <c r="D50" s="35"/>
      <c r="E50" s="35">
        <v>14437210</v>
      </c>
      <c r="F50" s="42">
        <v>13372531</v>
      </c>
    </row>
    <row r="51" spans="1:6" ht="15">
      <c r="A51" s="9" t="s">
        <v>50</v>
      </c>
      <c r="B51" s="10">
        <v>14715822</v>
      </c>
      <c r="C51" s="11">
        <v>19663423</v>
      </c>
      <c r="D51" s="11">
        <v>121372</v>
      </c>
      <c r="E51" s="11">
        <v>34500617</v>
      </c>
      <c r="F51" s="36">
        <v>31231794</v>
      </c>
    </row>
    <row r="52" spans="1:6" ht="15">
      <c r="A52" s="6"/>
      <c r="B52" s="3"/>
      <c r="C52" s="4"/>
      <c r="D52" s="4"/>
      <c r="E52" s="4"/>
      <c r="F52" s="33"/>
    </row>
    <row r="53" spans="1:6" ht="15">
      <c r="A53" s="6" t="s">
        <v>51</v>
      </c>
      <c r="B53" s="3"/>
      <c r="C53" s="4"/>
      <c r="D53" s="4"/>
      <c r="E53" s="4"/>
      <c r="F53" s="33"/>
    </row>
    <row r="54" spans="1:6" ht="15">
      <c r="A54" s="7" t="s">
        <v>52</v>
      </c>
      <c r="B54" s="3"/>
      <c r="C54" s="4"/>
      <c r="D54" s="4"/>
      <c r="E54" s="4">
        <v>0</v>
      </c>
      <c r="F54" s="33"/>
    </row>
    <row r="55" spans="1:6" ht="15">
      <c r="A55" s="8" t="s">
        <v>43</v>
      </c>
      <c r="B55" s="34">
        <v>1841667</v>
      </c>
      <c r="C55" s="35">
        <v>9753851</v>
      </c>
      <c r="D55" s="35">
        <v>1899380</v>
      </c>
      <c r="E55" s="35">
        <v>13494898</v>
      </c>
      <c r="F55" s="42">
        <v>12255247</v>
      </c>
    </row>
    <row r="56" spans="1:6" ht="15.75" thickBot="1">
      <c r="A56" s="44" t="s">
        <v>53</v>
      </c>
      <c r="B56" s="45">
        <v>1841667</v>
      </c>
      <c r="C56" s="46">
        <v>9753851</v>
      </c>
      <c r="D56" s="46">
        <v>1899380</v>
      </c>
      <c r="E56" s="46">
        <v>13494898</v>
      </c>
      <c r="F56" s="47">
        <v>12255247</v>
      </c>
    </row>
    <row r="57" spans="1:6" ht="15.75" thickTop="1">
      <c r="A57" s="27" t="s">
        <v>54</v>
      </c>
      <c r="B57" s="28">
        <v>164857412</v>
      </c>
      <c r="C57" s="29">
        <v>416835354</v>
      </c>
      <c r="D57" s="30">
        <v>274966385</v>
      </c>
      <c r="E57" s="30">
        <v>856659151</v>
      </c>
      <c r="F57" s="31">
        <v>818871171</v>
      </c>
    </row>
    <row r="58" spans="1:6" ht="15">
      <c r="A58" s="6"/>
      <c r="B58" s="3"/>
      <c r="C58" s="4"/>
      <c r="D58" s="4"/>
      <c r="E58" s="4"/>
      <c r="F58" s="33"/>
    </row>
    <row r="59" spans="1:6" ht="15.75" thickBot="1">
      <c r="A59" s="21" t="s">
        <v>55</v>
      </c>
      <c r="B59" s="22">
        <v>0</v>
      </c>
      <c r="C59" s="23">
        <v>0</v>
      </c>
      <c r="D59" s="23">
        <v>0</v>
      </c>
      <c r="E59" s="24">
        <v>0</v>
      </c>
      <c r="F59" s="40">
        <v>0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chavezd</dc:creator>
  <cp:keywords/>
  <dc:description/>
  <cp:lastModifiedBy>Jill Taylor</cp:lastModifiedBy>
  <cp:lastPrinted>2011-11-04T19:25:53Z</cp:lastPrinted>
  <dcterms:created xsi:type="dcterms:W3CDTF">2011-11-01T14:27:14Z</dcterms:created>
  <dcterms:modified xsi:type="dcterms:W3CDTF">2013-07-17T17:04:50Z</dcterms:modified>
  <cp:category/>
  <cp:version/>
  <cp:contentType/>
  <cp:contentStatus/>
</cp:coreProperties>
</file>