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95" yWindow="150" windowWidth="14280" windowHeight="12585" tabRatio="861" activeTab="0"/>
  </bookViews>
  <sheets>
    <sheet name="FY14 Consolidated" sheetId="1" r:id="rId1"/>
    <sheet name="FY14 Boulder" sheetId="2" r:id="rId2"/>
    <sheet name="FY14 Colorado Springs" sheetId="3" r:id="rId3"/>
    <sheet name="FY14 Denver" sheetId="4" r:id="rId4"/>
    <sheet name="FY14 Anschutz Medical Campus" sheetId="5" r:id="rId5"/>
  </sheets>
  <definedNames>
    <definedName name="_xlnm.Print_Area" localSheetId="4">'FY14 Anschutz Medical Campus'!$A$1:$F$59</definedName>
    <definedName name="_xlnm.Print_Area" localSheetId="1">'FY14 Boulder'!$A$1:$F$70</definedName>
    <definedName name="_xlnm.Print_Area" localSheetId="2">'FY14 Colorado Springs'!$A$1:$F$59</definedName>
    <definedName name="_xlnm.Print_Area" localSheetId="0">'FY14 Consolidated'!$A$1:$F$59</definedName>
    <definedName name="_xlnm.Print_Area" localSheetId="3">'FY14 Denver'!$A$1:$F$59</definedName>
  </definedNames>
  <calcPr fullCalcOnLoad="1"/>
</workbook>
</file>

<file path=xl/sharedStrings.xml><?xml version="1.0" encoding="utf-8"?>
<sst xmlns="http://schemas.openxmlformats.org/spreadsheetml/2006/main" count="300" uniqueCount="71">
  <si>
    <t>University of Colorado</t>
  </si>
  <si>
    <t>Denver Campus</t>
  </si>
  <si>
    <t>Education &amp; General Fund</t>
  </si>
  <si>
    <t>Auxiliary &amp; 
Self-Funded Activities</t>
  </si>
  <si>
    <t>Total Current Funds</t>
  </si>
  <si>
    <t>Revenues</t>
  </si>
  <si>
    <t>Student Tuition and Fees</t>
  </si>
  <si>
    <t>Resident Tuition - COF</t>
  </si>
  <si>
    <t>Resident Tuition - Student Share</t>
  </si>
  <si>
    <t>Non-Resident Tuition</t>
  </si>
  <si>
    <t>Other tuition - Continuing Education</t>
  </si>
  <si>
    <t>Student fees</t>
  </si>
  <si>
    <t>Subtotal - Student Tuition and Fees</t>
  </si>
  <si>
    <t>Investment and Interest Income</t>
  </si>
  <si>
    <t>Grants and Contracts</t>
  </si>
  <si>
    <t>Federal Grants &amp; Contracts</t>
  </si>
  <si>
    <t>State and Local Grants &amp; Contracts</t>
  </si>
  <si>
    <t>Tobacco Funding</t>
  </si>
  <si>
    <t>Fee for Service Contract</t>
  </si>
  <si>
    <t>Subtotal - Grants &amp; Contracts</t>
  </si>
  <si>
    <t>Private/other gifts, grants and contracts</t>
  </si>
  <si>
    <t>Sales &amp; Services of educational departments</t>
  </si>
  <si>
    <t>Auxiliary Operating Revenues</t>
  </si>
  <si>
    <t>Health Services</t>
  </si>
  <si>
    <t>Other Revenues:</t>
  </si>
  <si>
    <t>Indirect Cost Reimbursement</t>
  </si>
  <si>
    <t>Denver AHEC Library Funding</t>
  </si>
  <si>
    <t>Other Sources</t>
  </si>
  <si>
    <t>TOTAL REVENUES</t>
  </si>
  <si>
    <t>Expenditures</t>
  </si>
  <si>
    <t>Educational &amp; General:</t>
  </si>
  <si>
    <t>Instruction</t>
  </si>
  <si>
    <t>Research</t>
  </si>
  <si>
    <t>Public Service</t>
  </si>
  <si>
    <t>Academic Support</t>
  </si>
  <si>
    <t>Student Services</t>
  </si>
  <si>
    <t>Institutional Support</t>
  </si>
  <si>
    <t>Operations of Plant</t>
  </si>
  <si>
    <t>Scholarships &amp; Fellowships</t>
  </si>
  <si>
    <t>Auxiliary operating expenditures</t>
  </si>
  <si>
    <t>Other</t>
  </si>
  <si>
    <t>TOTAL EXPENDITURES</t>
  </si>
  <si>
    <t>Transfers Between Funds</t>
  </si>
  <si>
    <t>Mandatory Transfers</t>
  </si>
  <si>
    <t>Principal and interest</t>
  </si>
  <si>
    <t>Renewals &amp; replacements</t>
  </si>
  <si>
    <t>Matching funds/Other</t>
  </si>
  <si>
    <t>Subtotal -- Mandatory Transfers</t>
  </si>
  <si>
    <t>Voluntary Transfers &amp; Other</t>
  </si>
  <si>
    <t>Restricted receipts to be expended in future years</t>
  </si>
  <si>
    <t>Subtotal Voluntary Transfers</t>
  </si>
  <si>
    <t>TOTAL EXPENDITURES &amp; TRANSFERS</t>
  </si>
  <si>
    <t>Net Increase (Decrease) in Fund Balances</t>
  </si>
  <si>
    <t>Colorado Springs Campus</t>
  </si>
  <si>
    <t>Notes:</t>
  </si>
  <si>
    <t>Boulder Campus</t>
  </si>
  <si>
    <t xml:space="preserve">    1) This schedule does not include revenue or expenses associated with the Direct Lending Program.   Direct Lending is reported outside of the current funds.</t>
  </si>
  <si>
    <t xml:space="preserve">     For FY 2012-13, the Direct Lending amount is estimated to be $148M and $149M in FY 2013-14.  Pell and Work Study financial aid are in the Restricted Fund.</t>
  </si>
  <si>
    <t>2) Restricted fund revenues exclude funding for research capital projects and indirect cost recoveries, the latter estimated to be $78M in FY 2012-13 and $77M in FY 2013-14.</t>
  </si>
  <si>
    <t>3) Internal service revenue/expense activity is excluded from this schedule.</t>
  </si>
  <si>
    <t xml:space="preserve">4) All Auxiliary tuition for Continuing Education is classified as "Other Tuition" on this schedule. </t>
  </si>
  <si>
    <t>5) Scholarship allowance, fixed assets and other GASB-related adjustments are not included in the above figures.</t>
  </si>
  <si>
    <t>6) The financial aid budget in the General Fund is estimated to be $50.8M in FY 2012-13 and $55.6M in FY 2013-14. Actual financial aid activity occurs in multiple expenditure categories.</t>
  </si>
  <si>
    <t xml:space="preserve">    7) Activity budgeted in expense purpose codes occasionally may be expensed in other expense purpose codes.</t>
  </si>
  <si>
    <t>8) FY 2012-13 Private Gift revenues and Mandatory Transfers each include one-time $20.75M for debt service on the Jenny Smoly Carothers Biotechnology Building.</t>
  </si>
  <si>
    <t>Anschutz Medical Campus</t>
  </si>
  <si>
    <t>CU Consolidated</t>
  </si>
  <si>
    <t>FY 2013-14 Current Funds Budget</t>
  </si>
  <si>
    <t>FY 2013 Est. Actuals Total Current Funds</t>
  </si>
  <si>
    <t>FY13 Est. Actuals Total Current Funds</t>
  </si>
  <si>
    <t>Restricted
Fund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</si>
</sst>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_);[Red]\([$$-409]#,##0\)"/>
    <numFmt numFmtId="165" formatCode="0.0%"/>
    <numFmt numFmtId="166" formatCode="[$$-409]#,##0"/>
  </numFmts>
  <fonts count="46">
    <font>
      <sz val="10"/>
      <name val="Arial"/>
      <family val="0"/>
    </font>
    <font>
      <sz val="9"/>
      <color indexed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u val="single"/>
      <sz val="10"/>
      <name val="Arial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color indexed="9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sz val="11"/>
      <color theme="1"/>
      <name val="Calibri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double"/>
    </border>
    <border>
      <left/>
      <right style="medium"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ont="1" applyAlignment="1">
      <alignment/>
    </xf>
    <xf numFmtId="164" fontId="5" fillId="0" borderId="0" xfId="0" applyNumberFormat="1" applyFont="1" applyAlignment="1">
      <alignment horizontal="center"/>
    </xf>
    <xf numFmtId="164" fontId="4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 wrapText="1"/>
    </xf>
    <xf numFmtId="164" fontId="0" fillId="0" borderId="0" xfId="0" applyNumberFormat="1" applyFont="1" applyBorder="1" applyAlignment="1">
      <alignment wrapText="1"/>
    </xf>
    <xf numFmtId="164" fontId="0" fillId="0" borderId="11" xfId="0" applyNumberFormat="1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 horizontal="left" indent="1"/>
    </xf>
    <xf numFmtId="164" fontId="0" fillId="0" borderId="12" xfId="0" applyNumberFormat="1" applyFont="1" applyBorder="1" applyAlignment="1">
      <alignment horizontal="left" indent="1"/>
    </xf>
    <xf numFmtId="164" fontId="4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wrapText="1"/>
    </xf>
    <xf numFmtId="164" fontId="4" fillId="0" borderId="14" xfId="0" applyNumberFormat="1" applyFont="1" applyBorder="1" applyAlignment="1">
      <alignment wrapText="1"/>
    </xf>
    <xf numFmtId="164" fontId="4" fillId="0" borderId="15" xfId="0" applyNumberFormat="1" applyFont="1" applyBorder="1" applyAlignment="1">
      <alignment wrapText="1"/>
    </xf>
    <xf numFmtId="164" fontId="0" fillId="0" borderId="11" xfId="0" applyNumberFormat="1" applyFont="1" applyFill="1" applyBorder="1" applyAlignment="1">
      <alignment wrapText="1"/>
    </xf>
    <xf numFmtId="164" fontId="0" fillId="0" borderId="16" xfId="0" applyNumberFormat="1" applyFont="1" applyBorder="1" applyAlignment="1">
      <alignment horizontal="left" indent="1"/>
    </xf>
    <xf numFmtId="164" fontId="0" fillId="0" borderId="17" xfId="0" applyNumberFormat="1" applyFont="1" applyBorder="1" applyAlignment="1">
      <alignment wrapText="1"/>
    </xf>
    <xf numFmtId="164" fontId="0" fillId="0" borderId="18" xfId="0" applyNumberFormat="1" applyFont="1" applyFill="1" applyBorder="1" applyAlignment="1">
      <alignment wrapText="1"/>
    </xf>
    <xf numFmtId="164" fontId="0" fillId="0" borderId="16" xfId="0" applyNumberFormat="1" applyFont="1" applyBorder="1" applyAlignment="1">
      <alignment/>
    </xf>
    <xf numFmtId="164" fontId="0" fillId="0" borderId="19" xfId="0" applyNumberFormat="1" applyFont="1" applyBorder="1" applyAlignment="1">
      <alignment wrapText="1"/>
    </xf>
    <xf numFmtId="164" fontId="0" fillId="0" borderId="13" xfId="0" applyNumberFormat="1" applyFont="1" applyBorder="1" applyAlignment="1">
      <alignment horizontal="right"/>
    </xf>
    <xf numFmtId="164" fontId="0" fillId="0" borderId="13" xfId="0" applyNumberFormat="1" applyFont="1" applyBorder="1" applyAlignment="1">
      <alignment wrapText="1"/>
    </xf>
    <xf numFmtId="164" fontId="0" fillId="0" borderId="14" xfId="0" applyNumberFormat="1" applyFont="1" applyBorder="1" applyAlignment="1">
      <alignment wrapText="1"/>
    </xf>
    <xf numFmtId="164" fontId="0" fillId="0" borderId="15" xfId="0" applyNumberFormat="1" applyFont="1" applyBorder="1" applyAlignment="1">
      <alignment wrapText="1"/>
    </xf>
    <xf numFmtId="164" fontId="0" fillId="0" borderId="12" xfId="0" applyNumberFormat="1" applyFont="1" applyBorder="1" applyAlignment="1">
      <alignment wrapText="1"/>
    </xf>
    <xf numFmtId="164" fontId="0" fillId="0" borderId="20" xfId="0" applyNumberFormat="1" applyFont="1" applyBorder="1" applyAlignment="1">
      <alignment wrapText="1"/>
    </xf>
    <xf numFmtId="164" fontId="0" fillId="0" borderId="21" xfId="0" applyNumberFormat="1" applyFont="1" applyBorder="1" applyAlignment="1">
      <alignment horizontal="right"/>
    </xf>
    <xf numFmtId="164" fontId="0" fillId="0" borderId="16" xfId="0" applyNumberFormat="1" applyFont="1" applyBorder="1" applyAlignment="1">
      <alignment wrapText="1"/>
    </xf>
    <xf numFmtId="164" fontId="0" fillId="0" borderId="18" xfId="0" applyNumberFormat="1" applyFont="1" applyBorder="1" applyAlignment="1">
      <alignment wrapText="1"/>
    </xf>
    <xf numFmtId="164" fontId="0" fillId="0" borderId="22" xfId="0" applyNumberFormat="1" applyFont="1" applyBorder="1" applyAlignment="1">
      <alignment wrapText="1"/>
    </xf>
    <xf numFmtId="164" fontId="0" fillId="0" borderId="23" xfId="0" applyNumberFormat="1" applyFont="1" applyBorder="1" applyAlignment="1">
      <alignment/>
    </xf>
    <xf numFmtId="166" fontId="0" fillId="0" borderId="23" xfId="0" applyNumberFormat="1" applyFont="1" applyBorder="1" applyAlignment="1">
      <alignment wrapText="1"/>
    </xf>
    <xf numFmtId="166" fontId="0" fillId="0" borderId="24" xfId="0" applyNumberFormat="1" applyFont="1" applyBorder="1" applyAlignment="1">
      <alignment wrapText="1"/>
    </xf>
    <xf numFmtId="166" fontId="0" fillId="0" borderId="25" xfId="0" applyNumberFormat="1" applyFont="1" applyBorder="1" applyAlignment="1">
      <alignment wrapText="1"/>
    </xf>
    <xf numFmtId="164" fontId="0" fillId="0" borderId="10" xfId="0" applyNumberFormat="1" applyFont="1" applyFill="1" applyBorder="1" applyAlignment="1">
      <alignment wrapText="1"/>
    </xf>
    <xf numFmtId="164" fontId="0" fillId="0" borderId="0" xfId="0" applyNumberFormat="1" applyFont="1" applyFill="1" applyBorder="1" applyAlignment="1">
      <alignment wrapText="1"/>
    </xf>
    <xf numFmtId="164" fontId="4" fillId="0" borderId="13" xfId="0" applyNumberFormat="1" applyFont="1" applyFill="1" applyBorder="1" applyAlignment="1">
      <alignment wrapText="1"/>
    </xf>
    <xf numFmtId="164" fontId="4" fillId="0" borderId="14" xfId="0" applyNumberFormat="1" applyFont="1" applyFill="1" applyBorder="1" applyAlignment="1">
      <alignment wrapText="1"/>
    </xf>
    <xf numFmtId="164" fontId="4" fillId="0" borderId="15" xfId="0" applyNumberFormat="1" applyFont="1" applyFill="1" applyBorder="1" applyAlignment="1">
      <alignment wrapText="1"/>
    </xf>
    <xf numFmtId="164" fontId="0" fillId="0" borderId="17" xfId="0" applyNumberFormat="1" applyFont="1" applyFill="1" applyBorder="1" applyAlignment="1">
      <alignment wrapText="1"/>
    </xf>
    <xf numFmtId="164" fontId="0" fillId="0" borderId="19" xfId="0" applyNumberFormat="1" applyFont="1" applyFill="1" applyBorder="1" applyAlignment="1">
      <alignment wrapText="1"/>
    </xf>
    <xf numFmtId="164" fontId="0" fillId="0" borderId="14" xfId="0" applyNumberFormat="1" applyFont="1" applyFill="1" applyBorder="1" applyAlignment="1">
      <alignment wrapText="1"/>
    </xf>
    <xf numFmtId="164" fontId="0" fillId="0" borderId="15" xfId="0" applyNumberFormat="1" applyFont="1" applyFill="1" applyBorder="1" applyAlignment="1">
      <alignment wrapText="1"/>
    </xf>
    <xf numFmtId="164" fontId="0" fillId="0" borderId="20" xfId="0" applyNumberFormat="1" applyFont="1" applyFill="1" applyBorder="1" applyAlignment="1">
      <alignment wrapText="1"/>
    </xf>
    <xf numFmtId="164" fontId="0" fillId="0" borderId="22" xfId="0" applyNumberFormat="1" applyFont="1" applyFill="1" applyBorder="1" applyAlignment="1">
      <alignment wrapText="1"/>
    </xf>
    <xf numFmtId="166" fontId="0" fillId="0" borderId="24" xfId="0" applyNumberFormat="1" applyFont="1" applyFill="1" applyBorder="1" applyAlignment="1">
      <alignment wrapText="1"/>
    </xf>
    <xf numFmtId="166" fontId="0" fillId="0" borderId="25" xfId="0" applyNumberFormat="1" applyFont="1" applyFill="1" applyBorder="1" applyAlignment="1">
      <alignment wrapText="1"/>
    </xf>
    <xf numFmtId="164" fontId="4" fillId="33" borderId="26" xfId="0" applyNumberFormat="1" applyFont="1" applyFill="1" applyBorder="1" applyAlignment="1">
      <alignment/>
    </xf>
    <xf numFmtId="164" fontId="4" fillId="33" borderId="26" xfId="0" applyNumberFormat="1" applyFont="1" applyFill="1" applyBorder="1" applyAlignment="1">
      <alignment wrapText="1"/>
    </xf>
    <xf numFmtId="164" fontId="4" fillId="33" borderId="19" xfId="0" applyNumberFormat="1" applyFont="1" applyFill="1" applyBorder="1" applyAlignment="1">
      <alignment wrapText="1"/>
    </xf>
    <xf numFmtId="164" fontId="4" fillId="33" borderId="27" xfId="0" applyNumberFormat="1" applyFont="1" applyFill="1" applyBorder="1" applyAlignment="1">
      <alignment wrapText="1"/>
    </xf>
    <xf numFmtId="164" fontId="4" fillId="33" borderId="28" xfId="0" applyNumberFormat="1" applyFont="1" applyFill="1" applyBorder="1" applyAlignment="1">
      <alignment wrapText="1"/>
    </xf>
    <xf numFmtId="164" fontId="4" fillId="33" borderId="12" xfId="0" applyNumberFormat="1" applyFont="1" applyFill="1" applyBorder="1" applyAlignment="1">
      <alignment/>
    </xf>
    <xf numFmtId="164" fontId="4" fillId="33" borderId="12" xfId="0" applyNumberFormat="1" applyFont="1" applyFill="1" applyBorder="1" applyAlignment="1">
      <alignment wrapText="1"/>
    </xf>
    <xf numFmtId="164" fontId="4" fillId="33" borderId="20" xfId="0" applyNumberFormat="1" applyFont="1" applyFill="1" applyBorder="1" applyAlignment="1">
      <alignment wrapText="1"/>
    </xf>
    <xf numFmtId="164" fontId="7" fillId="0" borderId="0" xfId="62" applyNumberFormat="1" applyFont="1" applyFill="1">
      <alignment/>
      <protection/>
    </xf>
    <xf numFmtId="0" fontId="6" fillId="0" borderId="0" xfId="62" applyFont="1" applyFill="1" applyAlignment="1">
      <alignment horizontal="left"/>
      <protection/>
    </xf>
    <xf numFmtId="0" fontId="6" fillId="0" borderId="0" xfId="62" applyFont="1" applyFill="1" applyAlignment="1">
      <alignment horizontal="left" indent="1"/>
      <protection/>
    </xf>
    <xf numFmtId="164" fontId="0" fillId="0" borderId="0" xfId="62" applyNumberFormat="1" applyFont="1">
      <alignment/>
      <protection/>
    </xf>
    <xf numFmtId="164" fontId="5" fillId="0" borderId="0" xfId="62" applyNumberFormat="1" applyFont="1" applyAlignment="1">
      <alignment horizontal="center"/>
      <protection/>
    </xf>
    <xf numFmtId="165" fontId="4" fillId="0" borderId="0" xfId="62" applyNumberFormat="1" applyFont="1" applyAlignment="1">
      <alignment horizontal="center"/>
      <protection/>
    </xf>
    <xf numFmtId="164" fontId="4" fillId="0" borderId="0" xfId="62" applyNumberFormat="1" applyFont="1" applyAlignment="1">
      <alignment horizontal="center"/>
      <protection/>
    </xf>
    <xf numFmtId="164" fontId="4" fillId="0" borderId="10" xfId="62" applyNumberFormat="1" applyFont="1" applyBorder="1">
      <alignment/>
      <protection/>
    </xf>
    <xf numFmtId="164" fontId="0" fillId="0" borderId="10" xfId="62" applyNumberFormat="1" applyFont="1" applyBorder="1" applyAlignment="1">
      <alignment wrapText="1"/>
      <protection/>
    </xf>
    <xf numFmtId="164" fontId="0" fillId="0" borderId="0" xfId="62" applyNumberFormat="1" applyFont="1" applyBorder="1" applyAlignment="1">
      <alignment wrapText="1"/>
      <protection/>
    </xf>
    <xf numFmtId="164" fontId="0" fillId="0" borderId="11" xfId="62" applyNumberFormat="1" applyFont="1" applyBorder="1" applyAlignment="1">
      <alignment wrapText="1"/>
      <protection/>
    </xf>
    <xf numFmtId="164" fontId="0" fillId="0" borderId="10" xfId="62" applyNumberFormat="1" applyFont="1" applyBorder="1">
      <alignment/>
      <protection/>
    </xf>
    <xf numFmtId="164" fontId="0" fillId="0" borderId="10" xfId="62" applyNumberFormat="1" applyFont="1" applyBorder="1" applyAlignment="1">
      <alignment horizontal="left" indent="1"/>
      <protection/>
    </xf>
    <xf numFmtId="164" fontId="0" fillId="0" borderId="12" xfId="62" applyNumberFormat="1" applyFont="1" applyBorder="1" applyAlignment="1">
      <alignment horizontal="left" indent="1"/>
      <protection/>
    </xf>
    <xf numFmtId="164" fontId="0" fillId="0" borderId="12" xfId="62" applyNumberFormat="1" applyFont="1" applyBorder="1" applyAlignment="1">
      <alignment wrapText="1"/>
      <protection/>
    </xf>
    <xf numFmtId="164" fontId="4" fillId="0" borderId="13" xfId="62" applyNumberFormat="1" applyFont="1" applyBorder="1" applyAlignment="1">
      <alignment horizontal="right"/>
      <protection/>
    </xf>
    <xf numFmtId="164" fontId="4" fillId="0" borderId="13" xfId="62" applyNumberFormat="1" applyFont="1" applyFill="1" applyBorder="1" applyAlignment="1">
      <alignment wrapText="1"/>
      <protection/>
    </xf>
    <xf numFmtId="164" fontId="4" fillId="0" borderId="14" xfId="62" applyNumberFormat="1" applyFont="1" applyBorder="1" applyAlignment="1">
      <alignment wrapText="1"/>
      <protection/>
    </xf>
    <xf numFmtId="164" fontId="4" fillId="0" borderId="15" xfId="62" applyNumberFormat="1" applyFont="1" applyBorder="1" applyAlignment="1">
      <alignment wrapText="1"/>
      <protection/>
    </xf>
    <xf numFmtId="164" fontId="4" fillId="0" borderId="0" xfId="62" applyNumberFormat="1" applyFont="1">
      <alignment/>
      <protection/>
    </xf>
    <xf numFmtId="164" fontId="0" fillId="0" borderId="10" xfId="62" applyNumberFormat="1" applyFont="1" applyFill="1" applyBorder="1" applyAlignment="1">
      <alignment wrapText="1"/>
      <protection/>
    </xf>
    <xf numFmtId="164" fontId="0" fillId="0" borderId="19" xfId="62" applyNumberFormat="1" applyFont="1" applyBorder="1" applyAlignment="1">
      <alignment wrapText="1"/>
      <protection/>
    </xf>
    <xf numFmtId="164" fontId="4" fillId="0" borderId="13" xfId="62" applyNumberFormat="1" applyFont="1" applyBorder="1" applyAlignment="1">
      <alignment wrapText="1"/>
      <protection/>
    </xf>
    <xf numFmtId="164" fontId="0" fillId="0" borderId="11" xfId="62" applyNumberFormat="1" applyFont="1" applyFill="1" applyBorder="1" applyAlignment="1">
      <alignment wrapText="1"/>
      <protection/>
    </xf>
    <xf numFmtId="164" fontId="0" fillId="0" borderId="16" xfId="62" applyNumberFormat="1" applyFont="1" applyBorder="1" applyAlignment="1">
      <alignment horizontal="left" indent="1"/>
      <protection/>
    </xf>
    <xf numFmtId="164" fontId="0" fillId="0" borderId="16" xfId="62" applyNumberFormat="1" applyFont="1" applyBorder="1" applyAlignment="1">
      <alignment wrapText="1"/>
      <protection/>
    </xf>
    <xf numFmtId="164" fontId="0" fillId="0" borderId="17" xfId="62" applyNumberFormat="1" applyFont="1" applyBorder="1" applyAlignment="1">
      <alignment wrapText="1"/>
      <protection/>
    </xf>
    <xf numFmtId="164" fontId="0" fillId="0" borderId="18" xfId="62" applyNumberFormat="1" applyFont="1" applyFill="1" applyBorder="1" applyAlignment="1">
      <alignment wrapText="1"/>
      <protection/>
    </xf>
    <xf numFmtId="10" fontId="4" fillId="0" borderId="0" xfId="65" applyNumberFormat="1" applyFont="1" applyAlignment="1">
      <alignment/>
    </xf>
    <xf numFmtId="164" fontId="0" fillId="0" borderId="16" xfId="62" applyNumberFormat="1" applyFont="1" applyBorder="1">
      <alignment/>
      <protection/>
    </xf>
    <xf numFmtId="164" fontId="0" fillId="0" borderId="18" xfId="62" applyNumberFormat="1" applyFont="1" applyBorder="1" applyAlignment="1">
      <alignment wrapText="1"/>
      <protection/>
    </xf>
    <xf numFmtId="164" fontId="0" fillId="0" borderId="20" xfId="62" applyNumberFormat="1" applyFont="1" applyBorder="1" applyAlignment="1">
      <alignment wrapText="1"/>
      <protection/>
    </xf>
    <xf numFmtId="164" fontId="0" fillId="0" borderId="13" xfId="62" applyNumberFormat="1" applyFont="1" applyBorder="1" applyAlignment="1">
      <alignment horizontal="right"/>
      <protection/>
    </xf>
    <xf numFmtId="164" fontId="0" fillId="0" borderId="13" xfId="62" applyNumberFormat="1" applyFont="1" applyBorder="1" applyAlignment="1">
      <alignment wrapText="1"/>
      <protection/>
    </xf>
    <xf numFmtId="164" fontId="0" fillId="0" borderId="14" xfId="62" applyNumberFormat="1" applyFont="1" applyBorder="1" applyAlignment="1">
      <alignment wrapText="1"/>
      <protection/>
    </xf>
    <xf numFmtId="164" fontId="0" fillId="0" borderId="15" xfId="62" applyNumberFormat="1" applyFont="1" applyBorder="1" applyAlignment="1">
      <alignment wrapText="1"/>
      <protection/>
    </xf>
    <xf numFmtId="164" fontId="0" fillId="0" borderId="21" xfId="62" applyNumberFormat="1" applyFont="1" applyBorder="1" applyAlignment="1">
      <alignment horizontal="right"/>
      <protection/>
    </xf>
    <xf numFmtId="164" fontId="0" fillId="0" borderId="21" xfId="62" applyNumberFormat="1" applyFont="1" applyBorder="1" applyAlignment="1">
      <alignment wrapText="1"/>
      <protection/>
    </xf>
    <xf numFmtId="164" fontId="0" fillId="0" borderId="29" xfId="62" applyNumberFormat="1" applyFont="1" applyBorder="1" applyAlignment="1">
      <alignment wrapText="1"/>
      <protection/>
    </xf>
    <xf numFmtId="164" fontId="0" fillId="0" borderId="22" xfId="62" applyNumberFormat="1" applyFont="1" applyBorder="1" applyAlignment="1">
      <alignment wrapText="1"/>
      <protection/>
    </xf>
    <xf numFmtId="164" fontId="0" fillId="0" borderId="23" xfId="62" applyNumberFormat="1" applyFont="1" applyBorder="1">
      <alignment/>
      <protection/>
    </xf>
    <xf numFmtId="166" fontId="0" fillId="0" borderId="23" xfId="62" applyNumberFormat="1" applyFont="1" applyBorder="1" applyAlignment="1">
      <alignment wrapText="1"/>
      <protection/>
    </xf>
    <xf numFmtId="166" fontId="0" fillId="0" borderId="24" xfId="62" applyNumberFormat="1" applyFont="1" applyBorder="1" applyAlignment="1">
      <alignment wrapText="1"/>
      <protection/>
    </xf>
    <xf numFmtId="166" fontId="0" fillId="0" borderId="25" xfId="62" applyNumberFormat="1" applyFont="1" applyBorder="1" applyAlignment="1">
      <alignment wrapText="1"/>
      <protection/>
    </xf>
    <xf numFmtId="166" fontId="0" fillId="0" borderId="0" xfId="62" applyNumberFormat="1" applyFont="1">
      <alignment/>
      <protection/>
    </xf>
    <xf numFmtId="164" fontId="0" fillId="0" borderId="0" xfId="62" applyNumberFormat="1" applyFont="1" applyAlignment="1">
      <alignment wrapText="1"/>
      <protection/>
    </xf>
    <xf numFmtId="164" fontId="0" fillId="0" borderId="0" xfId="62" applyNumberFormat="1" applyFont="1" applyFill="1" applyAlignment="1">
      <alignment wrapText="1"/>
      <protection/>
    </xf>
    <xf numFmtId="165" fontId="0" fillId="0" borderId="0" xfId="65" applyNumberFormat="1" applyFont="1" applyAlignment="1">
      <alignment wrapText="1"/>
    </xf>
    <xf numFmtId="164" fontId="45" fillId="34" borderId="30" xfId="62" applyNumberFormat="1" applyFont="1" applyFill="1" applyBorder="1" applyAlignment="1">
      <alignment horizontal="center" wrapText="1"/>
      <protection/>
    </xf>
    <xf numFmtId="164" fontId="45" fillId="34" borderId="31" xfId="62" applyNumberFormat="1" applyFont="1" applyFill="1" applyBorder="1" applyAlignment="1">
      <alignment horizontal="center" wrapText="1"/>
      <protection/>
    </xf>
    <xf numFmtId="164" fontId="45" fillId="34" borderId="32" xfId="62" applyNumberFormat="1" applyFont="1" applyFill="1" applyBorder="1" applyAlignment="1">
      <alignment horizontal="center" wrapText="1"/>
      <protection/>
    </xf>
    <xf numFmtId="164" fontId="4" fillId="33" borderId="26" xfId="62" applyNumberFormat="1" applyFont="1" applyFill="1" applyBorder="1">
      <alignment/>
      <protection/>
    </xf>
    <xf numFmtId="164" fontId="4" fillId="33" borderId="26" xfId="62" applyNumberFormat="1" applyFont="1" applyFill="1" applyBorder="1" applyAlignment="1">
      <alignment wrapText="1"/>
      <protection/>
    </xf>
    <xf numFmtId="164" fontId="4" fillId="33" borderId="27" xfId="62" applyNumberFormat="1" applyFont="1" applyFill="1" applyBorder="1" applyAlignment="1">
      <alignment wrapText="1"/>
      <protection/>
    </xf>
    <xf numFmtId="164" fontId="4" fillId="33" borderId="28" xfId="62" applyNumberFormat="1" applyFont="1" applyFill="1" applyBorder="1" applyAlignment="1">
      <alignment wrapText="1"/>
      <protection/>
    </xf>
    <xf numFmtId="164" fontId="4" fillId="33" borderId="12" xfId="62" applyNumberFormat="1" applyFont="1" applyFill="1" applyBorder="1">
      <alignment/>
      <protection/>
    </xf>
    <xf numFmtId="164" fontId="4" fillId="33" borderId="12" xfId="62" applyNumberFormat="1" applyFont="1" applyFill="1" applyBorder="1" applyAlignment="1">
      <alignment wrapText="1"/>
      <protection/>
    </xf>
    <xf numFmtId="164" fontId="4" fillId="33" borderId="19" xfId="62" applyNumberFormat="1" applyFont="1" applyFill="1" applyBorder="1" applyAlignment="1">
      <alignment wrapText="1"/>
      <protection/>
    </xf>
    <xf numFmtId="164" fontId="4" fillId="33" borderId="20" xfId="62" applyNumberFormat="1" applyFont="1" applyFill="1" applyBorder="1" applyAlignment="1">
      <alignment wrapText="1"/>
      <protection/>
    </xf>
    <xf numFmtId="164" fontId="45" fillId="34" borderId="33" xfId="0" applyNumberFormat="1" applyFont="1" applyFill="1" applyBorder="1" applyAlignment="1">
      <alignment horizontal="center" vertical="center"/>
    </xf>
    <xf numFmtId="164" fontId="45" fillId="34" borderId="30" xfId="0" applyNumberFormat="1" applyFont="1" applyFill="1" applyBorder="1" applyAlignment="1">
      <alignment horizontal="center" wrapText="1"/>
    </xf>
    <xf numFmtId="164" fontId="45" fillId="34" borderId="31" xfId="0" applyNumberFormat="1" applyFont="1" applyFill="1" applyBorder="1" applyAlignment="1">
      <alignment horizontal="center" wrapText="1"/>
    </xf>
    <xf numFmtId="164" fontId="45" fillId="34" borderId="32" xfId="0" applyNumberFormat="1" applyFont="1" applyFill="1" applyBorder="1" applyAlignment="1">
      <alignment horizontal="center" wrapText="1"/>
    </xf>
    <xf numFmtId="164" fontId="45" fillId="34" borderId="30" xfId="62" applyNumberFormat="1" applyFont="1" applyFill="1" applyBorder="1" applyAlignment="1">
      <alignment horizontal="center" vertical="center"/>
      <protection/>
    </xf>
    <xf numFmtId="164" fontId="0" fillId="0" borderId="0" xfId="0" applyNumberFormat="1" applyFont="1" applyAlignment="1">
      <alignment/>
    </xf>
    <xf numFmtId="164" fontId="4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165" fontId="0" fillId="0" borderId="0" xfId="65" applyNumberFormat="1" applyFont="1" applyAlignment="1">
      <alignment/>
    </xf>
    <xf numFmtId="164" fontId="0" fillId="0" borderId="21" xfId="0" applyNumberFormat="1" applyFont="1" applyBorder="1" applyAlignment="1">
      <alignment wrapText="1"/>
    </xf>
    <xf numFmtId="164" fontId="0" fillId="0" borderId="29" xfId="0" applyNumberFormat="1" applyFont="1" applyBorder="1" applyAlignment="1">
      <alignment wrapText="1"/>
    </xf>
    <xf numFmtId="164" fontId="0" fillId="0" borderId="29" xfId="0" applyNumberFormat="1" applyFont="1" applyFill="1" applyBorder="1" applyAlignment="1">
      <alignment wrapText="1"/>
    </xf>
    <xf numFmtId="164" fontId="8" fillId="0" borderId="0" xfId="0" applyNumberFormat="1" applyFont="1" applyAlignment="1">
      <alignment/>
    </xf>
    <xf numFmtId="164" fontId="0" fillId="0" borderId="0" xfId="0" applyNumberFormat="1" applyFont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indent="1"/>
    </xf>
    <xf numFmtId="164" fontId="45" fillId="34" borderId="30" xfId="0" applyNumberFormat="1" applyFont="1" applyFill="1" applyBorder="1" applyAlignment="1">
      <alignment horizontal="center" vertical="center"/>
    </xf>
    <xf numFmtId="165" fontId="4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2" fillId="0" borderId="0" xfId="62" applyNumberFormat="1" applyFont="1" applyAlignment="1">
      <alignment horizontal="center"/>
      <protection/>
    </xf>
    <xf numFmtId="164" fontId="3" fillId="0" borderId="0" xfId="62" applyNumberFormat="1" applyFont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omma 5" xfId="48"/>
    <cellStyle name="Currency" xfId="49"/>
    <cellStyle name="Currency [0]" xfId="50"/>
    <cellStyle name="Currency 2" xfId="51"/>
    <cellStyle name="Currency 3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ormal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showGridLines="0" tabSelected="1" zoomScalePageLayoutView="0" workbookViewId="0" topLeftCell="A1">
      <selection activeCell="H5" sqref="H5"/>
    </sheetView>
  </sheetViews>
  <sheetFormatPr defaultColWidth="9.140625" defaultRowHeight="12.75"/>
  <cols>
    <col min="1" max="1" width="44.28125" style="1" customWidth="1"/>
    <col min="2" max="6" width="15.28125" style="1" customWidth="1"/>
    <col min="7" max="8" width="9.28125" style="1" customWidth="1"/>
    <col min="9" max="16384" width="9.140625" style="1" customWidth="1"/>
  </cols>
  <sheetData>
    <row r="1" spans="1:6" ht="15.75">
      <c r="A1" s="133" t="s">
        <v>67</v>
      </c>
      <c r="B1" s="133"/>
      <c r="C1" s="133"/>
      <c r="D1" s="133"/>
      <c r="E1" s="133"/>
      <c r="F1" s="133"/>
    </row>
    <row r="2" spans="1:6" ht="15.75">
      <c r="A2" s="133" t="s">
        <v>0</v>
      </c>
      <c r="B2" s="133"/>
      <c r="C2" s="133"/>
      <c r="D2" s="133"/>
      <c r="E2" s="133"/>
      <c r="F2" s="133"/>
    </row>
    <row r="3" spans="1:6" ht="15">
      <c r="A3" s="134" t="s">
        <v>66</v>
      </c>
      <c r="B3" s="134"/>
      <c r="C3" s="134"/>
      <c r="D3" s="134"/>
      <c r="E3" s="134"/>
      <c r="F3" s="134"/>
    </row>
    <row r="4" spans="1:6" ht="13.5" thickBot="1">
      <c r="A4" s="2"/>
      <c r="B4" s="2"/>
      <c r="C4" s="2"/>
      <c r="D4" s="2"/>
      <c r="E4" s="2"/>
      <c r="F4" s="2"/>
    </row>
    <row r="5" spans="1:6" ht="44.25" customHeight="1" thickBot="1">
      <c r="A5" s="114"/>
      <c r="B5" s="115" t="s">
        <v>2</v>
      </c>
      <c r="C5" s="116" t="s">
        <v>3</v>
      </c>
      <c r="D5" s="116" t="s">
        <v>70</v>
      </c>
      <c r="E5" s="117" t="s">
        <v>4</v>
      </c>
      <c r="F5" s="117" t="s">
        <v>68</v>
      </c>
    </row>
    <row r="6" spans="1:6" ht="12.75">
      <c r="A6" s="3" t="s">
        <v>5</v>
      </c>
      <c r="B6" s="4"/>
      <c r="C6" s="5"/>
      <c r="D6" s="5"/>
      <c r="E6" s="6"/>
      <c r="F6" s="6"/>
    </row>
    <row r="7" spans="1:6" ht="12.75">
      <c r="A7" s="7" t="s">
        <v>6</v>
      </c>
      <c r="B7" s="4"/>
      <c r="C7" s="5"/>
      <c r="D7" s="5"/>
      <c r="E7" s="6"/>
      <c r="F7" s="6"/>
    </row>
    <row r="8" spans="1:6" ht="12.75">
      <c r="A8" s="8" t="s">
        <v>7</v>
      </c>
      <c r="B8" s="4">
        <v>52573440</v>
      </c>
      <c r="C8" s="5">
        <v>0</v>
      </c>
      <c r="D8" s="5">
        <v>0</v>
      </c>
      <c r="E8" s="6">
        <v>52573440</v>
      </c>
      <c r="F8" s="6">
        <v>50927347</v>
      </c>
    </row>
    <row r="9" spans="1:6" ht="12.75">
      <c r="A9" s="8" t="s">
        <v>8</v>
      </c>
      <c r="B9" s="4">
        <v>386496165</v>
      </c>
      <c r="C9" s="5">
        <v>0</v>
      </c>
      <c r="D9" s="5">
        <v>0</v>
      </c>
      <c r="E9" s="6">
        <v>386496165</v>
      </c>
      <c r="F9" s="6">
        <v>359872344</v>
      </c>
    </row>
    <row r="10" spans="1:6" ht="12.75">
      <c r="A10" s="8" t="s">
        <v>9</v>
      </c>
      <c r="B10" s="4">
        <v>380905738</v>
      </c>
      <c r="C10" s="5">
        <v>0</v>
      </c>
      <c r="D10" s="5">
        <v>0</v>
      </c>
      <c r="E10" s="6">
        <v>380905738</v>
      </c>
      <c r="F10" s="6">
        <v>360743991</v>
      </c>
    </row>
    <row r="11" spans="1:6" ht="12.75">
      <c r="A11" s="8" t="s">
        <v>10</v>
      </c>
      <c r="B11" s="4">
        <v>0</v>
      </c>
      <c r="C11" s="5">
        <v>60252538</v>
      </c>
      <c r="D11" s="5">
        <v>0</v>
      </c>
      <c r="E11" s="6">
        <v>60252538</v>
      </c>
      <c r="F11" s="6">
        <v>59930135</v>
      </c>
    </row>
    <row r="12" spans="1:6" ht="12.75">
      <c r="A12" s="9" t="s">
        <v>11</v>
      </c>
      <c r="B12" s="4">
        <v>40726397</v>
      </c>
      <c r="C12" s="5">
        <v>54223775.870000005</v>
      </c>
      <c r="D12" s="5">
        <v>0</v>
      </c>
      <c r="E12" s="6">
        <v>94950172.87</v>
      </c>
      <c r="F12" s="6">
        <v>90597977</v>
      </c>
    </row>
    <row r="13" spans="1:6" ht="12.75">
      <c r="A13" s="10" t="s">
        <v>12</v>
      </c>
      <c r="B13" s="11">
        <v>860701740</v>
      </c>
      <c r="C13" s="12">
        <v>114476313.87</v>
      </c>
      <c r="D13" s="12">
        <v>0</v>
      </c>
      <c r="E13" s="13">
        <v>975178053.87</v>
      </c>
      <c r="F13" s="13">
        <v>922071794</v>
      </c>
    </row>
    <row r="14" spans="1:6" ht="12.75">
      <c r="A14" s="7" t="s">
        <v>13</v>
      </c>
      <c r="B14" s="4">
        <v>0</v>
      </c>
      <c r="C14" s="5">
        <v>4052524</v>
      </c>
      <c r="D14" s="5">
        <v>6211774</v>
      </c>
      <c r="E14" s="6">
        <v>10264298</v>
      </c>
      <c r="F14" s="6">
        <v>10805681</v>
      </c>
    </row>
    <row r="15" spans="1:6" ht="12.75">
      <c r="A15" s="7" t="s">
        <v>14</v>
      </c>
      <c r="B15" s="4"/>
      <c r="C15" s="5"/>
      <c r="D15" s="5"/>
      <c r="E15" s="6"/>
      <c r="F15" s="6"/>
    </row>
    <row r="16" spans="1:6" ht="12.75">
      <c r="A16" s="8" t="s">
        <v>15</v>
      </c>
      <c r="B16" s="4">
        <v>0</v>
      </c>
      <c r="C16" s="5">
        <v>0</v>
      </c>
      <c r="D16" s="5">
        <v>514527116</v>
      </c>
      <c r="E16" s="6">
        <v>514527116</v>
      </c>
      <c r="F16" s="6">
        <v>533165565</v>
      </c>
    </row>
    <row r="17" spans="1:6" ht="12.75">
      <c r="A17" s="8" t="s">
        <v>16</v>
      </c>
      <c r="B17" s="4">
        <v>0</v>
      </c>
      <c r="C17" s="5">
        <v>0</v>
      </c>
      <c r="D17" s="5">
        <v>36795077</v>
      </c>
      <c r="E17" s="6">
        <v>36795077</v>
      </c>
      <c r="F17" s="6">
        <v>34635809</v>
      </c>
    </row>
    <row r="18" spans="1:6" ht="12.75">
      <c r="A18" s="8" t="s">
        <v>17</v>
      </c>
      <c r="B18" s="4">
        <v>13872246</v>
      </c>
      <c r="C18" s="5">
        <v>0</v>
      </c>
      <c r="D18" s="5">
        <v>0</v>
      </c>
      <c r="E18" s="6">
        <v>13872246</v>
      </c>
      <c r="F18" s="6">
        <v>14171726</v>
      </c>
    </row>
    <row r="19" spans="1:6" ht="12.75">
      <c r="A19" s="9" t="s">
        <v>18</v>
      </c>
      <c r="B19" s="4">
        <v>97678360</v>
      </c>
      <c r="C19" s="5">
        <v>0</v>
      </c>
      <c r="D19" s="5">
        <v>0</v>
      </c>
      <c r="E19" s="6">
        <v>97678360</v>
      </c>
      <c r="F19" s="6">
        <v>92914994</v>
      </c>
    </row>
    <row r="20" spans="1:6" ht="12.75">
      <c r="A20" s="10" t="s">
        <v>19</v>
      </c>
      <c r="B20" s="11">
        <v>111550606</v>
      </c>
      <c r="C20" s="12">
        <v>4052524</v>
      </c>
      <c r="D20" s="12">
        <v>557533967</v>
      </c>
      <c r="E20" s="13">
        <v>673137097</v>
      </c>
      <c r="F20" s="13">
        <v>685693775</v>
      </c>
    </row>
    <row r="21" spans="1:6" ht="12.75">
      <c r="A21" s="7" t="s">
        <v>20</v>
      </c>
      <c r="B21" s="4">
        <v>0</v>
      </c>
      <c r="C21" s="5">
        <v>0</v>
      </c>
      <c r="D21" s="5">
        <v>208665361</v>
      </c>
      <c r="E21" s="6">
        <v>208665361</v>
      </c>
      <c r="F21" s="6">
        <v>217879372</v>
      </c>
    </row>
    <row r="22" spans="1:6" ht="12.75">
      <c r="A22" s="7" t="s">
        <v>21</v>
      </c>
      <c r="B22" s="4">
        <v>0</v>
      </c>
      <c r="C22" s="5">
        <v>165014077</v>
      </c>
      <c r="D22" s="5">
        <v>0</v>
      </c>
      <c r="E22" s="14">
        <v>165014077</v>
      </c>
      <c r="F22" s="6">
        <v>159655296</v>
      </c>
    </row>
    <row r="23" spans="1:6" ht="12.75">
      <c r="A23" s="7" t="s">
        <v>22</v>
      </c>
      <c r="B23" s="4">
        <v>0</v>
      </c>
      <c r="C23" s="5">
        <v>217099448</v>
      </c>
      <c r="D23" s="5">
        <v>0</v>
      </c>
      <c r="E23" s="6">
        <v>217099448</v>
      </c>
      <c r="F23" s="6">
        <v>217421194</v>
      </c>
    </row>
    <row r="24" spans="1:6" ht="12.75">
      <c r="A24" s="7" t="s">
        <v>23</v>
      </c>
      <c r="B24" s="4">
        <v>1950000</v>
      </c>
      <c r="C24" s="5">
        <v>583338747</v>
      </c>
      <c r="D24" s="5">
        <v>0</v>
      </c>
      <c r="E24" s="6">
        <v>585288747</v>
      </c>
      <c r="F24" s="6">
        <v>547470774</v>
      </c>
    </row>
    <row r="25" spans="1:6" ht="12.75">
      <c r="A25" s="7" t="s">
        <v>24</v>
      </c>
      <c r="B25" s="4">
        <v>0</v>
      </c>
      <c r="C25" s="5">
        <v>0</v>
      </c>
      <c r="D25" s="5">
        <v>0</v>
      </c>
      <c r="E25" s="6"/>
      <c r="F25" s="6">
        <v>0</v>
      </c>
    </row>
    <row r="26" spans="1:6" ht="12.75">
      <c r="A26" s="8" t="s">
        <v>25</v>
      </c>
      <c r="B26" s="4">
        <v>118364171</v>
      </c>
      <c r="C26" s="5">
        <v>36831094</v>
      </c>
      <c r="D26" s="5">
        <v>0</v>
      </c>
      <c r="E26" s="6">
        <v>155195265</v>
      </c>
      <c r="F26" s="6">
        <v>158964202</v>
      </c>
    </row>
    <row r="27" spans="1:6" ht="12.75">
      <c r="A27" s="8" t="s">
        <v>26</v>
      </c>
      <c r="B27" s="4">
        <v>4763537</v>
      </c>
      <c r="C27" s="5">
        <v>0</v>
      </c>
      <c r="D27" s="5">
        <v>0</v>
      </c>
      <c r="E27" s="6">
        <v>4763537</v>
      </c>
      <c r="F27" s="6">
        <v>4850663</v>
      </c>
    </row>
    <row r="28" spans="1:6" ht="13.5" thickBot="1">
      <c r="A28" s="15" t="s">
        <v>27</v>
      </c>
      <c r="B28" s="4">
        <v>20027906</v>
      </c>
      <c r="C28" s="16">
        <v>30847490</v>
      </c>
      <c r="D28" s="5">
        <v>3984361</v>
      </c>
      <c r="E28" s="17">
        <v>54859757</v>
      </c>
      <c r="F28" s="6">
        <v>56585742</v>
      </c>
    </row>
    <row r="29" spans="1:6" ht="13.5" thickTop="1">
      <c r="A29" s="47" t="s">
        <v>28</v>
      </c>
      <c r="B29" s="48">
        <v>1117357960</v>
      </c>
      <c r="C29" s="49">
        <v>1151659693.87</v>
      </c>
      <c r="D29" s="50">
        <v>770183689</v>
      </c>
      <c r="E29" s="51">
        <v>3039201342.87</v>
      </c>
      <c r="F29" s="51">
        <v>2970592812</v>
      </c>
    </row>
    <row r="30" spans="1:6" ht="12.75">
      <c r="A30" s="7"/>
      <c r="B30" s="4"/>
      <c r="C30" s="5"/>
      <c r="D30" s="5"/>
      <c r="E30" s="6"/>
      <c r="F30" s="6"/>
    </row>
    <row r="31" spans="1:6" ht="12.75">
      <c r="A31" s="3" t="s">
        <v>29</v>
      </c>
      <c r="B31" s="4"/>
      <c r="C31" s="5"/>
      <c r="D31" s="5"/>
      <c r="E31" s="6"/>
      <c r="F31" s="6"/>
    </row>
    <row r="32" spans="1:6" ht="12.75">
      <c r="A32" s="7" t="s">
        <v>30</v>
      </c>
      <c r="B32" s="4"/>
      <c r="C32" s="5"/>
      <c r="D32" s="5"/>
      <c r="E32" s="6"/>
      <c r="F32" s="6"/>
    </row>
    <row r="33" spans="1:6" ht="12.75">
      <c r="A33" s="8" t="s">
        <v>31</v>
      </c>
      <c r="B33" s="4">
        <v>584337317</v>
      </c>
      <c r="C33" s="5">
        <v>171782453</v>
      </c>
      <c r="D33" s="5">
        <v>126949270</v>
      </c>
      <c r="E33" s="6">
        <v>883069040</v>
      </c>
      <c r="F33" s="6">
        <v>849918232</v>
      </c>
    </row>
    <row r="34" spans="1:6" ht="12.75">
      <c r="A34" s="8" t="s">
        <v>32</v>
      </c>
      <c r="B34" s="4">
        <v>5296504</v>
      </c>
      <c r="C34" s="5">
        <v>701351</v>
      </c>
      <c r="D34" s="5">
        <v>480311758</v>
      </c>
      <c r="E34" s="6">
        <v>486309613</v>
      </c>
      <c r="F34" s="6">
        <v>517843681</v>
      </c>
    </row>
    <row r="35" spans="1:6" ht="12.75">
      <c r="A35" s="8" t="s">
        <v>33</v>
      </c>
      <c r="B35" s="4">
        <v>1234361</v>
      </c>
      <c r="C35" s="5">
        <v>68837396</v>
      </c>
      <c r="D35" s="5">
        <v>36898726</v>
      </c>
      <c r="E35" s="6">
        <v>106970483</v>
      </c>
      <c r="F35" s="6">
        <v>97429799</v>
      </c>
    </row>
    <row r="36" spans="1:6" ht="12.75">
      <c r="A36" s="8" t="s">
        <v>34</v>
      </c>
      <c r="B36" s="4">
        <v>158379559</v>
      </c>
      <c r="C36" s="5">
        <v>7524706</v>
      </c>
      <c r="D36" s="5">
        <v>5770074</v>
      </c>
      <c r="E36" s="6">
        <v>171674339</v>
      </c>
      <c r="F36" s="6">
        <v>153722917</v>
      </c>
    </row>
    <row r="37" spans="1:6" ht="12.75">
      <c r="A37" s="8" t="s">
        <v>35</v>
      </c>
      <c r="B37" s="4">
        <v>44607979</v>
      </c>
      <c r="C37" s="5">
        <v>48976366</v>
      </c>
      <c r="D37" s="5">
        <v>2602328</v>
      </c>
      <c r="E37" s="6">
        <v>96186673</v>
      </c>
      <c r="F37" s="6">
        <v>90629387</v>
      </c>
    </row>
    <row r="38" spans="1:6" ht="12.75">
      <c r="A38" s="8" t="s">
        <v>36</v>
      </c>
      <c r="B38" s="4">
        <v>92453305</v>
      </c>
      <c r="C38" s="5">
        <v>5528825</v>
      </c>
      <c r="D38" s="5">
        <v>3493530</v>
      </c>
      <c r="E38" s="6">
        <v>101475660</v>
      </c>
      <c r="F38" s="6">
        <v>97609459</v>
      </c>
    </row>
    <row r="39" spans="1:6" ht="12.75">
      <c r="A39" s="8" t="s">
        <v>37</v>
      </c>
      <c r="B39" s="4">
        <v>114226177</v>
      </c>
      <c r="C39" s="5">
        <v>17892276</v>
      </c>
      <c r="D39" s="5">
        <v>365862</v>
      </c>
      <c r="E39" s="6">
        <v>132484315</v>
      </c>
      <c r="F39" s="6">
        <v>129063855</v>
      </c>
    </row>
    <row r="40" spans="1:6" ht="12.75">
      <c r="A40" s="8" t="s">
        <v>38</v>
      </c>
      <c r="B40" s="4">
        <v>69268574</v>
      </c>
      <c r="C40" s="5">
        <v>11486323</v>
      </c>
      <c r="D40" s="5">
        <v>99495085</v>
      </c>
      <c r="E40" s="6">
        <v>180249982</v>
      </c>
      <c r="F40" s="6">
        <v>170781267</v>
      </c>
    </row>
    <row r="41" spans="1:6" ht="12.75">
      <c r="A41" s="7" t="s">
        <v>39</v>
      </c>
      <c r="B41" s="4">
        <v>0</v>
      </c>
      <c r="C41" s="5">
        <v>200111204</v>
      </c>
      <c r="D41" s="5">
        <v>8614924</v>
      </c>
      <c r="E41" s="6">
        <v>208726128</v>
      </c>
      <c r="F41" s="6">
        <v>199267823</v>
      </c>
    </row>
    <row r="42" spans="1:6" ht="12.75">
      <c r="A42" s="7" t="s">
        <v>23</v>
      </c>
      <c r="B42" s="4">
        <v>0</v>
      </c>
      <c r="C42" s="5">
        <v>539040013</v>
      </c>
      <c r="D42" s="5">
        <v>263621</v>
      </c>
      <c r="E42" s="6">
        <v>539303634</v>
      </c>
      <c r="F42" s="6">
        <v>519914482</v>
      </c>
    </row>
    <row r="43" spans="1:6" ht="13.5" thickBot="1">
      <c r="A43" s="18" t="s">
        <v>40</v>
      </c>
      <c r="B43" s="4">
        <v>0</v>
      </c>
      <c r="C43" s="16">
        <v>0</v>
      </c>
      <c r="D43" s="5">
        <v>0</v>
      </c>
      <c r="E43" s="6">
        <v>0</v>
      </c>
      <c r="F43" s="6">
        <v>0</v>
      </c>
    </row>
    <row r="44" spans="1:6" ht="13.5" thickTop="1">
      <c r="A44" s="47" t="s">
        <v>41</v>
      </c>
      <c r="B44" s="48">
        <v>1069803776</v>
      </c>
      <c r="C44" s="49">
        <v>1071880913</v>
      </c>
      <c r="D44" s="50">
        <v>764765178</v>
      </c>
      <c r="E44" s="51">
        <v>2906449867</v>
      </c>
      <c r="F44" s="51">
        <v>2826180902</v>
      </c>
    </row>
    <row r="45" spans="1:6" ht="12.75">
      <c r="A45" s="7"/>
      <c r="B45" s="4"/>
      <c r="C45" s="5"/>
      <c r="D45" s="5"/>
      <c r="E45" s="6"/>
      <c r="F45" s="6"/>
    </row>
    <row r="46" spans="1:6" ht="12.75">
      <c r="A46" s="3" t="s">
        <v>42</v>
      </c>
      <c r="B46" s="4"/>
      <c r="C46" s="5"/>
      <c r="D46" s="5"/>
      <c r="E46" s="6"/>
      <c r="F46" s="6"/>
    </row>
    <row r="47" spans="1:6" ht="12.75">
      <c r="A47" s="7" t="s">
        <v>43</v>
      </c>
      <c r="B47" s="4"/>
      <c r="C47" s="5"/>
      <c r="D47" s="5"/>
      <c r="E47" s="6"/>
      <c r="F47" s="6"/>
    </row>
    <row r="48" spans="1:6" ht="12.75">
      <c r="A48" s="8" t="s">
        <v>44</v>
      </c>
      <c r="B48" s="4">
        <v>15784330</v>
      </c>
      <c r="C48" s="5">
        <v>68704469</v>
      </c>
      <c r="D48" s="5">
        <v>319896</v>
      </c>
      <c r="E48" s="6">
        <v>84808695</v>
      </c>
      <c r="F48" s="6">
        <v>104582293</v>
      </c>
    </row>
    <row r="49" spans="1:6" ht="12.75">
      <c r="A49" s="8" t="s">
        <v>45</v>
      </c>
      <c r="B49" s="4">
        <v>0</v>
      </c>
      <c r="C49" s="5">
        <v>0</v>
      </c>
      <c r="D49" s="5">
        <v>0</v>
      </c>
      <c r="E49" s="6">
        <v>0</v>
      </c>
      <c r="F49" s="6">
        <v>0</v>
      </c>
    </row>
    <row r="50" spans="1:6" ht="12.75">
      <c r="A50" s="9" t="s">
        <v>46</v>
      </c>
      <c r="B50" s="4">
        <v>0</v>
      </c>
      <c r="C50" s="19">
        <v>0</v>
      </c>
      <c r="D50" s="5">
        <v>0</v>
      </c>
      <c r="E50" s="6">
        <v>0</v>
      </c>
      <c r="F50" s="6">
        <v>0</v>
      </c>
    </row>
    <row r="51" spans="1:6" ht="12.75">
      <c r="A51" s="20" t="s">
        <v>47</v>
      </c>
      <c r="B51" s="21">
        <v>15784330</v>
      </c>
      <c r="C51" s="19">
        <v>68704469</v>
      </c>
      <c r="D51" s="22">
        <v>319896</v>
      </c>
      <c r="E51" s="23">
        <v>84808695</v>
      </c>
      <c r="F51" s="23">
        <v>104582293</v>
      </c>
    </row>
    <row r="52" spans="1:6" ht="12.75">
      <c r="A52" s="7"/>
      <c r="B52" s="4"/>
      <c r="C52" s="5"/>
      <c r="D52" s="5"/>
      <c r="E52" s="6"/>
      <c r="F52" s="6"/>
    </row>
    <row r="53" spans="1:6" ht="12.75">
      <c r="A53" s="7" t="s">
        <v>48</v>
      </c>
      <c r="B53" s="4"/>
      <c r="C53" s="5"/>
      <c r="D53" s="5"/>
      <c r="E53" s="6"/>
      <c r="F53" s="6"/>
    </row>
    <row r="54" spans="1:6" ht="12.75">
      <c r="A54" s="8" t="s">
        <v>49</v>
      </c>
      <c r="B54" s="4">
        <v>22857806</v>
      </c>
      <c r="C54" s="5">
        <v>0</v>
      </c>
      <c r="D54" s="5">
        <v>0</v>
      </c>
      <c r="E54" s="6">
        <v>22857806</v>
      </c>
      <c r="F54" s="6">
        <v>11758121</v>
      </c>
    </row>
    <row r="55" spans="1:6" ht="12.75">
      <c r="A55" s="9" t="s">
        <v>40</v>
      </c>
      <c r="B55" s="24">
        <v>8912048</v>
      </c>
      <c r="C55" s="19">
        <v>11074312</v>
      </c>
      <c r="D55" s="19">
        <v>5098615</v>
      </c>
      <c r="E55" s="25">
        <v>25084975</v>
      </c>
      <c r="F55" s="25">
        <v>28071495</v>
      </c>
    </row>
    <row r="56" spans="1:6" ht="13.5" thickBot="1">
      <c r="A56" s="26" t="s">
        <v>50</v>
      </c>
      <c r="B56" s="27">
        <v>31769854</v>
      </c>
      <c r="C56" s="16">
        <v>11074312</v>
      </c>
      <c r="D56" s="16">
        <v>5098615</v>
      </c>
      <c r="E56" s="28">
        <v>47942781</v>
      </c>
      <c r="F56" s="29">
        <v>39829616</v>
      </c>
    </row>
    <row r="57" spans="1:6" ht="13.5" thickTop="1">
      <c r="A57" s="52" t="s">
        <v>51</v>
      </c>
      <c r="B57" s="53">
        <v>1117357960</v>
      </c>
      <c r="C57" s="49">
        <v>1151659694</v>
      </c>
      <c r="D57" s="49">
        <v>770183689</v>
      </c>
      <c r="E57" s="54">
        <v>3039201343</v>
      </c>
      <c r="F57" s="54">
        <v>2970592812</v>
      </c>
    </row>
    <row r="58" spans="1:6" ht="12.75">
      <c r="A58" s="7"/>
      <c r="B58" s="4"/>
      <c r="C58" s="5"/>
      <c r="D58" s="5"/>
      <c r="E58" s="6"/>
      <c r="F58" s="6"/>
    </row>
    <row r="59" spans="1:6" ht="13.5" thickBot="1">
      <c r="A59" s="30" t="s">
        <v>52</v>
      </c>
      <c r="B59" s="31">
        <v>0</v>
      </c>
      <c r="C59" s="32">
        <v>-0.13000011444091797</v>
      </c>
      <c r="D59" s="32">
        <v>0</v>
      </c>
      <c r="E59" s="33">
        <v>-0.13000011444091797</v>
      </c>
      <c r="F59" s="33">
        <v>0</v>
      </c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fitToHeight="1" fitToWidth="1" horizontalDpi="600" verticalDpi="600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showGridLines="0" zoomScalePageLayoutView="0" workbookViewId="0" topLeftCell="A1">
      <selection activeCell="J5" sqref="J5"/>
    </sheetView>
  </sheetViews>
  <sheetFormatPr defaultColWidth="9.140625" defaultRowHeight="12.75"/>
  <cols>
    <col min="1" max="1" width="45.28125" style="58" customWidth="1"/>
    <col min="2" max="6" width="15.28125" style="100" customWidth="1"/>
    <col min="7" max="7" width="9.140625" style="58" customWidth="1"/>
    <col min="8" max="8" width="9.28125" style="58" customWidth="1"/>
    <col min="9" max="16384" width="9.140625" style="58" customWidth="1"/>
  </cols>
  <sheetData>
    <row r="1" spans="1:6" ht="15.75">
      <c r="A1" s="135" t="s">
        <v>67</v>
      </c>
      <c r="B1" s="135"/>
      <c r="C1" s="135"/>
      <c r="D1" s="135"/>
      <c r="E1" s="135"/>
      <c r="F1" s="135"/>
    </row>
    <row r="2" spans="1:6" ht="15.75">
      <c r="A2" s="135" t="s">
        <v>0</v>
      </c>
      <c r="B2" s="135"/>
      <c r="C2" s="135"/>
      <c r="D2" s="135"/>
      <c r="E2" s="135"/>
      <c r="F2" s="135"/>
    </row>
    <row r="3" spans="1:6" ht="15">
      <c r="A3" s="136" t="s">
        <v>55</v>
      </c>
      <c r="B3" s="136"/>
      <c r="C3" s="136"/>
      <c r="D3" s="136"/>
      <c r="E3" s="136"/>
      <c r="F3" s="136"/>
    </row>
    <row r="4" spans="1:6" ht="13.5" thickBot="1">
      <c r="A4" s="59"/>
      <c r="B4" s="59"/>
      <c r="C4" s="59"/>
      <c r="D4" s="59"/>
      <c r="E4" s="59"/>
      <c r="F4" s="59"/>
    </row>
    <row r="5" spans="1:7" s="61" customFormat="1" ht="44.25" customHeight="1" thickBot="1">
      <c r="A5" s="118"/>
      <c r="B5" s="103" t="s">
        <v>2</v>
      </c>
      <c r="C5" s="104" t="s">
        <v>3</v>
      </c>
      <c r="D5" s="116" t="s">
        <v>70</v>
      </c>
      <c r="E5" s="105" t="s">
        <v>4</v>
      </c>
      <c r="F5" s="105" t="s">
        <v>69</v>
      </c>
      <c r="G5" s="60"/>
    </row>
    <row r="6" spans="1:6" ht="12.75">
      <c r="A6" s="62" t="s">
        <v>5</v>
      </c>
      <c r="B6" s="63"/>
      <c r="C6" s="64"/>
      <c r="D6" s="64"/>
      <c r="E6" s="65"/>
      <c r="F6" s="65"/>
    </row>
    <row r="7" spans="1:6" ht="12.75">
      <c r="A7" s="66" t="s">
        <v>6</v>
      </c>
      <c r="B7" s="63"/>
      <c r="C7" s="64"/>
      <c r="D7" s="64"/>
      <c r="E7" s="65"/>
      <c r="F7" s="65"/>
    </row>
    <row r="8" spans="1:6" ht="12.75">
      <c r="A8" s="67" t="s">
        <v>7</v>
      </c>
      <c r="B8" s="63">
        <v>27775962</v>
      </c>
      <c r="C8" s="64">
        <v>0</v>
      </c>
      <c r="D8" s="64">
        <v>0</v>
      </c>
      <c r="E8" s="65">
        <f aca="true" t="shared" si="0" ref="E8:E28">+B8+C8+D8</f>
        <v>27775962</v>
      </c>
      <c r="F8" s="65">
        <v>26960916</v>
      </c>
    </row>
    <row r="9" spans="1:6" ht="12.75">
      <c r="A9" s="67" t="s">
        <v>8</v>
      </c>
      <c r="B9" s="63">
        <v>187201699</v>
      </c>
      <c r="C9" s="64">
        <v>0</v>
      </c>
      <c r="D9" s="64">
        <v>0</v>
      </c>
      <c r="E9" s="65">
        <f t="shared" si="0"/>
        <v>187201699</v>
      </c>
      <c r="F9" s="65">
        <v>177402629</v>
      </c>
    </row>
    <row r="10" spans="1:6" ht="12.75">
      <c r="A10" s="67" t="s">
        <v>9</v>
      </c>
      <c r="B10" s="63">
        <v>294821511</v>
      </c>
      <c r="C10" s="64">
        <v>0</v>
      </c>
      <c r="D10" s="64">
        <v>0</v>
      </c>
      <c r="E10" s="65">
        <f t="shared" si="0"/>
        <v>294821511</v>
      </c>
      <c r="F10" s="65">
        <v>282799246</v>
      </c>
    </row>
    <row r="11" spans="1:6" ht="12.75">
      <c r="A11" s="67" t="s">
        <v>10</v>
      </c>
      <c r="B11" s="63">
        <v>0</v>
      </c>
      <c r="C11" s="64">
        <v>28485097</v>
      </c>
      <c r="D11" s="64">
        <v>0</v>
      </c>
      <c r="E11" s="65">
        <f t="shared" si="0"/>
        <v>28485097</v>
      </c>
      <c r="F11" s="65">
        <v>27926566</v>
      </c>
    </row>
    <row r="12" spans="1:6" ht="12.75">
      <c r="A12" s="68" t="s">
        <v>11</v>
      </c>
      <c r="B12" s="69">
        <v>15185514</v>
      </c>
      <c r="C12" s="64">
        <f>33988565+5327500</f>
        <v>39316065</v>
      </c>
      <c r="D12" s="64">
        <v>0</v>
      </c>
      <c r="E12" s="65">
        <f t="shared" si="0"/>
        <v>54501579</v>
      </c>
      <c r="F12" s="65">
        <v>51143675</v>
      </c>
    </row>
    <row r="13" spans="1:6" s="74" customFormat="1" ht="12.75">
      <c r="A13" s="70" t="s">
        <v>12</v>
      </c>
      <c r="B13" s="71">
        <f>SUM(B8:B12)</f>
        <v>524984686</v>
      </c>
      <c r="C13" s="72">
        <f>SUM(C8:C12)</f>
        <v>67801162</v>
      </c>
      <c r="D13" s="72">
        <f>SUM(D8:D12)</f>
        <v>0</v>
      </c>
      <c r="E13" s="73">
        <f t="shared" si="0"/>
        <v>592785848</v>
      </c>
      <c r="F13" s="73">
        <f>SUM(F8:F12)</f>
        <v>566233032</v>
      </c>
    </row>
    <row r="14" spans="1:6" ht="12.75">
      <c r="A14" s="66" t="s">
        <v>13</v>
      </c>
      <c r="B14" s="75">
        <v>0</v>
      </c>
      <c r="C14" s="64">
        <v>0</v>
      </c>
      <c r="D14" s="64">
        <v>2476000</v>
      </c>
      <c r="E14" s="65">
        <f t="shared" si="0"/>
        <v>2476000</v>
      </c>
      <c r="F14" s="65">
        <v>2620152</v>
      </c>
    </row>
    <row r="15" spans="1:6" ht="12.75">
      <c r="A15" s="66" t="s">
        <v>14</v>
      </c>
      <c r="B15" s="75"/>
      <c r="C15" s="64"/>
      <c r="D15" s="64"/>
      <c r="E15" s="65"/>
      <c r="F15" s="65"/>
    </row>
    <row r="16" spans="1:6" ht="12.75">
      <c r="A16" s="67" t="s">
        <v>15</v>
      </c>
      <c r="B16" s="75">
        <v>0</v>
      </c>
      <c r="C16" s="64">
        <v>0</v>
      </c>
      <c r="D16" s="64">
        <v>263241634</v>
      </c>
      <c r="E16" s="65">
        <f t="shared" si="0"/>
        <v>263241634</v>
      </c>
      <c r="F16" s="65">
        <v>269571978</v>
      </c>
    </row>
    <row r="17" spans="1:6" ht="12.75">
      <c r="A17" s="67" t="s">
        <v>16</v>
      </c>
      <c r="B17" s="75">
        <v>0</v>
      </c>
      <c r="C17" s="64">
        <v>0</v>
      </c>
      <c r="D17" s="64">
        <v>9177598</v>
      </c>
      <c r="E17" s="65">
        <f t="shared" si="0"/>
        <v>9177598</v>
      </c>
      <c r="F17" s="65">
        <v>8982485</v>
      </c>
    </row>
    <row r="18" spans="1:6" ht="12.75">
      <c r="A18" s="67" t="s">
        <v>17</v>
      </c>
      <c r="B18" s="75">
        <v>0</v>
      </c>
      <c r="C18" s="64">
        <v>0</v>
      </c>
      <c r="D18" s="64">
        <v>0</v>
      </c>
      <c r="E18" s="65">
        <f t="shared" si="0"/>
        <v>0</v>
      </c>
      <c r="F18" s="65">
        <v>0</v>
      </c>
    </row>
    <row r="19" spans="1:6" ht="12.75">
      <c r="A19" s="68" t="s">
        <v>18</v>
      </c>
      <c r="B19" s="75">
        <v>29570329</v>
      </c>
      <c r="C19" s="76">
        <v>0</v>
      </c>
      <c r="D19" s="76">
        <v>0</v>
      </c>
      <c r="E19" s="65">
        <f t="shared" si="0"/>
        <v>29570329</v>
      </c>
      <c r="F19" s="65">
        <v>27939202</v>
      </c>
    </row>
    <row r="20" spans="1:6" s="74" customFormat="1" ht="12.75">
      <c r="A20" s="70" t="s">
        <v>19</v>
      </c>
      <c r="B20" s="77">
        <f>SUM(B14:B19)</f>
        <v>29570329</v>
      </c>
      <c r="C20" s="72">
        <f>SUM(C14:C19)</f>
        <v>0</v>
      </c>
      <c r="D20" s="72">
        <f>SUM(D14:D19)</f>
        <v>274895232</v>
      </c>
      <c r="E20" s="73">
        <f>SUM(B20:D20)</f>
        <v>304465561</v>
      </c>
      <c r="F20" s="73">
        <f>SUM(F14:F19)</f>
        <v>309113817</v>
      </c>
    </row>
    <row r="21" spans="1:6" ht="12.75">
      <c r="A21" s="66" t="s">
        <v>20</v>
      </c>
      <c r="B21" s="63">
        <v>0</v>
      </c>
      <c r="C21" s="64">
        <v>0</v>
      </c>
      <c r="D21" s="64">
        <f>35000000+57734357</f>
        <v>92734357</v>
      </c>
      <c r="E21" s="65">
        <f t="shared" si="0"/>
        <v>92734357</v>
      </c>
      <c r="F21" s="65">
        <v>108204870</v>
      </c>
    </row>
    <row r="22" spans="1:6" ht="12.75">
      <c r="A22" s="66" t="s">
        <v>21</v>
      </c>
      <c r="B22" s="63">
        <v>0</v>
      </c>
      <c r="C22" s="64">
        <v>29792848</v>
      </c>
      <c r="D22" s="64">
        <v>0</v>
      </c>
      <c r="E22" s="65">
        <f t="shared" si="0"/>
        <v>29792848</v>
      </c>
      <c r="F22" s="78">
        <v>29759043</v>
      </c>
    </row>
    <row r="23" spans="1:6" ht="12.75">
      <c r="A23" s="66" t="s">
        <v>22</v>
      </c>
      <c r="B23" s="63">
        <v>0</v>
      </c>
      <c r="C23" s="64">
        <v>179031996</v>
      </c>
      <c r="D23" s="64">
        <v>0</v>
      </c>
      <c r="E23" s="65">
        <f t="shared" si="0"/>
        <v>179031996</v>
      </c>
      <c r="F23" s="65">
        <v>179522918</v>
      </c>
    </row>
    <row r="24" spans="1:6" ht="12.75">
      <c r="A24" s="66" t="s">
        <v>23</v>
      </c>
      <c r="B24" s="63">
        <v>0</v>
      </c>
      <c r="C24" s="64">
        <v>0</v>
      </c>
      <c r="D24" s="64">
        <v>0</v>
      </c>
      <c r="E24" s="65">
        <f t="shared" si="0"/>
        <v>0</v>
      </c>
      <c r="F24" s="65">
        <v>0</v>
      </c>
    </row>
    <row r="25" spans="1:6" ht="12.75">
      <c r="A25" s="66" t="s">
        <v>24</v>
      </c>
      <c r="B25" s="63"/>
      <c r="C25" s="64"/>
      <c r="D25" s="64"/>
      <c r="E25" s="65"/>
      <c r="F25" s="65"/>
    </row>
    <row r="26" spans="1:6" ht="12.75">
      <c r="A26" s="67" t="s">
        <v>25</v>
      </c>
      <c r="B26" s="63">
        <v>54791044</v>
      </c>
      <c r="C26" s="64">
        <v>22224219</v>
      </c>
      <c r="D26" s="64">
        <v>0</v>
      </c>
      <c r="E26" s="65">
        <f t="shared" si="0"/>
        <v>77015263</v>
      </c>
      <c r="F26" s="65">
        <v>78045052</v>
      </c>
    </row>
    <row r="27" spans="1:6" ht="12.75">
      <c r="A27" s="67" t="s">
        <v>26</v>
      </c>
      <c r="B27" s="63">
        <v>0</v>
      </c>
      <c r="C27" s="64">
        <v>0</v>
      </c>
      <c r="D27" s="64">
        <v>0</v>
      </c>
      <c r="E27" s="65">
        <f t="shared" si="0"/>
        <v>0</v>
      </c>
      <c r="F27" s="65">
        <v>0</v>
      </c>
    </row>
    <row r="28" spans="1:6" ht="13.5" thickBot="1">
      <c r="A28" s="79" t="s">
        <v>27</v>
      </c>
      <c r="B28" s="80">
        <v>4878030</v>
      </c>
      <c r="C28" s="81">
        <v>10003478</v>
      </c>
      <c r="D28" s="64">
        <v>0</v>
      </c>
      <c r="E28" s="65">
        <f t="shared" si="0"/>
        <v>14881508</v>
      </c>
      <c r="F28" s="82">
        <v>15039449</v>
      </c>
    </row>
    <row r="29" spans="1:8" s="74" customFormat="1" ht="13.5" thickTop="1">
      <c r="A29" s="106" t="s">
        <v>28</v>
      </c>
      <c r="B29" s="107">
        <f>SUM(B21:B28)+B20+B13</f>
        <v>614224089</v>
      </c>
      <c r="C29" s="108">
        <f>SUM(C21:C28)+C20+C13</f>
        <v>308853703</v>
      </c>
      <c r="D29" s="108">
        <f>SUM(D21:D28)+D20+D13</f>
        <v>367629589</v>
      </c>
      <c r="E29" s="109">
        <f>SUM(E21:E28)+E20+E13</f>
        <v>1290707381</v>
      </c>
      <c r="F29" s="109">
        <f>SUM(F21:F28)+F20+F13</f>
        <v>1285918181</v>
      </c>
      <c r="H29" s="83"/>
    </row>
    <row r="30" spans="1:6" ht="8.25" customHeight="1">
      <c r="A30" s="66"/>
      <c r="B30" s="63"/>
      <c r="C30" s="64"/>
      <c r="D30" s="64"/>
      <c r="E30" s="65"/>
      <c r="F30" s="65"/>
    </row>
    <row r="31" spans="1:6" ht="12.75">
      <c r="A31" s="62" t="s">
        <v>29</v>
      </c>
      <c r="B31" s="63"/>
      <c r="C31" s="64"/>
      <c r="D31" s="64"/>
      <c r="E31" s="65"/>
      <c r="F31" s="65"/>
    </row>
    <row r="32" spans="1:6" ht="12.75">
      <c r="A32" s="66" t="s">
        <v>30</v>
      </c>
      <c r="B32" s="63"/>
      <c r="C32" s="64"/>
      <c r="D32" s="64"/>
      <c r="E32" s="65"/>
      <c r="F32" s="65"/>
    </row>
    <row r="33" spans="1:6" ht="12.75">
      <c r="A33" s="67" t="s">
        <v>31</v>
      </c>
      <c r="B33" s="63">
        <v>336624723</v>
      </c>
      <c r="C33" s="64">
        <v>36210275</v>
      </c>
      <c r="D33" s="64">
        <v>37884806</v>
      </c>
      <c r="E33" s="65">
        <f aca="true" t="shared" si="1" ref="E33:E43">+B33+C33+D33</f>
        <v>410719804</v>
      </c>
      <c r="F33" s="65">
        <v>400986574</v>
      </c>
    </row>
    <row r="34" spans="1:6" ht="12.75">
      <c r="A34" s="67" t="s">
        <v>32</v>
      </c>
      <c r="B34" s="63">
        <v>4896519</v>
      </c>
      <c r="C34" s="64">
        <v>658369</v>
      </c>
      <c r="D34" s="64">
        <v>263811579</v>
      </c>
      <c r="E34" s="65">
        <f t="shared" si="1"/>
        <v>269366467</v>
      </c>
      <c r="F34" s="65">
        <v>270461918</v>
      </c>
    </row>
    <row r="35" spans="1:6" ht="12.75">
      <c r="A35" s="67" t="s">
        <v>33</v>
      </c>
      <c r="B35" s="63">
        <v>1006748</v>
      </c>
      <c r="C35" s="64">
        <v>2765148</v>
      </c>
      <c r="D35" s="64">
        <v>2959030</v>
      </c>
      <c r="E35" s="65">
        <f t="shared" si="1"/>
        <v>6730926</v>
      </c>
      <c r="F35" s="65">
        <v>6590306</v>
      </c>
    </row>
    <row r="36" spans="1:6" ht="12.75">
      <c r="A36" s="67" t="s">
        <v>34</v>
      </c>
      <c r="B36" s="63">
        <v>86427833</v>
      </c>
      <c r="C36" s="64">
        <v>6583686</v>
      </c>
      <c r="D36" s="64">
        <v>3489005</v>
      </c>
      <c r="E36" s="65">
        <f t="shared" si="1"/>
        <v>96500524</v>
      </c>
      <c r="F36" s="78">
        <v>94249957</v>
      </c>
    </row>
    <row r="37" spans="1:6" ht="12.75">
      <c r="A37" s="67" t="s">
        <v>35</v>
      </c>
      <c r="B37" s="63">
        <v>24389142</v>
      </c>
      <c r="C37" s="64">
        <v>41477224</v>
      </c>
      <c r="D37" s="64">
        <v>1766585</v>
      </c>
      <c r="E37" s="65">
        <f t="shared" si="1"/>
        <v>67632951</v>
      </c>
      <c r="F37" s="65">
        <v>66988986</v>
      </c>
    </row>
    <row r="38" spans="1:6" ht="12.75">
      <c r="A38" s="67" t="s">
        <v>36</v>
      </c>
      <c r="B38" s="63">
        <v>38184727</v>
      </c>
      <c r="C38" s="64">
        <v>4213559</v>
      </c>
      <c r="D38" s="64">
        <v>750799</v>
      </c>
      <c r="E38" s="65">
        <f t="shared" si="1"/>
        <v>43149085</v>
      </c>
      <c r="F38" s="65">
        <v>40919012</v>
      </c>
    </row>
    <row r="39" spans="1:6" ht="12.75">
      <c r="A39" s="67" t="s">
        <v>37</v>
      </c>
      <c r="B39" s="63">
        <f>76009221+117764</f>
        <v>76126985</v>
      </c>
      <c r="C39" s="64">
        <v>0</v>
      </c>
      <c r="D39" s="64">
        <v>309152</v>
      </c>
      <c r="E39" s="65">
        <f t="shared" si="1"/>
        <v>76436137</v>
      </c>
      <c r="F39" s="78">
        <v>72972570</v>
      </c>
    </row>
    <row r="40" spans="1:6" ht="12.75">
      <c r="A40" s="67" t="s">
        <v>38</v>
      </c>
      <c r="B40" s="63">
        <f>46567411+1</f>
        <v>46567412</v>
      </c>
      <c r="C40" s="64">
        <v>10533898</v>
      </c>
      <c r="D40" s="64">
        <v>45047916</v>
      </c>
      <c r="E40" s="65">
        <f t="shared" si="1"/>
        <v>102149226</v>
      </c>
      <c r="F40" s="65">
        <v>96649577</v>
      </c>
    </row>
    <row r="41" spans="1:6" ht="12.75">
      <c r="A41" s="66" t="s">
        <v>39</v>
      </c>
      <c r="B41" s="63">
        <v>0</v>
      </c>
      <c r="C41" s="64">
        <v>161692293</v>
      </c>
      <c r="D41" s="64">
        <v>8612102</v>
      </c>
      <c r="E41" s="65">
        <f t="shared" si="1"/>
        <v>170304395</v>
      </c>
      <c r="F41" s="65">
        <v>165786468</v>
      </c>
    </row>
    <row r="42" spans="1:6" ht="12.75">
      <c r="A42" s="66" t="s">
        <v>23</v>
      </c>
      <c r="B42" s="63">
        <v>0</v>
      </c>
      <c r="C42" s="64">
        <v>0</v>
      </c>
      <c r="D42" s="64">
        <v>0</v>
      </c>
      <c r="E42" s="65">
        <f t="shared" si="1"/>
        <v>0</v>
      </c>
      <c r="F42" s="65">
        <v>0</v>
      </c>
    </row>
    <row r="43" spans="1:6" ht="13.5" thickBot="1">
      <c r="A43" s="84" t="s">
        <v>40</v>
      </c>
      <c r="B43" s="80">
        <v>0</v>
      </c>
      <c r="C43" s="81">
        <v>0</v>
      </c>
      <c r="D43" s="81">
        <v>0</v>
      </c>
      <c r="E43" s="65">
        <f t="shared" si="1"/>
        <v>0</v>
      </c>
      <c r="F43" s="85">
        <v>0</v>
      </c>
    </row>
    <row r="44" spans="1:6" s="74" customFormat="1" ht="13.5" thickTop="1">
      <c r="A44" s="106" t="s">
        <v>41</v>
      </c>
      <c r="B44" s="107">
        <f>SUM(B33:B43)</f>
        <v>614224089</v>
      </c>
      <c r="C44" s="108">
        <f>SUM(C33:C43)</f>
        <v>264134452</v>
      </c>
      <c r="D44" s="108">
        <f>SUM(D33:D43)</f>
        <v>364630974</v>
      </c>
      <c r="E44" s="109">
        <f>SUM(B44:D44)</f>
        <v>1242989515</v>
      </c>
      <c r="F44" s="109">
        <f>SUM(F33:F43)</f>
        <v>1215605368</v>
      </c>
    </row>
    <row r="45" spans="1:6" ht="6.75" customHeight="1">
      <c r="A45" s="66"/>
      <c r="B45" s="63"/>
      <c r="C45" s="64"/>
      <c r="D45" s="64"/>
      <c r="E45" s="65"/>
      <c r="F45" s="65"/>
    </row>
    <row r="46" spans="1:6" ht="12.75">
      <c r="A46" s="62" t="s">
        <v>42</v>
      </c>
      <c r="B46" s="63"/>
      <c r="C46" s="64"/>
      <c r="D46" s="64"/>
      <c r="E46" s="65"/>
      <c r="F46" s="65"/>
    </row>
    <row r="47" spans="1:6" ht="12.75">
      <c r="A47" s="66" t="s">
        <v>43</v>
      </c>
      <c r="B47" s="63"/>
      <c r="C47" s="64"/>
      <c r="D47" s="64"/>
      <c r="E47" s="65"/>
      <c r="F47" s="65"/>
    </row>
    <row r="48" spans="1:6" ht="12.75">
      <c r="A48" s="67" t="s">
        <v>44</v>
      </c>
      <c r="B48" s="63">
        <v>0</v>
      </c>
      <c r="C48" s="64">
        <v>40583467</v>
      </c>
      <c r="D48" s="64">
        <v>0</v>
      </c>
      <c r="E48" s="65">
        <f>+B48+C48+D48</f>
        <v>40583467</v>
      </c>
      <c r="F48" s="65">
        <v>62311193</v>
      </c>
    </row>
    <row r="49" spans="1:6" ht="12.75">
      <c r="A49" s="67" t="s">
        <v>45</v>
      </c>
      <c r="B49" s="63">
        <v>0</v>
      </c>
      <c r="C49" s="64">
        <v>0</v>
      </c>
      <c r="D49" s="64">
        <v>0</v>
      </c>
      <c r="E49" s="65">
        <f>+B49+C49+D49</f>
        <v>0</v>
      </c>
      <c r="F49" s="65">
        <v>0</v>
      </c>
    </row>
    <row r="50" spans="1:6" ht="12.75">
      <c r="A50" s="68" t="s">
        <v>46</v>
      </c>
      <c r="B50" s="69">
        <v>0</v>
      </c>
      <c r="C50" s="76">
        <v>0</v>
      </c>
      <c r="D50" s="76">
        <v>0</v>
      </c>
      <c r="E50" s="86">
        <f>+B50+C50+D50</f>
        <v>0</v>
      </c>
      <c r="F50" s="86">
        <v>0</v>
      </c>
    </row>
    <row r="51" spans="1:6" ht="12.75">
      <c r="A51" s="87" t="s">
        <v>47</v>
      </c>
      <c r="B51" s="88">
        <f>SUM(B48:B50)</f>
        <v>0</v>
      </c>
      <c r="C51" s="89">
        <f>SUM(C48:C50)</f>
        <v>40583467</v>
      </c>
      <c r="D51" s="89">
        <f>SUM(D48:D50)</f>
        <v>0</v>
      </c>
      <c r="E51" s="90">
        <f>SUM(B51:D51)</f>
        <v>40583467</v>
      </c>
      <c r="F51" s="90">
        <f>SUM(F48:F50)</f>
        <v>62311193</v>
      </c>
    </row>
    <row r="52" spans="1:6" ht="12.75">
      <c r="A52" s="66"/>
      <c r="B52" s="63"/>
      <c r="C52" s="64"/>
      <c r="D52" s="64"/>
      <c r="E52" s="65"/>
      <c r="F52" s="65"/>
    </row>
    <row r="53" spans="1:6" ht="12.75">
      <c r="A53" s="66" t="s">
        <v>48</v>
      </c>
      <c r="B53" s="63"/>
      <c r="C53" s="64"/>
      <c r="D53" s="64"/>
      <c r="E53" s="65"/>
      <c r="F53" s="65"/>
    </row>
    <row r="54" spans="1:6" ht="12.75">
      <c r="A54" s="67" t="s">
        <v>49</v>
      </c>
      <c r="B54" s="63">
        <v>0</v>
      </c>
      <c r="C54" s="64">
        <v>0</v>
      </c>
      <c r="D54" s="64">
        <v>0</v>
      </c>
      <c r="E54" s="65">
        <f>+B54+C54+D54</f>
        <v>0</v>
      </c>
      <c r="F54" s="65">
        <v>0</v>
      </c>
    </row>
    <row r="55" spans="1:6" ht="12.75">
      <c r="A55" s="68" t="s">
        <v>40</v>
      </c>
      <c r="B55" s="69">
        <v>0</v>
      </c>
      <c r="C55" s="76">
        <v>4135784</v>
      </c>
      <c r="D55" s="76">
        <v>2998615</v>
      </c>
      <c r="E55" s="86">
        <f>+B55+C55+D55</f>
        <v>7134399</v>
      </c>
      <c r="F55" s="86">
        <v>8001620</v>
      </c>
    </row>
    <row r="56" spans="1:6" ht="13.5" thickBot="1">
      <c r="A56" s="91" t="s">
        <v>50</v>
      </c>
      <c r="B56" s="92">
        <f>SUM(B54:B55)</f>
        <v>0</v>
      </c>
      <c r="C56" s="93">
        <f>SUM(C54:C55)</f>
        <v>4135784</v>
      </c>
      <c r="D56" s="93">
        <f>SUM(D54:D55)</f>
        <v>2998615</v>
      </c>
      <c r="E56" s="94">
        <f>+B56+C56+D56</f>
        <v>7134399</v>
      </c>
      <c r="F56" s="94">
        <f>SUM(F53:F55)</f>
        <v>8001620</v>
      </c>
    </row>
    <row r="57" spans="1:6" s="74" customFormat="1" ht="13.5" thickTop="1">
      <c r="A57" s="110" t="s">
        <v>51</v>
      </c>
      <c r="B57" s="111">
        <f>+B44+B51+B56</f>
        <v>614224089</v>
      </c>
      <c r="C57" s="112">
        <f>+C56+C51+C44</f>
        <v>308853703</v>
      </c>
      <c r="D57" s="112">
        <f>+D56+D51+D44</f>
        <v>367629589</v>
      </c>
      <c r="E57" s="113">
        <f>+B57+C57+D57</f>
        <v>1290707381</v>
      </c>
      <c r="F57" s="113">
        <f>F44+F51+F56</f>
        <v>1285918181</v>
      </c>
    </row>
    <row r="58" spans="1:6" ht="6.75" customHeight="1">
      <c r="A58" s="66"/>
      <c r="B58" s="63"/>
      <c r="C58" s="64"/>
      <c r="D58" s="64"/>
      <c r="E58" s="65"/>
      <c r="F58" s="65"/>
    </row>
    <row r="59" spans="1:8" ht="18" customHeight="1" thickBot="1">
      <c r="A59" s="95" t="s">
        <v>52</v>
      </c>
      <c r="B59" s="96">
        <f>+B29-B57</f>
        <v>0</v>
      </c>
      <c r="C59" s="97">
        <f>+C29-C57</f>
        <v>0</v>
      </c>
      <c r="D59" s="97">
        <f>+D29-D57</f>
        <v>0</v>
      </c>
      <c r="E59" s="98">
        <f>+E29-E57</f>
        <v>0</v>
      </c>
      <c r="F59" s="98">
        <f>F29-F57</f>
        <v>0</v>
      </c>
      <c r="H59" s="99"/>
    </row>
    <row r="61" ht="12.75">
      <c r="A61" s="55" t="s">
        <v>54</v>
      </c>
    </row>
    <row r="62" ht="12.75">
      <c r="A62" s="56" t="s">
        <v>56</v>
      </c>
    </row>
    <row r="63" ht="12.75">
      <c r="A63" s="57" t="s">
        <v>57</v>
      </c>
    </row>
    <row r="64" ht="12.75">
      <c r="A64" s="57" t="s">
        <v>58</v>
      </c>
    </row>
    <row r="65" ht="12.75">
      <c r="A65" s="57" t="s">
        <v>59</v>
      </c>
    </row>
    <row r="66" ht="12.75">
      <c r="A66" s="57" t="s">
        <v>60</v>
      </c>
    </row>
    <row r="67" spans="1:2" ht="12.75">
      <c r="A67" s="57" t="s">
        <v>61</v>
      </c>
      <c r="B67" s="101"/>
    </row>
    <row r="68" spans="1:6" ht="12.75">
      <c r="A68" s="57" t="s">
        <v>62</v>
      </c>
      <c r="B68" s="101"/>
      <c r="C68" s="101"/>
      <c r="D68" s="101"/>
      <c r="E68" s="101"/>
      <c r="F68" s="101"/>
    </row>
    <row r="69" spans="1:2" ht="12.75">
      <c r="A69" s="56" t="s">
        <v>63</v>
      </c>
      <c r="B69" s="101"/>
    </row>
    <row r="70" ht="12.75">
      <c r="A70" s="57" t="s">
        <v>64</v>
      </c>
    </row>
    <row r="74" ht="12.75">
      <c r="B74" s="102"/>
    </row>
    <row r="75" ht="12.75">
      <c r="B75" s="102"/>
    </row>
  </sheetData>
  <sheetProtection/>
  <mergeCells count="3">
    <mergeCell ref="A1:F1"/>
    <mergeCell ref="A2:F2"/>
    <mergeCell ref="A3:F3"/>
  </mergeCells>
  <printOptions horizontalCentered="1"/>
  <pageMargins left="0.75" right="0.75" top="1" bottom="0.58" header="0.5" footer="0.38"/>
  <pageSetup fitToHeight="1" fitToWidth="1"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showGridLines="0" zoomScalePageLayoutView="0" workbookViewId="0" topLeftCell="A1">
      <selection activeCell="H2" sqref="H2"/>
    </sheetView>
  </sheetViews>
  <sheetFormatPr defaultColWidth="15.7109375" defaultRowHeight="12.75"/>
  <cols>
    <col min="1" max="1" width="44.28125" style="119" customWidth="1"/>
    <col min="2" max="6" width="15.28125" style="128" customWidth="1"/>
    <col min="7" max="9" width="9.8515625" style="119" customWidth="1"/>
    <col min="10" max="252" width="9.140625" style="119" customWidth="1"/>
    <col min="253" max="253" width="51.57421875" style="119" customWidth="1"/>
    <col min="254" max="254" width="17.00390625" style="119" customWidth="1"/>
    <col min="255" max="16384" width="15.7109375" style="119" customWidth="1"/>
  </cols>
  <sheetData>
    <row r="1" spans="1:6" ht="15.75">
      <c r="A1" s="133" t="s">
        <v>67</v>
      </c>
      <c r="B1" s="133"/>
      <c r="C1" s="133"/>
      <c r="D1" s="133"/>
      <c r="E1" s="133"/>
      <c r="F1" s="133"/>
    </row>
    <row r="2" spans="1:6" ht="15.75">
      <c r="A2" s="133" t="s">
        <v>0</v>
      </c>
      <c r="B2" s="133"/>
      <c r="C2" s="133"/>
      <c r="D2" s="133"/>
      <c r="E2" s="133"/>
      <c r="F2" s="133"/>
    </row>
    <row r="3" spans="1:6" ht="15">
      <c r="A3" s="134" t="s">
        <v>53</v>
      </c>
      <c r="B3" s="134"/>
      <c r="C3" s="134"/>
      <c r="D3" s="134"/>
      <c r="E3" s="134"/>
      <c r="F3" s="134"/>
    </row>
    <row r="4" spans="1:6" ht="13.5" thickBot="1">
      <c r="A4" s="2"/>
      <c r="B4" s="2"/>
      <c r="C4" s="2"/>
      <c r="D4" s="2"/>
      <c r="E4" s="2"/>
      <c r="F4" s="2"/>
    </row>
    <row r="5" spans="1:7" s="121" customFormat="1" ht="44.25" customHeight="1" thickBot="1">
      <c r="A5" s="131"/>
      <c r="B5" s="115" t="s">
        <v>2</v>
      </c>
      <c r="C5" s="116" t="s">
        <v>3</v>
      </c>
      <c r="D5" s="116" t="s">
        <v>70</v>
      </c>
      <c r="E5" s="117" t="s">
        <v>4</v>
      </c>
      <c r="F5" s="117" t="s">
        <v>69</v>
      </c>
      <c r="G5" s="120"/>
    </row>
    <row r="6" spans="1:6" ht="12.75">
      <c r="A6" s="3" t="s">
        <v>5</v>
      </c>
      <c r="B6" s="4"/>
      <c r="C6" s="5"/>
      <c r="D6" s="35"/>
      <c r="E6" s="14"/>
      <c r="F6" s="14"/>
    </row>
    <row r="7" spans="1:6" ht="12.75">
      <c r="A7" s="7" t="s">
        <v>6</v>
      </c>
      <c r="B7" s="4"/>
      <c r="C7" s="5"/>
      <c r="D7" s="35"/>
      <c r="E7" s="14"/>
      <c r="F7" s="14"/>
    </row>
    <row r="8" spans="1:6" ht="12.75">
      <c r="A8" s="8" t="s">
        <v>7</v>
      </c>
      <c r="B8" s="4">
        <v>11901915</v>
      </c>
      <c r="C8" s="5">
        <v>0</v>
      </c>
      <c r="D8" s="35">
        <v>0</v>
      </c>
      <c r="E8" s="14">
        <f aca="true" t="shared" si="0" ref="E8:E28">+B8+C8+D8</f>
        <v>11901915</v>
      </c>
      <c r="F8" s="14">
        <v>11313295</v>
      </c>
    </row>
    <row r="9" spans="1:6" ht="12.75">
      <c r="A9" s="8" t="s">
        <v>8</v>
      </c>
      <c r="B9" s="4">
        <v>65985944</v>
      </c>
      <c r="C9" s="5">
        <v>0</v>
      </c>
      <c r="D9" s="35">
        <v>0</v>
      </c>
      <c r="E9" s="14">
        <f t="shared" si="0"/>
        <v>65985944</v>
      </c>
      <c r="F9" s="14">
        <v>60421121</v>
      </c>
    </row>
    <row r="10" spans="1:6" ht="12.75">
      <c r="A10" s="8" t="s">
        <v>9</v>
      </c>
      <c r="B10" s="4">
        <v>19056936</v>
      </c>
      <c r="C10" s="5">
        <v>0</v>
      </c>
      <c r="D10" s="35">
        <v>0</v>
      </c>
      <c r="E10" s="14">
        <f t="shared" si="0"/>
        <v>19056936</v>
      </c>
      <c r="F10" s="14">
        <v>15589720</v>
      </c>
    </row>
    <row r="11" spans="1:6" ht="12.75">
      <c r="A11" s="8" t="s">
        <v>10</v>
      </c>
      <c r="B11" s="4">
        <v>0</v>
      </c>
      <c r="C11" s="5">
        <v>2965114</v>
      </c>
      <c r="D11" s="35">
        <v>0</v>
      </c>
      <c r="E11" s="14">
        <f t="shared" si="0"/>
        <v>2965114</v>
      </c>
      <c r="F11" s="14">
        <v>3386327</v>
      </c>
    </row>
    <row r="12" spans="1:6" ht="12.75">
      <c r="A12" s="9" t="s">
        <v>11</v>
      </c>
      <c r="B12" s="24">
        <v>4276829</v>
      </c>
      <c r="C12" s="5">
        <f>(8369141)*1.07</f>
        <v>8954980.870000001</v>
      </c>
      <c r="D12" s="35">
        <v>0</v>
      </c>
      <c r="E12" s="14">
        <f t="shared" si="0"/>
        <v>13231809.870000001</v>
      </c>
      <c r="F12" s="14">
        <v>13089370</v>
      </c>
    </row>
    <row r="13" spans="1:7" s="122" customFormat="1" ht="12.75">
      <c r="A13" s="10" t="s">
        <v>12</v>
      </c>
      <c r="B13" s="36">
        <f>SUM(B8:B12)</f>
        <v>101221624</v>
      </c>
      <c r="C13" s="12">
        <f>SUM(C8:C12)</f>
        <v>11920094.870000001</v>
      </c>
      <c r="D13" s="37">
        <f>SUM(D8:D12)</f>
        <v>0</v>
      </c>
      <c r="E13" s="38">
        <f t="shared" si="0"/>
        <v>113141718.87</v>
      </c>
      <c r="F13" s="38">
        <f>SUM(F8:F12)</f>
        <v>103799833</v>
      </c>
      <c r="G13" s="119"/>
    </row>
    <row r="14" spans="1:6" ht="12.75">
      <c r="A14" s="7" t="s">
        <v>13</v>
      </c>
      <c r="B14" s="34">
        <v>0</v>
      </c>
      <c r="C14" s="5">
        <v>0</v>
      </c>
      <c r="D14" s="35">
        <v>0</v>
      </c>
      <c r="E14" s="14">
        <f t="shared" si="0"/>
        <v>0</v>
      </c>
      <c r="F14" s="14">
        <v>0</v>
      </c>
    </row>
    <row r="15" spans="1:6" ht="12.75">
      <c r="A15" s="7" t="s">
        <v>14</v>
      </c>
      <c r="B15" s="34"/>
      <c r="C15" s="5"/>
      <c r="D15" s="35"/>
      <c r="E15" s="14"/>
      <c r="F15" s="14"/>
    </row>
    <row r="16" spans="1:6" ht="12.75">
      <c r="A16" s="8" t="s">
        <v>15</v>
      </c>
      <c r="B16" s="34">
        <v>0</v>
      </c>
      <c r="C16" s="5">
        <v>0</v>
      </c>
      <c r="D16" s="35">
        <v>17542835</v>
      </c>
      <c r="E16" s="14">
        <f t="shared" si="0"/>
        <v>17542835</v>
      </c>
      <c r="F16" s="14">
        <v>16447043</v>
      </c>
    </row>
    <row r="17" spans="1:6" ht="12.75">
      <c r="A17" s="8" t="s">
        <v>16</v>
      </c>
      <c r="B17" s="34">
        <v>0</v>
      </c>
      <c r="C17" s="5">
        <v>0</v>
      </c>
      <c r="D17" s="35">
        <v>5047370</v>
      </c>
      <c r="E17" s="14">
        <f t="shared" si="0"/>
        <v>5047370</v>
      </c>
      <c r="F17" s="14">
        <v>4588518</v>
      </c>
    </row>
    <row r="18" spans="1:6" ht="12.75">
      <c r="A18" s="8" t="s">
        <v>17</v>
      </c>
      <c r="B18" s="34">
        <v>0</v>
      </c>
      <c r="C18" s="5">
        <v>0</v>
      </c>
      <c r="D18" s="35">
        <v>0</v>
      </c>
      <c r="E18" s="14">
        <f t="shared" si="0"/>
        <v>0</v>
      </c>
      <c r="F18" s="14">
        <v>0</v>
      </c>
    </row>
    <row r="19" spans="1:6" ht="12.75">
      <c r="A19" s="9" t="s">
        <v>18</v>
      </c>
      <c r="B19" s="34">
        <v>6495858</v>
      </c>
      <c r="C19" s="19">
        <v>0</v>
      </c>
      <c r="D19" s="40">
        <v>0</v>
      </c>
      <c r="E19" s="14">
        <f t="shared" si="0"/>
        <v>6495858</v>
      </c>
      <c r="F19" s="14">
        <v>5888805</v>
      </c>
    </row>
    <row r="20" spans="1:7" s="122" customFormat="1" ht="12.75">
      <c r="A20" s="10" t="s">
        <v>19</v>
      </c>
      <c r="B20" s="11">
        <f>SUM(B14:B19)</f>
        <v>6495858</v>
      </c>
      <c r="C20" s="12">
        <f>SUM(C14:C19)</f>
        <v>0</v>
      </c>
      <c r="D20" s="37">
        <f>SUM(D14:D19)</f>
        <v>22590205</v>
      </c>
      <c r="E20" s="38">
        <f>SUM(B20:D20)</f>
        <v>29086063</v>
      </c>
      <c r="F20" s="38">
        <f>SUM(F14:F19)</f>
        <v>26924366</v>
      </c>
      <c r="G20" s="119"/>
    </row>
    <row r="21" spans="1:6" ht="12.75">
      <c r="A21" s="7" t="s">
        <v>20</v>
      </c>
      <c r="B21" s="4">
        <v>0</v>
      </c>
      <c r="C21" s="5">
        <v>0</v>
      </c>
      <c r="D21" s="35">
        <v>12258612</v>
      </c>
      <c r="E21" s="14">
        <f t="shared" si="0"/>
        <v>12258612</v>
      </c>
      <c r="F21" s="14">
        <v>9235102</v>
      </c>
    </row>
    <row r="22" spans="1:6" ht="12.75">
      <c r="A22" s="7" t="s">
        <v>21</v>
      </c>
      <c r="B22" s="4">
        <v>0</v>
      </c>
      <c r="C22" s="5">
        <v>373630</v>
      </c>
      <c r="D22" s="35">
        <v>0</v>
      </c>
      <c r="E22" s="14">
        <f t="shared" si="0"/>
        <v>373630</v>
      </c>
      <c r="F22" s="14">
        <v>450787</v>
      </c>
    </row>
    <row r="23" spans="1:6" ht="12.75">
      <c r="A23" s="7" t="s">
        <v>22</v>
      </c>
      <c r="B23" s="4">
        <v>0</v>
      </c>
      <c r="C23" s="5">
        <f>20283167+850000</f>
        <v>21133167</v>
      </c>
      <c r="D23" s="35">
        <v>0</v>
      </c>
      <c r="E23" s="14">
        <f t="shared" si="0"/>
        <v>21133167</v>
      </c>
      <c r="F23" s="14">
        <f>21207653-400000</f>
        <v>20807653</v>
      </c>
    </row>
    <row r="24" spans="1:6" ht="12.75">
      <c r="A24" s="7" t="s">
        <v>23</v>
      </c>
      <c r="B24" s="4">
        <v>0</v>
      </c>
      <c r="C24" s="5">
        <v>587870</v>
      </c>
      <c r="D24" s="35">
        <v>0</v>
      </c>
      <c r="E24" s="14">
        <f t="shared" si="0"/>
        <v>587870</v>
      </c>
      <c r="F24" s="14">
        <f>123156+400000</f>
        <v>523156</v>
      </c>
    </row>
    <row r="25" spans="1:6" ht="12.75">
      <c r="A25" s="7" t="s">
        <v>24</v>
      </c>
      <c r="B25" s="4"/>
      <c r="C25" s="5"/>
      <c r="D25" s="35"/>
      <c r="E25" s="14"/>
      <c r="F25" s="14"/>
    </row>
    <row r="26" spans="1:10" ht="12.75">
      <c r="A26" s="8" t="s">
        <v>25</v>
      </c>
      <c r="B26" s="4">
        <v>1365900</v>
      </c>
      <c r="C26" s="5">
        <v>0</v>
      </c>
      <c r="D26" s="35">
        <v>0</v>
      </c>
      <c r="E26" s="14">
        <f t="shared" si="0"/>
        <v>1365900</v>
      </c>
      <c r="F26" s="14">
        <v>1127840</v>
      </c>
      <c r="J26" s="123"/>
    </row>
    <row r="27" spans="1:10" ht="12.75">
      <c r="A27" s="8" t="s">
        <v>26</v>
      </c>
      <c r="B27" s="4">
        <v>0</v>
      </c>
      <c r="C27" s="5">
        <v>0</v>
      </c>
      <c r="D27" s="35">
        <v>0</v>
      </c>
      <c r="E27" s="14">
        <f t="shared" si="0"/>
        <v>0</v>
      </c>
      <c r="F27" s="14">
        <v>0</v>
      </c>
      <c r="J27" s="123"/>
    </row>
    <row r="28" spans="1:10" ht="13.5" thickBot="1">
      <c r="A28" s="15" t="s">
        <v>27</v>
      </c>
      <c r="B28" s="27">
        <f>1526556+911327</f>
        <v>2437883</v>
      </c>
      <c r="C28" s="16">
        <f>259390+736537+10000+539888+4683522+13000+64348</f>
        <v>6306685</v>
      </c>
      <c r="D28" s="35">
        <v>225392</v>
      </c>
      <c r="E28" s="14">
        <f t="shared" si="0"/>
        <v>8969960</v>
      </c>
      <c r="F28" s="17">
        <v>7737473</v>
      </c>
      <c r="J28" s="123"/>
    </row>
    <row r="29" spans="1:7" s="122" customFormat="1" ht="13.5" thickTop="1">
      <c r="A29" s="47" t="s">
        <v>28</v>
      </c>
      <c r="B29" s="48">
        <f>SUM(B21:B28)+B20+B13</f>
        <v>111521265</v>
      </c>
      <c r="C29" s="50">
        <f>SUM(C21:C28)+C20+C13</f>
        <v>40321446.870000005</v>
      </c>
      <c r="D29" s="50">
        <f>SUM(D21:D28)+D20+D13</f>
        <v>35074209</v>
      </c>
      <c r="E29" s="51">
        <f>SUM(E21:E28)+E20+E13</f>
        <v>186916920.87</v>
      </c>
      <c r="F29" s="51">
        <f>F13+F20+F21+F22+F23+F24+F26+F27+F28</f>
        <v>170606210</v>
      </c>
      <c r="G29" s="119"/>
    </row>
    <row r="30" spans="1:6" ht="8.25" customHeight="1">
      <c r="A30" s="7"/>
      <c r="B30" s="4"/>
      <c r="C30" s="5"/>
      <c r="D30" s="35"/>
      <c r="E30" s="14"/>
      <c r="F30" s="14"/>
    </row>
    <row r="31" spans="1:6" ht="12.75">
      <c r="A31" s="3" t="s">
        <v>29</v>
      </c>
      <c r="B31" s="4"/>
      <c r="C31" s="5"/>
      <c r="D31" s="35"/>
      <c r="E31" s="14"/>
      <c r="F31" s="14"/>
    </row>
    <row r="32" spans="1:6" ht="12.75">
      <c r="A32" s="7" t="s">
        <v>30</v>
      </c>
      <c r="B32" s="4"/>
      <c r="C32" s="5"/>
      <c r="D32" s="35"/>
      <c r="E32" s="14"/>
      <c r="F32" s="14"/>
    </row>
    <row r="33" spans="1:6" ht="12.75">
      <c r="A33" s="8" t="s">
        <v>31</v>
      </c>
      <c r="B33" s="4">
        <f>49934170+122835+23461+578156+112+3232128+2+20574</f>
        <v>53911438</v>
      </c>
      <c r="C33" s="5">
        <v>2394703</v>
      </c>
      <c r="D33" s="35">
        <v>1961497</v>
      </c>
      <c r="E33" s="14">
        <f aca="true" t="shared" si="1" ref="E33:E43">+B33+C33+D33</f>
        <v>58267638</v>
      </c>
      <c r="F33" s="14">
        <v>51970545</v>
      </c>
    </row>
    <row r="34" spans="1:6" ht="12.75">
      <c r="A34" s="8" t="s">
        <v>32</v>
      </c>
      <c r="B34" s="4">
        <f>252169+3746</f>
        <v>255915</v>
      </c>
      <c r="C34" s="5">
        <v>42982</v>
      </c>
      <c r="D34" s="35">
        <v>3612140</v>
      </c>
      <c r="E34" s="14">
        <f t="shared" si="1"/>
        <v>3911037</v>
      </c>
      <c r="F34" s="14">
        <v>3613691</v>
      </c>
    </row>
    <row r="35" spans="1:6" ht="12.75">
      <c r="A35" s="8" t="s">
        <v>33</v>
      </c>
      <c r="B35" s="4">
        <v>0</v>
      </c>
      <c r="C35" s="5">
        <v>875338</v>
      </c>
      <c r="D35" s="35">
        <v>650274</v>
      </c>
      <c r="E35" s="14">
        <f t="shared" si="1"/>
        <v>1525612</v>
      </c>
      <c r="F35" s="14">
        <v>1535483</v>
      </c>
    </row>
    <row r="36" spans="1:6" ht="12.75">
      <c r="A36" s="8" t="s">
        <v>34</v>
      </c>
      <c r="B36" s="4">
        <f>11395009+489409+88609</f>
        <v>11973027</v>
      </c>
      <c r="C36" s="5">
        <v>571785</v>
      </c>
      <c r="D36" s="35">
        <v>2087640</v>
      </c>
      <c r="E36" s="14">
        <f t="shared" si="1"/>
        <v>14632452</v>
      </c>
      <c r="F36" s="14">
        <v>12340434</v>
      </c>
    </row>
    <row r="37" spans="1:6" ht="12.75">
      <c r="A37" s="8" t="s">
        <v>35</v>
      </c>
      <c r="B37" s="4">
        <f>9046456+230459+81812</f>
        <v>9358727</v>
      </c>
      <c r="C37" s="5">
        <v>413618</v>
      </c>
      <c r="D37" s="35">
        <v>749019</v>
      </c>
      <c r="E37" s="14">
        <f t="shared" si="1"/>
        <v>10521364</v>
      </c>
      <c r="F37" s="14">
        <v>8558722</v>
      </c>
    </row>
    <row r="38" spans="1:6" ht="12.75">
      <c r="A38" s="8" t="s">
        <v>36</v>
      </c>
      <c r="B38" s="4">
        <f>14786344+67433+551797+8896+46838+87845</f>
        <v>15549153</v>
      </c>
      <c r="C38" s="5">
        <v>498845</v>
      </c>
      <c r="D38" s="35">
        <v>722561</v>
      </c>
      <c r="E38" s="14">
        <f t="shared" si="1"/>
        <v>16770559</v>
      </c>
      <c r="F38" s="14">
        <v>16180002</v>
      </c>
    </row>
    <row r="39" spans="1:6" ht="15" customHeight="1">
      <c r="A39" s="8" t="s">
        <v>37</v>
      </c>
      <c r="B39" s="4">
        <f>9457824+31004+370442+63493</f>
        <v>9922763</v>
      </c>
      <c r="C39" s="5">
        <v>234995</v>
      </c>
      <c r="D39" s="35">
        <v>5668</v>
      </c>
      <c r="E39" s="14">
        <f t="shared" si="1"/>
        <v>10163426</v>
      </c>
      <c r="F39" s="14">
        <v>8700517</v>
      </c>
    </row>
    <row r="40" spans="1:6" ht="15" customHeight="1">
      <c r="A40" s="8" t="s">
        <v>38</v>
      </c>
      <c r="B40" s="4">
        <f>5684810+250000</f>
        <v>5934810</v>
      </c>
      <c r="C40" s="5">
        <v>13085</v>
      </c>
      <c r="D40" s="35">
        <v>23115842</v>
      </c>
      <c r="E40" s="14">
        <f t="shared" si="1"/>
        <v>29063737</v>
      </c>
      <c r="F40" s="14">
        <v>26133175</v>
      </c>
    </row>
    <row r="41" spans="1:6" ht="12.75">
      <c r="A41" s="7" t="s">
        <v>39</v>
      </c>
      <c r="B41" s="4">
        <v>0</v>
      </c>
      <c r="C41" s="5">
        <f>18295317+77348+1435840+1770131</f>
        <v>21578636</v>
      </c>
      <c r="D41" s="35">
        <v>2822</v>
      </c>
      <c r="E41" s="14">
        <f t="shared" si="1"/>
        <v>21581458</v>
      </c>
      <c r="F41" s="14">
        <v>21163611</v>
      </c>
    </row>
    <row r="42" spans="1:6" ht="12.75">
      <c r="A42" s="7" t="s">
        <v>23</v>
      </c>
      <c r="B42" s="4">
        <v>0</v>
      </c>
      <c r="C42" s="5">
        <v>577269</v>
      </c>
      <c r="D42" s="35">
        <v>66746</v>
      </c>
      <c r="E42" s="14">
        <f t="shared" si="1"/>
        <v>644015</v>
      </c>
      <c r="F42" s="14">
        <v>577858</v>
      </c>
    </row>
    <row r="43" spans="1:6" ht="13.5" thickBot="1">
      <c r="A43" s="18" t="s">
        <v>40</v>
      </c>
      <c r="B43" s="27">
        <v>0</v>
      </c>
      <c r="C43" s="16">
        <v>0</v>
      </c>
      <c r="D43" s="39">
        <v>0</v>
      </c>
      <c r="E43" s="14">
        <f t="shared" si="1"/>
        <v>0</v>
      </c>
      <c r="F43" s="17">
        <v>0</v>
      </c>
    </row>
    <row r="44" spans="1:7" s="122" customFormat="1" ht="13.5" thickTop="1">
      <c r="A44" s="47" t="s">
        <v>41</v>
      </c>
      <c r="B44" s="48">
        <f>SUM(B33:B43)</f>
        <v>106905833</v>
      </c>
      <c r="C44" s="50">
        <f>SUM(C33:C43)</f>
        <v>27201256</v>
      </c>
      <c r="D44" s="50">
        <f>SUM(D33:D43)</f>
        <v>32974209</v>
      </c>
      <c r="E44" s="51">
        <f>SUM(B44:D44)</f>
        <v>167081298</v>
      </c>
      <c r="F44" s="51">
        <f>SUM(F33:F43)</f>
        <v>150774038</v>
      </c>
      <c r="G44" s="119"/>
    </row>
    <row r="45" spans="1:6" ht="6.75" customHeight="1">
      <c r="A45" s="7"/>
      <c r="B45" s="4"/>
      <c r="C45" s="5"/>
      <c r="D45" s="35"/>
      <c r="E45" s="14"/>
      <c r="F45" s="14"/>
    </row>
    <row r="46" spans="1:6" ht="12.75">
      <c r="A46" s="3" t="s">
        <v>42</v>
      </c>
      <c r="B46" s="4"/>
      <c r="C46" s="5"/>
      <c r="D46" s="35"/>
      <c r="E46" s="14"/>
      <c r="F46" s="14"/>
    </row>
    <row r="47" spans="1:6" ht="12.75">
      <c r="A47" s="7" t="s">
        <v>43</v>
      </c>
      <c r="B47" s="4"/>
      <c r="C47" s="5"/>
      <c r="D47" s="35"/>
      <c r="E47" s="14"/>
      <c r="F47" s="14"/>
    </row>
    <row r="48" spans="1:6" ht="12.75">
      <c r="A48" s="8" t="s">
        <v>44</v>
      </c>
      <c r="B48" s="4">
        <f>3256406-1000000</f>
        <v>2256406</v>
      </c>
      <c r="C48" s="5">
        <v>6181663</v>
      </c>
      <c r="D48" s="35">
        <v>0</v>
      </c>
      <c r="E48" s="14">
        <f>+B48+C48+D48</f>
        <v>8438069</v>
      </c>
      <c r="F48" s="14">
        <v>7048611</v>
      </c>
    </row>
    <row r="49" spans="1:6" ht="12.75">
      <c r="A49" s="8" t="s">
        <v>45</v>
      </c>
      <c r="B49" s="4">
        <v>0</v>
      </c>
      <c r="C49" s="5">
        <v>0</v>
      </c>
      <c r="D49" s="35">
        <v>0</v>
      </c>
      <c r="E49" s="14">
        <f>+B49+C49+D49</f>
        <v>0</v>
      </c>
      <c r="F49" s="14">
        <v>0</v>
      </c>
    </row>
    <row r="50" spans="1:6" ht="12.75">
      <c r="A50" s="9" t="s">
        <v>46</v>
      </c>
      <c r="B50" s="24">
        <v>0</v>
      </c>
      <c r="C50" s="19">
        <v>0</v>
      </c>
      <c r="D50" s="40">
        <v>0</v>
      </c>
      <c r="E50" s="43">
        <f>+B50+C50+D50</f>
        <v>0</v>
      </c>
      <c r="F50" s="43">
        <v>0</v>
      </c>
    </row>
    <row r="51" spans="1:6" ht="12.75">
      <c r="A51" s="20" t="s">
        <v>47</v>
      </c>
      <c r="B51" s="21">
        <f>SUM(B48:B50)</f>
        <v>2256406</v>
      </c>
      <c r="C51" s="22">
        <f>SUM(C48:C50)</f>
        <v>6181663</v>
      </c>
      <c r="D51" s="41">
        <f>SUM(D48:D50)</f>
        <v>0</v>
      </c>
      <c r="E51" s="42">
        <f>SUM(B51:D51)</f>
        <v>8438069</v>
      </c>
      <c r="F51" s="42">
        <f>SUM(F48:F50)</f>
        <v>7048611</v>
      </c>
    </row>
    <row r="52" spans="1:6" ht="12.75">
      <c r="A52" s="7"/>
      <c r="B52" s="4"/>
      <c r="C52" s="5"/>
      <c r="D52" s="35"/>
      <c r="E52" s="14"/>
      <c r="F52" s="14"/>
    </row>
    <row r="53" spans="1:6" ht="12.75">
      <c r="A53" s="7" t="s">
        <v>48</v>
      </c>
      <c r="B53" s="4"/>
      <c r="C53" s="5"/>
      <c r="D53" s="35"/>
      <c r="E53" s="14"/>
      <c r="F53" s="14"/>
    </row>
    <row r="54" spans="1:6" ht="12.75">
      <c r="A54" s="8" t="s">
        <v>49</v>
      </c>
      <c r="B54" s="4">
        <v>0</v>
      </c>
      <c r="C54" s="5">
        <v>0</v>
      </c>
      <c r="D54" s="35">
        <v>0</v>
      </c>
      <c r="E54" s="14">
        <f>+B54+C54+D54</f>
        <v>0</v>
      </c>
      <c r="F54" s="14">
        <v>0</v>
      </c>
    </row>
    <row r="55" spans="1:6" ht="12.75">
      <c r="A55" s="9" t="s">
        <v>40</v>
      </c>
      <c r="B55" s="24">
        <f>1000000+1359026</f>
        <v>2359026</v>
      </c>
      <c r="C55" s="19">
        <f>7438528-500000</f>
        <v>6938528</v>
      </c>
      <c r="D55" s="40">
        <v>2100000</v>
      </c>
      <c r="E55" s="43">
        <f>+B55+C55+D55</f>
        <v>11397554</v>
      </c>
      <c r="F55" s="43">
        <v>12783561</v>
      </c>
    </row>
    <row r="56" spans="1:6" ht="13.5" thickBot="1">
      <c r="A56" s="26" t="s">
        <v>50</v>
      </c>
      <c r="B56" s="124">
        <f>SUM(B54:B55)</f>
        <v>2359026</v>
      </c>
      <c r="C56" s="125">
        <f>SUM(C54:C55)</f>
        <v>6938528</v>
      </c>
      <c r="D56" s="126">
        <f>SUM(D54:D55)</f>
        <v>2100000</v>
      </c>
      <c r="E56" s="44">
        <f>SUM(E54:E55)</f>
        <v>11397554</v>
      </c>
      <c r="F56" s="44">
        <f>SUM(F54:F55)</f>
        <v>12783561</v>
      </c>
    </row>
    <row r="57" spans="1:7" s="122" customFormat="1" ht="13.5" thickTop="1">
      <c r="A57" s="52" t="s">
        <v>51</v>
      </c>
      <c r="B57" s="53">
        <f>+B44+B51+B56</f>
        <v>111521265</v>
      </c>
      <c r="C57" s="49">
        <f>+C56+C51+C44</f>
        <v>40321447</v>
      </c>
      <c r="D57" s="49">
        <f>+D56+D51+D44</f>
        <v>35074209</v>
      </c>
      <c r="E57" s="51">
        <f>+B57+C57+D57</f>
        <v>186916921</v>
      </c>
      <c r="F57" s="54">
        <f>+F56+F51+F44</f>
        <v>170606210</v>
      </c>
      <c r="G57" s="119"/>
    </row>
    <row r="58" spans="1:6" ht="6.75" customHeight="1">
      <c r="A58" s="7"/>
      <c r="B58" s="4"/>
      <c r="C58" s="5"/>
      <c r="D58" s="35"/>
      <c r="E58" s="14"/>
      <c r="F58" s="14"/>
    </row>
    <row r="59" spans="1:6" ht="18" customHeight="1" thickBot="1">
      <c r="A59" s="30" t="s">
        <v>52</v>
      </c>
      <c r="B59" s="31">
        <f>+B29-B57</f>
        <v>0</v>
      </c>
      <c r="C59" s="32">
        <f>+C29-C57</f>
        <v>-0.12999999523162842</v>
      </c>
      <c r="D59" s="45">
        <f>+D29-D57</f>
        <v>0</v>
      </c>
      <c r="E59" s="46">
        <f>+E29-E57</f>
        <v>-0.12999999523162842</v>
      </c>
      <c r="F59" s="46">
        <v>0</v>
      </c>
    </row>
    <row r="61" ht="12.75">
      <c r="A61" s="127"/>
    </row>
    <row r="62" ht="12.75">
      <c r="A62" s="129"/>
    </row>
    <row r="63" ht="12.75">
      <c r="A63" s="130"/>
    </row>
    <row r="64" s="128" customFormat="1" ht="12.75">
      <c r="A64" s="119"/>
    </row>
  </sheetData>
  <sheetProtection/>
  <mergeCells count="3">
    <mergeCell ref="A1:F1"/>
    <mergeCell ref="A2:F2"/>
    <mergeCell ref="A3:F3"/>
  </mergeCells>
  <printOptions horizontalCentered="1"/>
  <pageMargins left="0.75" right="0.75" top="1" bottom="0.58" header="0.5" footer="0.38"/>
  <pageSetup fitToHeight="1" fitToWidth="1" horizontalDpi="600" verticalDpi="600" orientation="portrait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showGridLines="0" zoomScalePageLayoutView="0" workbookViewId="0" topLeftCell="A1">
      <selection activeCell="H2" sqref="H2"/>
    </sheetView>
  </sheetViews>
  <sheetFormatPr defaultColWidth="15.7109375" defaultRowHeight="12.75"/>
  <cols>
    <col min="1" max="1" width="44.28125" style="119" customWidth="1"/>
    <col min="2" max="6" width="15.28125" style="128" customWidth="1"/>
    <col min="7" max="9" width="9.28125" style="119" customWidth="1"/>
    <col min="10" max="10" width="9.140625" style="119" customWidth="1"/>
    <col min="11" max="11" width="16.140625" style="119" bestFit="1" customWidth="1"/>
    <col min="12" max="12" width="14.28125" style="119" bestFit="1" customWidth="1"/>
    <col min="13" max="252" width="9.140625" style="119" customWidth="1"/>
    <col min="253" max="253" width="51.57421875" style="119" customWidth="1"/>
    <col min="254" max="254" width="17.00390625" style="119" customWidth="1"/>
    <col min="255" max="16384" width="15.7109375" style="119" customWidth="1"/>
  </cols>
  <sheetData>
    <row r="1" spans="1:6" ht="15.75">
      <c r="A1" s="133" t="s">
        <v>67</v>
      </c>
      <c r="B1" s="133"/>
      <c r="C1" s="133"/>
      <c r="D1" s="133"/>
      <c r="E1" s="133"/>
      <c r="F1" s="133"/>
    </row>
    <row r="2" spans="1:6" ht="15.75">
      <c r="A2" s="133" t="s">
        <v>0</v>
      </c>
      <c r="B2" s="133"/>
      <c r="C2" s="133"/>
      <c r="D2" s="133"/>
      <c r="E2" s="133"/>
      <c r="F2" s="133"/>
    </row>
    <row r="3" spans="1:6" ht="15">
      <c r="A3" s="134" t="s">
        <v>1</v>
      </c>
      <c r="B3" s="134"/>
      <c r="C3" s="134"/>
      <c r="D3" s="134"/>
      <c r="E3" s="134"/>
      <c r="F3" s="134"/>
    </row>
    <row r="4" spans="1:6" ht="13.5" thickBot="1">
      <c r="A4" s="2"/>
      <c r="B4" s="2"/>
      <c r="C4" s="2"/>
      <c r="D4" s="2"/>
      <c r="E4" s="2"/>
      <c r="F4" s="2"/>
    </row>
    <row r="5" spans="1:7" s="121" customFormat="1" ht="44.25" customHeight="1" thickBot="1">
      <c r="A5" s="131"/>
      <c r="B5" s="115" t="s">
        <v>2</v>
      </c>
      <c r="C5" s="116" t="s">
        <v>3</v>
      </c>
      <c r="D5" s="116" t="s">
        <v>70</v>
      </c>
      <c r="E5" s="117" t="s">
        <v>4</v>
      </c>
      <c r="F5" s="117" t="s">
        <v>69</v>
      </c>
      <c r="G5" s="132"/>
    </row>
    <row r="6" spans="1:6" ht="12.75">
      <c r="A6" s="3" t="s">
        <v>5</v>
      </c>
      <c r="B6" s="4"/>
      <c r="C6" s="5"/>
      <c r="D6" s="5"/>
      <c r="E6" s="6"/>
      <c r="F6" s="6"/>
    </row>
    <row r="7" spans="1:6" ht="12.75">
      <c r="A7" s="7" t="s">
        <v>6</v>
      </c>
      <c r="B7" s="4"/>
      <c r="C7" s="5"/>
      <c r="D7" s="5"/>
      <c r="E7" s="6"/>
      <c r="F7" s="6"/>
    </row>
    <row r="8" spans="1:8" ht="12.75">
      <c r="A8" s="8" t="s">
        <v>7</v>
      </c>
      <c r="B8" s="4">
        <f>11564984+355011</f>
        <v>11919995</v>
      </c>
      <c r="C8" s="5">
        <v>0</v>
      </c>
      <c r="D8" s="5">
        <v>0</v>
      </c>
      <c r="E8" s="6">
        <f aca="true" t="shared" si="0" ref="E8:E28">+B8+C8+D8</f>
        <v>11919995</v>
      </c>
      <c r="F8" s="6">
        <v>11801996</v>
      </c>
      <c r="H8" s="123"/>
    </row>
    <row r="9" spans="1:8" ht="12.75">
      <c r="A9" s="8" t="s">
        <v>8</v>
      </c>
      <c r="B9" s="4">
        <v>81601857</v>
      </c>
      <c r="C9" s="5">
        <v>0</v>
      </c>
      <c r="D9" s="5">
        <v>0</v>
      </c>
      <c r="E9" s="6">
        <f t="shared" si="0"/>
        <v>81601857</v>
      </c>
      <c r="F9" s="6">
        <f>ROUND(119109412*0.63,0)</f>
        <v>75038930</v>
      </c>
      <c r="H9" s="123"/>
    </row>
    <row r="10" spans="1:8" ht="12.75">
      <c r="A10" s="8" t="s">
        <v>9</v>
      </c>
      <c r="B10" s="4">
        <v>48640800</v>
      </c>
      <c r="C10" s="5">
        <v>0</v>
      </c>
      <c r="D10" s="5">
        <v>0</v>
      </c>
      <c r="E10" s="6">
        <f t="shared" si="0"/>
        <v>48640800</v>
      </c>
      <c r="F10" s="6">
        <f>ROUND(119109412*0.37,0)</f>
        <v>44070482</v>
      </c>
      <c r="H10" s="123"/>
    </row>
    <row r="11" spans="1:8" ht="12.75">
      <c r="A11" s="8" t="s">
        <v>10</v>
      </c>
      <c r="B11" s="4">
        <v>0</v>
      </c>
      <c r="C11" s="5">
        <v>18693839</v>
      </c>
      <c r="D11" s="5">
        <v>0</v>
      </c>
      <c r="E11" s="6">
        <f t="shared" si="0"/>
        <v>18693839</v>
      </c>
      <c r="F11" s="6">
        <v>18508752</v>
      </c>
      <c r="H11" s="123"/>
    </row>
    <row r="12" spans="1:8" ht="12.75">
      <c r="A12" s="9" t="s">
        <v>11</v>
      </c>
      <c r="B12" s="24">
        <v>11954138</v>
      </c>
      <c r="C12" s="5">
        <f>16629401-B12</f>
        <v>4675263</v>
      </c>
      <c r="D12" s="5">
        <v>0</v>
      </c>
      <c r="E12" s="6">
        <f t="shared" si="0"/>
        <v>16629401</v>
      </c>
      <c r="F12" s="6">
        <v>15861220</v>
      </c>
      <c r="H12" s="123"/>
    </row>
    <row r="13" spans="1:8" s="122" customFormat="1" ht="12.75">
      <c r="A13" s="10" t="s">
        <v>12</v>
      </c>
      <c r="B13" s="36">
        <f>SUM(B8:B12)</f>
        <v>154116790</v>
      </c>
      <c r="C13" s="12">
        <f>SUM(C8:C12)</f>
        <v>23369102</v>
      </c>
      <c r="D13" s="12">
        <f>SUM(D8:D12)</f>
        <v>0</v>
      </c>
      <c r="E13" s="13">
        <f t="shared" si="0"/>
        <v>177485892</v>
      </c>
      <c r="F13" s="13">
        <f>SUM(F8:F12)</f>
        <v>165281380</v>
      </c>
      <c r="G13" s="119"/>
      <c r="H13" s="123"/>
    </row>
    <row r="14" spans="1:8" ht="12.75">
      <c r="A14" s="7" t="s">
        <v>13</v>
      </c>
      <c r="B14" s="34">
        <v>0</v>
      </c>
      <c r="C14" s="5">
        <v>5435</v>
      </c>
      <c r="D14" s="5">
        <v>0</v>
      </c>
      <c r="E14" s="6">
        <f t="shared" si="0"/>
        <v>5435</v>
      </c>
      <c r="F14" s="6">
        <v>3732</v>
      </c>
      <c r="H14" s="123"/>
    </row>
    <row r="15" spans="1:8" ht="12.75">
      <c r="A15" s="7" t="s">
        <v>14</v>
      </c>
      <c r="B15" s="34"/>
      <c r="C15" s="5"/>
      <c r="D15" s="5"/>
      <c r="E15" s="6"/>
      <c r="F15" s="6"/>
      <c r="H15" s="123"/>
    </row>
    <row r="16" spans="1:8" ht="12.75">
      <c r="A16" s="8" t="s">
        <v>15</v>
      </c>
      <c r="B16" s="34">
        <v>0</v>
      </c>
      <c r="C16" s="5"/>
      <c r="D16" s="5">
        <f>11371114+15893479</f>
        <v>27264593</v>
      </c>
      <c r="E16" s="6">
        <f t="shared" si="0"/>
        <v>27264593</v>
      </c>
      <c r="F16" s="6">
        <f>13029672+16363763</f>
        <v>29393435</v>
      </c>
      <c r="H16" s="123"/>
    </row>
    <row r="17" spans="1:8" ht="12.75">
      <c r="A17" s="8" t="s">
        <v>16</v>
      </c>
      <c r="B17" s="34">
        <v>0</v>
      </c>
      <c r="C17" s="5"/>
      <c r="D17" s="5">
        <f>728235+4542985</f>
        <v>5271220</v>
      </c>
      <c r="E17" s="6">
        <f t="shared" si="0"/>
        <v>5271220</v>
      </c>
      <c r="F17" s="6">
        <f>1113456+4199418</f>
        <v>5312874</v>
      </c>
      <c r="H17" s="123"/>
    </row>
    <row r="18" spans="1:8" ht="12.75">
      <c r="A18" s="8" t="s">
        <v>17</v>
      </c>
      <c r="B18" s="34">
        <v>0</v>
      </c>
      <c r="C18" s="5">
        <v>0</v>
      </c>
      <c r="D18" s="5">
        <v>0</v>
      </c>
      <c r="E18" s="6">
        <f t="shared" si="0"/>
        <v>0</v>
      </c>
      <c r="F18" s="6">
        <v>0</v>
      </c>
      <c r="H18" s="123"/>
    </row>
    <row r="19" spans="1:8" ht="12.75">
      <c r="A19" s="9" t="s">
        <v>18</v>
      </c>
      <c r="B19" s="34">
        <f>9069109+2053356-355011+7930</f>
        <v>10775384</v>
      </c>
      <c r="C19" s="19"/>
      <c r="D19" s="19">
        <v>0</v>
      </c>
      <c r="E19" s="6">
        <f t="shared" si="0"/>
        <v>10775384</v>
      </c>
      <c r="F19" s="6">
        <v>9402671</v>
      </c>
      <c r="H19" s="123"/>
    </row>
    <row r="20" spans="1:8" s="122" customFormat="1" ht="12.75">
      <c r="A20" s="10" t="s">
        <v>19</v>
      </c>
      <c r="B20" s="11">
        <f>SUM(B14:B19)</f>
        <v>10775384</v>
      </c>
      <c r="C20" s="12">
        <f>SUM(C14:C19)</f>
        <v>5435</v>
      </c>
      <c r="D20" s="12">
        <f>SUM(D14:D19)</f>
        <v>32535813</v>
      </c>
      <c r="E20" s="13">
        <f>SUM(B20:D20)</f>
        <v>43316632</v>
      </c>
      <c r="F20" s="13">
        <f>SUM(F14:F19)</f>
        <v>44112712</v>
      </c>
      <c r="G20" s="119"/>
      <c r="H20" s="123"/>
    </row>
    <row r="21" spans="1:8" ht="12.75">
      <c r="A21" s="7" t="s">
        <v>20</v>
      </c>
      <c r="B21" s="4">
        <v>0</v>
      </c>
      <c r="C21" s="5"/>
      <c r="D21" s="5">
        <f>2984192+5046781</f>
        <v>8030973</v>
      </c>
      <c r="E21" s="6">
        <f t="shared" si="0"/>
        <v>8030973</v>
      </c>
      <c r="F21" s="6">
        <f>2950063+4876170</f>
        <v>7826233</v>
      </c>
      <c r="H21" s="123"/>
    </row>
    <row r="22" spans="1:8" ht="12.75">
      <c r="A22" s="7" t="s">
        <v>21</v>
      </c>
      <c r="B22" s="4">
        <v>0</v>
      </c>
      <c r="C22" s="5">
        <v>3666747</v>
      </c>
      <c r="D22" s="5">
        <v>0</v>
      </c>
      <c r="E22" s="6">
        <f t="shared" si="0"/>
        <v>3666747</v>
      </c>
      <c r="F22" s="14">
        <v>3329067</v>
      </c>
      <c r="H22" s="123"/>
    </row>
    <row r="23" spans="1:8" ht="12.75">
      <c r="A23" s="7" t="s">
        <v>22</v>
      </c>
      <c r="B23" s="4">
        <v>0</v>
      </c>
      <c r="C23" s="5">
        <v>529596</v>
      </c>
      <c r="D23" s="5">
        <v>0</v>
      </c>
      <c r="E23" s="6">
        <f t="shared" si="0"/>
        <v>529596</v>
      </c>
      <c r="F23" s="6">
        <v>524051</v>
      </c>
      <c r="H23" s="123"/>
    </row>
    <row r="24" spans="1:8" ht="12.75">
      <c r="A24" s="7" t="s">
        <v>23</v>
      </c>
      <c r="B24" s="4">
        <v>0</v>
      </c>
      <c r="C24" s="5">
        <v>0</v>
      </c>
      <c r="D24" s="5">
        <v>0</v>
      </c>
      <c r="E24" s="6">
        <f t="shared" si="0"/>
        <v>0</v>
      </c>
      <c r="F24" s="6">
        <v>0</v>
      </c>
      <c r="H24" s="123"/>
    </row>
    <row r="25" spans="1:8" ht="12.75">
      <c r="A25" s="7" t="s">
        <v>24</v>
      </c>
      <c r="B25" s="4"/>
      <c r="C25" s="5"/>
      <c r="D25" s="5"/>
      <c r="E25" s="6"/>
      <c r="F25" s="6"/>
      <c r="H25" s="123"/>
    </row>
    <row r="26" spans="1:13" ht="12.75">
      <c r="A26" s="8" t="s">
        <v>25</v>
      </c>
      <c r="B26" s="4">
        <v>2600000</v>
      </c>
      <c r="C26" s="5">
        <v>0</v>
      </c>
      <c r="D26" s="5">
        <v>0</v>
      </c>
      <c r="E26" s="6">
        <f t="shared" si="0"/>
        <v>2600000</v>
      </c>
      <c r="F26" s="6">
        <v>3283388</v>
      </c>
      <c r="H26" s="123"/>
      <c r="M26" s="123"/>
    </row>
    <row r="27" spans="1:13" ht="12.75">
      <c r="A27" s="8" t="s">
        <v>26</v>
      </c>
      <c r="B27" s="4">
        <v>4763537</v>
      </c>
      <c r="C27" s="5">
        <v>0</v>
      </c>
      <c r="D27" s="5">
        <v>0</v>
      </c>
      <c r="E27" s="6">
        <f t="shared" si="0"/>
        <v>4763537</v>
      </c>
      <c r="F27" s="6">
        <v>4850663</v>
      </c>
      <c r="H27" s="123"/>
      <c r="M27" s="123"/>
    </row>
    <row r="28" spans="1:13" ht="13.5" thickBot="1">
      <c r="A28" s="15" t="s">
        <v>27</v>
      </c>
      <c r="B28" s="27">
        <f>-B27+7112304</f>
        <v>2348767</v>
      </c>
      <c r="C28" s="16">
        <f>5979401-B28</f>
        <v>3630634</v>
      </c>
      <c r="D28" s="5">
        <v>0</v>
      </c>
      <c r="E28" s="6">
        <f t="shared" si="0"/>
        <v>5979401</v>
      </c>
      <c r="F28" s="17">
        <v>6009402</v>
      </c>
      <c r="H28" s="123"/>
      <c r="M28" s="123"/>
    </row>
    <row r="29" spans="1:8" s="122" customFormat="1" ht="13.5" thickTop="1">
      <c r="A29" s="47" t="s">
        <v>28</v>
      </c>
      <c r="B29" s="48">
        <f>SUM(B21:B28)+B20+B13</f>
        <v>174604478</v>
      </c>
      <c r="C29" s="50">
        <f>SUM(C21:C28)+C20+C13</f>
        <v>31201514</v>
      </c>
      <c r="D29" s="50">
        <f>SUM(D21:D28)+D20+D13</f>
        <v>40566786</v>
      </c>
      <c r="E29" s="51">
        <f>SUM(E21:E28)+E20+E13</f>
        <v>246372778</v>
      </c>
      <c r="F29" s="51">
        <f>F13+F20+F21+F22+F23+F24+F26+F27+F28</f>
        <v>235216896</v>
      </c>
      <c r="G29" s="119"/>
      <c r="H29" s="123"/>
    </row>
    <row r="30" spans="1:8" ht="12.75">
      <c r="A30" s="7"/>
      <c r="B30" s="4"/>
      <c r="C30" s="5"/>
      <c r="D30" s="5"/>
      <c r="E30" s="6"/>
      <c r="F30" s="6"/>
      <c r="H30" s="123"/>
    </row>
    <row r="31" spans="1:8" ht="12.75">
      <c r="A31" s="3" t="s">
        <v>29</v>
      </c>
      <c r="B31" s="4"/>
      <c r="C31" s="5"/>
      <c r="D31" s="5"/>
      <c r="E31" s="6"/>
      <c r="F31" s="6"/>
      <c r="H31" s="123"/>
    </row>
    <row r="32" spans="1:8" ht="12.75">
      <c r="A32" s="7" t="s">
        <v>30</v>
      </c>
      <c r="B32" s="4"/>
      <c r="C32" s="5"/>
      <c r="D32" s="5"/>
      <c r="E32" s="6"/>
      <c r="F32" s="6"/>
      <c r="H32" s="123"/>
    </row>
    <row r="33" spans="1:8" ht="12.75">
      <c r="A33" s="8" t="s">
        <v>31</v>
      </c>
      <c r="B33" s="4">
        <v>87257892</v>
      </c>
      <c r="C33" s="5">
        <v>21293789</v>
      </c>
      <c r="D33" s="5">
        <v>7439633</v>
      </c>
      <c r="E33" s="6">
        <v>115991314</v>
      </c>
      <c r="F33" s="6">
        <f>118182219-6000000-510493-2500000</f>
        <v>109171726</v>
      </c>
      <c r="H33" s="123"/>
    </row>
    <row r="34" spans="1:8" ht="12.75">
      <c r="A34" s="8" t="s">
        <v>32</v>
      </c>
      <c r="B34" s="4">
        <v>14042</v>
      </c>
      <c r="C34" s="5">
        <v>0</v>
      </c>
      <c r="D34" s="5">
        <v>6756241</v>
      </c>
      <c r="E34" s="6">
        <v>6770283</v>
      </c>
      <c r="F34" s="6">
        <v>7067465</v>
      </c>
      <c r="H34" s="123"/>
    </row>
    <row r="35" spans="1:8" ht="12.75">
      <c r="A35" s="8" t="s">
        <v>33</v>
      </c>
      <c r="B35" s="4">
        <v>26862</v>
      </c>
      <c r="C35" s="5">
        <v>2097317</v>
      </c>
      <c r="D35" s="5">
        <v>1216062</v>
      </c>
      <c r="E35" s="6">
        <v>3340241</v>
      </c>
      <c r="F35" s="6">
        <v>3900623</v>
      </c>
      <c r="H35" s="123"/>
    </row>
    <row r="36" spans="1:8" ht="12.75">
      <c r="A36" s="8" t="s">
        <v>34</v>
      </c>
      <c r="B36" s="4">
        <v>25011141</v>
      </c>
      <c r="C36" s="5">
        <v>362221</v>
      </c>
      <c r="D36" s="5">
        <v>113124</v>
      </c>
      <c r="E36" s="6">
        <v>25486486</v>
      </c>
      <c r="F36" s="14">
        <v>25160055</v>
      </c>
      <c r="H36" s="123"/>
    </row>
    <row r="37" spans="1:8" ht="12.75">
      <c r="A37" s="8" t="s">
        <v>35</v>
      </c>
      <c r="B37" s="4">
        <v>9429355</v>
      </c>
      <c r="C37" s="5">
        <v>6356949</v>
      </c>
      <c r="D37" s="5">
        <v>15413</v>
      </c>
      <c r="E37" s="6">
        <v>15801717</v>
      </c>
      <c r="F37" s="6">
        <v>13083514</v>
      </c>
      <c r="H37" s="123"/>
    </row>
    <row r="38" spans="1:8" ht="12.75">
      <c r="A38" s="8" t="s">
        <v>36</v>
      </c>
      <c r="B38" s="4">
        <v>14760250</v>
      </c>
      <c r="C38" s="5">
        <v>15120</v>
      </c>
      <c r="D38" s="5">
        <v>1732300</v>
      </c>
      <c r="E38" s="6">
        <v>16507670</v>
      </c>
      <c r="F38" s="6">
        <v>16368317</v>
      </c>
      <c r="H38" s="123"/>
    </row>
    <row r="39" spans="1:8" ht="12.75">
      <c r="A39" s="8" t="s">
        <v>37</v>
      </c>
      <c r="B39" s="4">
        <v>10206535</v>
      </c>
      <c r="C39" s="5">
        <v>0</v>
      </c>
      <c r="D39" s="5">
        <v>11555</v>
      </c>
      <c r="E39" s="6">
        <v>10218090</v>
      </c>
      <c r="F39" s="14">
        <f>3017524+6000000</f>
        <v>9017524</v>
      </c>
      <c r="H39" s="123"/>
    </row>
    <row r="40" spans="1:8" ht="12.75">
      <c r="A40" s="8" t="s">
        <v>38</v>
      </c>
      <c r="B40" s="4">
        <v>15864664</v>
      </c>
      <c r="C40" s="5">
        <v>865524</v>
      </c>
      <c r="D40" s="5">
        <v>23282458</v>
      </c>
      <c r="E40" s="6">
        <v>40012646</v>
      </c>
      <c r="F40" s="6">
        <f>40875055-1699418</f>
        <v>39175637</v>
      </c>
      <c r="H40" s="123"/>
    </row>
    <row r="41" spans="1:8" ht="12.75">
      <c r="A41" s="7" t="s">
        <v>39</v>
      </c>
      <c r="B41" s="4">
        <v>0</v>
      </c>
      <c r="C41" s="5">
        <v>210594</v>
      </c>
      <c r="D41" s="5">
        <v>0</v>
      </c>
      <c r="E41" s="6">
        <v>210594</v>
      </c>
      <c r="F41" s="6">
        <f>594251-400000</f>
        <v>194251</v>
      </c>
      <c r="H41" s="123"/>
    </row>
    <row r="42" spans="1:8" ht="12.75">
      <c r="A42" s="7" t="s">
        <v>23</v>
      </c>
      <c r="B42" s="4">
        <v>0</v>
      </c>
      <c r="C42" s="5">
        <v>0</v>
      </c>
      <c r="D42" s="5">
        <v>0</v>
      </c>
      <c r="E42" s="6">
        <v>0</v>
      </c>
      <c r="F42" s="6">
        <v>0</v>
      </c>
      <c r="H42" s="123"/>
    </row>
    <row r="43" spans="1:8" ht="13.5" thickBot="1">
      <c r="A43" s="18" t="s">
        <v>40</v>
      </c>
      <c r="B43" s="27">
        <v>0</v>
      </c>
      <c r="C43" s="16">
        <v>0</v>
      </c>
      <c r="D43" s="16">
        <v>0</v>
      </c>
      <c r="E43" s="6">
        <v>0</v>
      </c>
      <c r="F43" s="28">
        <v>0</v>
      </c>
      <c r="H43" s="123"/>
    </row>
    <row r="44" spans="1:8" s="122" customFormat="1" ht="13.5" thickTop="1">
      <c r="A44" s="47" t="s">
        <v>41</v>
      </c>
      <c r="B44" s="48">
        <f>SUM(B33:B43)</f>
        <v>162570741</v>
      </c>
      <c r="C44" s="50">
        <f>SUM(C33:C43)</f>
        <v>31201514</v>
      </c>
      <c r="D44" s="50">
        <f>SUM(D33:D43)</f>
        <v>40566786</v>
      </c>
      <c r="E44" s="51">
        <f>SUM(B44:D44)</f>
        <v>234339041</v>
      </c>
      <c r="F44" s="51">
        <f>SUM(F33:F43)</f>
        <v>223139112</v>
      </c>
      <c r="G44" s="119"/>
      <c r="H44" s="123"/>
    </row>
    <row r="45" spans="1:8" ht="12.75">
      <c r="A45" s="7"/>
      <c r="B45" s="4"/>
      <c r="C45" s="5"/>
      <c r="D45" s="5"/>
      <c r="E45" s="6"/>
      <c r="F45" s="6"/>
      <c r="H45" s="123"/>
    </row>
    <row r="46" spans="1:8" ht="12.75">
      <c r="A46" s="3" t="s">
        <v>42</v>
      </c>
      <c r="B46" s="4"/>
      <c r="C46" s="5"/>
      <c r="D46" s="5"/>
      <c r="E46" s="6"/>
      <c r="F46" s="6"/>
      <c r="H46" s="123"/>
    </row>
    <row r="47" spans="1:8" ht="12.75">
      <c r="A47" s="7" t="s">
        <v>43</v>
      </c>
      <c r="B47" s="4"/>
      <c r="C47" s="5"/>
      <c r="D47" s="5"/>
      <c r="E47" s="6"/>
      <c r="F47" s="6"/>
      <c r="H47" s="123"/>
    </row>
    <row r="48" spans="1:8" ht="12.75">
      <c r="A48" s="8" t="s">
        <v>44</v>
      </c>
      <c r="B48" s="4">
        <f>13527924-7752204-249583-45422</f>
        <v>5480715</v>
      </c>
      <c r="C48" s="5">
        <v>0</v>
      </c>
      <c r="D48" s="5">
        <v>0</v>
      </c>
      <c r="E48" s="6">
        <f>+B48+C48+D48</f>
        <v>5480715</v>
      </c>
      <c r="F48" s="6">
        <v>4791469</v>
      </c>
      <c r="H48" s="123"/>
    </row>
    <row r="49" spans="1:8" ht="12.75">
      <c r="A49" s="8" t="s">
        <v>45</v>
      </c>
      <c r="B49" s="4">
        <v>0</v>
      </c>
      <c r="C49" s="5">
        <v>0</v>
      </c>
      <c r="D49" s="5">
        <v>0</v>
      </c>
      <c r="E49" s="6">
        <f>+B49+C49+D49</f>
        <v>0</v>
      </c>
      <c r="F49" s="6">
        <v>0</v>
      </c>
      <c r="H49" s="123"/>
    </row>
    <row r="50" spans="1:8" ht="12.75">
      <c r="A50" s="9" t="s">
        <v>46</v>
      </c>
      <c r="B50" s="24">
        <v>0</v>
      </c>
      <c r="C50" s="19">
        <v>0</v>
      </c>
      <c r="D50" s="19">
        <v>0</v>
      </c>
      <c r="E50" s="25">
        <f>+B50+C50+D50</f>
        <v>0</v>
      </c>
      <c r="F50" s="25">
        <v>0</v>
      </c>
      <c r="H50" s="123"/>
    </row>
    <row r="51" spans="1:8" ht="12.75">
      <c r="A51" s="20" t="s">
        <v>47</v>
      </c>
      <c r="B51" s="21">
        <f>SUM(B48:B50)</f>
        <v>5480715</v>
      </c>
      <c r="C51" s="22">
        <f>SUM(C48:C50)</f>
        <v>0</v>
      </c>
      <c r="D51" s="22">
        <f>SUM(D48:D50)</f>
        <v>0</v>
      </c>
      <c r="E51" s="23">
        <f>SUM(B51:D51)</f>
        <v>5480715</v>
      </c>
      <c r="F51" s="23">
        <f>SUM(F48:F50)</f>
        <v>4791469</v>
      </c>
      <c r="H51" s="123"/>
    </row>
    <row r="52" spans="1:8" ht="12.75">
      <c r="A52" s="7"/>
      <c r="B52" s="4"/>
      <c r="C52" s="5"/>
      <c r="D52" s="5"/>
      <c r="E52" s="6"/>
      <c r="F52" s="6"/>
      <c r="H52" s="123"/>
    </row>
    <row r="53" spans="1:8" ht="12.75">
      <c r="A53" s="7" t="s">
        <v>48</v>
      </c>
      <c r="B53" s="4"/>
      <c r="C53" s="5"/>
      <c r="D53" s="5"/>
      <c r="E53" s="6"/>
      <c r="F53" s="6"/>
      <c r="H53" s="123"/>
    </row>
    <row r="54" spans="1:8" ht="12.75">
      <c r="A54" s="8" t="s">
        <v>49</v>
      </c>
      <c r="B54" s="4"/>
      <c r="C54" s="5">
        <v>0</v>
      </c>
      <c r="D54" s="5">
        <v>0</v>
      </c>
      <c r="E54" s="6">
        <f>+B54+C54+D54</f>
        <v>0</v>
      </c>
      <c r="F54" s="6">
        <v>0</v>
      </c>
      <c r="H54" s="123"/>
    </row>
    <row r="55" spans="1:8" ht="12.75">
      <c r="A55" s="9" t="s">
        <v>40</v>
      </c>
      <c r="B55" s="4">
        <f>4000000+370182+419190+112450+651200+1000000</f>
        <v>6553022</v>
      </c>
      <c r="C55" s="19">
        <v>0</v>
      </c>
      <c r="D55" s="19">
        <v>0</v>
      </c>
      <c r="E55" s="25">
        <f>+B55+C55+D55</f>
        <v>6553022</v>
      </c>
      <c r="F55" s="25">
        <v>7286315</v>
      </c>
      <c r="H55" s="123"/>
    </row>
    <row r="56" spans="1:8" ht="13.5" thickBot="1">
      <c r="A56" s="26" t="s">
        <v>50</v>
      </c>
      <c r="B56" s="124">
        <f>SUM(B54:B55)</f>
        <v>6553022</v>
      </c>
      <c r="C56" s="125">
        <f>SUM(C54:C55)</f>
        <v>0</v>
      </c>
      <c r="D56" s="125">
        <f>SUM(D54:D55)</f>
        <v>0</v>
      </c>
      <c r="E56" s="29">
        <f>+B56+C56+D56</f>
        <v>6553022</v>
      </c>
      <c r="F56" s="29">
        <f>SUM(F54:F55)</f>
        <v>7286315</v>
      </c>
      <c r="H56" s="123"/>
    </row>
    <row r="57" spans="1:8" s="122" customFormat="1" ht="13.5" thickTop="1">
      <c r="A57" s="52" t="s">
        <v>51</v>
      </c>
      <c r="B57" s="53">
        <f>+B44+B51+B56</f>
        <v>174604478</v>
      </c>
      <c r="C57" s="49">
        <f>+C56+C51+C44</f>
        <v>31201514</v>
      </c>
      <c r="D57" s="49">
        <f>+D56+D51+D44</f>
        <v>40566786</v>
      </c>
      <c r="E57" s="54">
        <f>+B57+C57+D57</f>
        <v>246372778</v>
      </c>
      <c r="F57" s="54">
        <f>+F56+F51+F44</f>
        <v>235216896</v>
      </c>
      <c r="G57" s="119"/>
      <c r="H57" s="123"/>
    </row>
    <row r="58" spans="1:8" ht="12.75">
      <c r="A58" s="7"/>
      <c r="B58" s="4"/>
      <c r="C58" s="5"/>
      <c r="D58" s="5"/>
      <c r="E58" s="6"/>
      <c r="F58" s="6"/>
      <c r="H58" s="123"/>
    </row>
    <row r="59" spans="1:8" ht="13.5" thickBot="1">
      <c r="A59" s="30" t="s">
        <v>52</v>
      </c>
      <c r="B59" s="31">
        <f>+B29-B57</f>
        <v>0</v>
      </c>
      <c r="C59" s="32">
        <f>+C29-C57</f>
        <v>0</v>
      </c>
      <c r="D59" s="32">
        <f>+D29-D57</f>
        <v>0</v>
      </c>
      <c r="E59" s="33">
        <f>+E29-E57</f>
        <v>0</v>
      </c>
      <c r="F59" s="33">
        <f>+F29-F57</f>
        <v>0</v>
      </c>
      <c r="H59" s="123"/>
    </row>
    <row r="61" ht="12.75">
      <c r="A61" s="127"/>
    </row>
    <row r="63" ht="12.75">
      <c r="A63" s="129"/>
    </row>
    <row r="64" ht="12.75">
      <c r="A64" s="130"/>
    </row>
    <row r="68" spans="2:6" ht="12.75">
      <c r="B68" s="119"/>
      <c r="C68" s="119"/>
      <c r="D68" s="119"/>
      <c r="E68" s="119"/>
      <c r="F68" s="119"/>
    </row>
    <row r="69" spans="2:6" ht="12.75">
      <c r="B69" s="119"/>
      <c r="C69" s="119"/>
      <c r="D69" s="119"/>
      <c r="E69" s="119"/>
      <c r="F69" s="119"/>
    </row>
  </sheetData>
  <sheetProtection/>
  <mergeCells count="3">
    <mergeCell ref="A1:F1"/>
    <mergeCell ref="A2:F2"/>
    <mergeCell ref="A3:F3"/>
  </mergeCells>
  <printOptions horizontalCentered="1"/>
  <pageMargins left="0.75" right="0.75" top="1" bottom="0.58" header="0.5" footer="0.38"/>
  <pageSetup fitToHeight="1" fitToWidth="1" horizontalDpi="600" verticalDpi="600" orientation="portrait" scale="1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showGridLines="0" zoomScalePageLayoutView="0" workbookViewId="0" topLeftCell="A1">
      <selection activeCell="H2" sqref="H2"/>
    </sheetView>
  </sheetViews>
  <sheetFormatPr defaultColWidth="15.7109375" defaultRowHeight="12.75"/>
  <cols>
    <col min="1" max="1" width="44.28125" style="119" customWidth="1"/>
    <col min="2" max="6" width="15.28125" style="128" customWidth="1"/>
    <col min="7" max="7" width="10.28125" style="119" customWidth="1"/>
    <col min="8" max="8" width="9.7109375" style="119" customWidth="1"/>
    <col min="9" max="9" width="9.140625" style="119" customWidth="1"/>
    <col min="10" max="10" width="18.140625" style="119" bestFit="1" customWidth="1"/>
    <col min="11" max="11" width="14.8515625" style="119" bestFit="1" customWidth="1"/>
    <col min="12" max="253" width="9.140625" style="119" customWidth="1"/>
    <col min="254" max="254" width="51.57421875" style="119" customWidth="1"/>
    <col min="255" max="255" width="17.00390625" style="119" customWidth="1"/>
    <col min="256" max="16384" width="15.7109375" style="119" customWidth="1"/>
  </cols>
  <sheetData>
    <row r="1" spans="1:6" ht="15.75">
      <c r="A1" s="133" t="s">
        <v>67</v>
      </c>
      <c r="B1" s="133"/>
      <c r="C1" s="133"/>
      <c r="D1" s="133"/>
      <c r="E1" s="133"/>
      <c r="F1" s="133"/>
    </row>
    <row r="2" spans="1:6" ht="15.75">
      <c r="A2" s="133" t="s">
        <v>0</v>
      </c>
      <c r="B2" s="133"/>
      <c r="C2" s="133"/>
      <c r="D2" s="133"/>
      <c r="E2" s="133"/>
      <c r="F2" s="133"/>
    </row>
    <row r="3" spans="1:6" ht="15">
      <c r="A3" s="134" t="s">
        <v>65</v>
      </c>
      <c r="B3" s="134"/>
      <c r="C3" s="134"/>
      <c r="D3" s="134"/>
      <c r="E3" s="134"/>
      <c r="F3" s="134"/>
    </row>
    <row r="4" spans="1:6" ht="13.5" thickBot="1">
      <c r="A4" s="2"/>
      <c r="B4" s="2"/>
      <c r="C4" s="2"/>
      <c r="D4" s="2"/>
      <c r="E4" s="2"/>
      <c r="F4" s="2"/>
    </row>
    <row r="5" spans="1:7" s="121" customFormat="1" ht="44.25" customHeight="1" thickBot="1">
      <c r="A5" s="131"/>
      <c r="B5" s="115" t="s">
        <v>2</v>
      </c>
      <c r="C5" s="116" t="s">
        <v>3</v>
      </c>
      <c r="D5" s="116" t="s">
        <v>70</v>
      </c>
      <c r="E5" s="117" t="s">
        <v>4</v>
      </c>
      <c r="F5" s="117" t="s">
        <v>69</v>
      </c>
      <c r="G5" s="132"/>
    </row>
    <row r="6" spans="1:6" ht="12.75">
      <c r="A6" s="3" t="s">
        <v>5</v>
      </c>
      <c r="B6" s="4"/>
      <c r="C6" s="5"/>
      <c r="D6" s="5"/>
      <c r="E6" s="6"/>
      <c r="F6" s="6"/>
    </row>
    <row r="7" spans="1:6" ht="12.75">
      <c r="A7" s="7" t="s">
        <v>6</v>
      </c>
      <c r="B7" s="4"/>
      <c r="C7" s="5"/>
      <c r="D7" s="5"/>
      <c r="E7" s="6"/>
      <c r="F7" s="6"/>
    </row>
    <row r="8" spans="1:8" ht="12.75">
      <c r="A8" s="8" t="s">
        <v>7</v>
      </c>
      <c r="B8" s="4">
        <v>975568</v>
      </c>
      <c r="C8" s="5">
        <v>0</v>
      </c>
      <c r="D8" s="5">
        <v>0</v>
      </c>
      <c r="E8" s="6">
        <f aca="true" t="shared" si="0" ref="E8:E28">+B8+C8+D8</f>
        <v>975568</v>
      </c>
      <c r="F8" s="6">
        <v>851140</v>
      </c>
      <c r="H8" s="123"/>
    </row>
    <row r="9" spans="1:8" ht="12.75">
      <c r="A9" s="8" t="s">
        <v>8</v>
      </c>
      <c r="B9" s="4">
        <v>51706665</v>
      </c>
      <c r="C9" s="5">
        <v>0</v>
      </c>
      <c r="D9" s="5">
        <v>0</v>
      </c>
      <c r="E9" s="6">
        <f t="shared" si="0"/>
        <v>51706665</v>
      </c>
      <c r="F9" s="6">
        <v>47009664</v>
      </c>
      <c r="H9" s="123"/>
    </row>
    <row r="10" spans="1:8" ht="12.75">
      <c r="A10" s="8" t="s">
        <v>9</v>
      </c>
      <c r="B10" s="4">
        <v>18386491</v>
      </c>
      <c r="C10" s="5">
        <v>0</v>
      </c>
      <c r="D10" s="5">
        <v>0</v>
      </c>
      <c r="E10" s="6">
        <f t="shared" si="0"/>
        <v>18386491</v>
      </c>
      <c r="F10" s="6">
        <v>18284543</v>
      </c>
      <c r="H10" s="123"/>
    </row>
    <row r="11" spans="1:8" ht="12.75">
      <c r="A11" s="8" t="s">
        <v>10</v>
      </c>
      <c r="B11" s="4">
        <v>0</v>
      </c>
      <c r="C11" s="5">
        <v>10108488</v>
      </c>
      <c r="D11" s="5">
        <v>0</v>
      </c>
      <c r="E11" s="6">
        <f t="shared" si="0"/>
        <v>10108488</v>
      </c>
      <c r="F11" s="6">
        <v>10108490</v>
      </c>
      <c r="H11" s="123"/>
    </row>
    <row r="12" spans="1:8" ht="12.75">
      <c r="A12" s="9" t="s">
        <v>11</v>
      </c>
      <c r="B12" s="24">
        <v>9309916</v>
      </c>
      <c r="C12" s="5">
        <f>10587383-B12</f>
        <v>1277467</v>
      </c>
      <c r="D12" s="5">
        <v>0</v>
      </c>
      <c r="E12" s="6">
        <f t="shared" si="0"/>
        <v>10587383</v>
      </c>
      <c r="F12" s="6">
        <v>10503712</v>
      </c>
      <c r="H12" s="123"/>
    </row>
    <row r="13" spans="1:8" s="122" customFormat="1" ht="12.75">
      <c r="A13" s="10" t="s">
        <v>12</v>
      </c>
      <c r="B13" s="36">
        <f>SUM(B8:B12)</f>
        <v>80378640</v>
      </c>
      <c r="C13" s="12">
        <f>SUM(C8:C12)</f>
        <v>11385955</v>
      </c>
      <c r="D13" s="12">
        <f>SUM(D8:D12)</f>
        <v>0</v>
      </c>
      <c r="E13" s="13">
        <f t="shared" si="0"/>
        <v>91764595</v>
      </c>
      <c r="F13" s="13">
        <f>SUM(F8:F12)</f>
        <v>86757549</v>
      </c>
      <c r="G13" s="119"/>
      <c r="H13" s="123"/>
    </row>
    <row r="14" spans="1:8" ht="12.75">
      <c r="A14" s="7" t="s">
        <v>13</v>
      </c>
      <c r="B14" s="34">
        <v>0</v>
      </c>
      <c r="C14" s="5">
        <f>ROUND(7782863*0.52,0)</f>
        <v>4047089</v>
      </c>
      <c r="D14" s="5">
        <f>ROUND(7782863*0.48,0)</f>
        <v>3735774</v>
      </c>
      <c r="E14" s="6">
        <f t="shared" si="0"/>
        <v>7782863</v>
      </c>
      <c r="F14" s="6">
        <v>8181797</v>
      </c>
      <c r="H14" s="123"/>
    </row>
    <row r="15" spans="1:8" ht="12.75">
      <c r="A15" s="7" t="s">
        <v>14</v>
      </c>
      <c r="B15" s="34"/>
      <c r="C15" s="5"/>
      <c r="D15" s="5"/>
      <c r="E15" s="6"/>
      <c r="F15" s="6"/>
      <c r="H15" s="123"/>
    </row>
    <row r="16" spans="1:8" ht="12.75">
      <c r="A16" s="8" t="s">
        <v>15</v>
      </c>
      <c r="B16" s="34">
        <v>0</v>
      </c>
      <c r="C16" s="5">
        <v>0</v>
      </c>
      <c r="D16" s="5">
        <f>205875840+602214</f>
        <v>206478054</v>
      </c>
      <c r="E16" s="6">
        <f t="shared" si="0"/>
        <v>206478054</v>
      </c>
      <c r="F16" s="6">
        <f>216848348+904761</f>
        <v>217753109</v>
      </c>
      <c r="H16" s="123"/>
    </row>
    <row r="17" spans="1:8" ht="12.75">
      <c r="A17" s="8" t="s">
        <v>16</v>
      </c>
      <c r="B17" s="34">
        <v>0</v>
      </c>
      <c r="C17" s="5">
        <v>0</v>
      </c>
      <c r="D17" s="5">
        <f>14423883+2875006</f>
        <v>17298889</v>
      </c>
      <c r="E17" s="6">
        <f t="shared" si="0"/>
        <v>17298889</v>
      </c>
      <c r="F17" s="6">
        <f>14210722+1541210</f>
        <v>15751932</v>
      </c>
      <c r="H17" s="123"/>
    </row>
    <row r="18" spans="1:8" ht="12.75">
      <c r="A18" s="8" t="s">
        <v>17</v>
      </c>
      <c r="B18" s="34">
        <v>13872246</v>
      </c>
      <c r="C18" s="5">
        <v>0</v>
      </c>
      <c r="D18" s="5">
        <v>0</v>
      </c>
      <c r="E18" s="6">
        <f t="shared" si="0"/>
        <v>13872246</v>
      </c>
      <c r="F18" s="6">
        <f>13923200+248526</f>
        <v>14171726</v>
      </c>
      <c r="H18" s="123"/>
    </row>
    <row r="19" spans="1:8" ht="12.75">
      <c r="A19" s="9" t="s">
        <v>18</v>
      </c>
      <c r="B19" s="34">
        <f>49063370+1755325+18094</f>
        <v>50836789</v>
      </c>
      <c r="C19" s="19">
        <v>0</v>
      </c>
      <c r="D19" s="19">
        <v>0</v>
      </c>
      <c r="E19" s="6">
        <f t="shared" si="0"/>
        <v>50836789</v>
      </c>
      <c r="F19" s="6">
        <v>49684316</v>
      </c>
      <c r="H19" s="123"/>
    </row>
    <row r="20" spans="1:8" s="122" customFormat="1" ht="12.75">
      <c r="A20" s="10" t="s">
        <v>19</v>
      </c>
      <c r="B20" s="11">
        <f>SUM(B14:B19)</f>
        <v>64709035</v>
      </c>
      <c r="C20" s="12">
        <f>SUM(C14:C19)</f>
        <v>4047089</v>
      </c>
      <c r="D20" s="12">
        <f>SUM(D14:D19)</f>
        <v>227512717</v>
      </c>
      <c r="E20" s="13">
        <f>SUM(B20:D20)</f>
        <v>296268841</v>
      </c>
      <c r="F20" s="13">
        <f>SUM(F14:F19)</f>
        <v>305542880</v>
      </c>
      <c r="G20" s="119"/>
      <c r="H20" s="123"/>
    </row>
    <row r="21" spans="1:8" ht="12.75">
      <c r="A21" s="7" t="s">
        <v>20</v>
      </c>
      <c r="B21" s="4">
        <v>0</v>
      </c>
      <c r="C21" s="5">
        <v>0</v>
      </c>
      <c r="D21" s="5">
        <f>61746051+33895368</f>
        <v>95641419</v>
      </c>
      <c r="E21" s="6">
        <f t="shared" si="0"/>
        <v>95641419</v>
      </c>
      <c r="F21" s="6">
        <f>59947622+32665545</f>
        <v>92613167</v>
      </c>
      <c r="H21" s="123"/>
    </row>
    <row r="22" spans="1:8" ht="12.75">
      <c r="A22" s="7" t="s">
        <v>21</v>
      </c>
      <c r="B22" s="4">
        <v>0</v>
      </c>
      <c r="C22" s="5">
        <v>131180852</v>
      </c>
      <c r="D22" s="5">
        <v>0</v>
      </c>
      <c r="E22" s="6">
        <f t="shared" si="0"/>
        <v>131180852</v>
      </c>
      <c r="F22" s="14">
        <v>126116399</v>
      </c>
      <c r="H22" s="123"/>
    </row>
    <row r="23" spans="1:8" ht="12.75">
      <c r="A23" s="7" t="s">
        <v>22</v>
      </c>
      <c r="B23" s="4">
        <v>0</v>
      </c>
      <c r="C23" s="5">
        <v>16404689</v>
      </c>
      <c r="D23" s="5">
        <v>0</v>
      </c>
      <c r="E23" s="6">
        <f t="shared" si="0"/>
        <v>16404689</v>
      </c>
      <c r="F23" s="6">
        <v>16566572</v>
      </c>
      <c r="H23" s="123"/>
    </row>
    <row r="24" spans="1:8" ht="12.75">
      <c r="A24" s="7" t="s">
        <v>23</v>
      </c>
      <c r="B24" s="4">
        <v>1950000</v>
      </c>
      <c r="C24" s="5">
        <f>569000000+15700877-B24</f>
        <v>582750877</v>
      </c>
      <c r="D24" s="5">
        <v>0</v>
      </c>
      <c r="E24" s="6">
        <f t="shared" si="0"/>
        <v>584700877</v>
      </c>
      <c r="F24" s="6">
        <v>546947618</v>
      </c>
      <c r="H24" s="123"/>
    </row>
    <row r="25" spans="1:8" ht="12.75">
      <c r="A25" s="7" t="s">
        <v>24</v>
      </c>
      <c r="B25" s="4"/>
      <c r="C25" s="5"/>
      <c r="D25" s="5"/>
      <c r="E25" s="6"/>
      <c r="F25" s="6"/>
      <c r="H25" s="123"/>
    </row>
    <row r="26" spans="1:12" ht="15" customHeight="1">
      <c r="A26" s="8" t="s">
        <v>25</v>
      </c>
      <c r="B26" s="4">
        <v>59607227</v>
      </c>
      <c r="C26" s="5">
        <v>14606875</v>
      </c>
      <c r="D26" s="5">
        <v>0</v>
      </c>
      <c r="E26" s="6">
        <f t="shared" si="0"/>
        <v>74214102</v>
      </c>
      <c r="F26" s="6">
        <v>76507922</v>
      </c>
      <c r="H26" s="123"/>
      <c r="L26" s="123"/>
    </row>
    <row r="27" spans="1:12" ht="12.75">
      <c r="A27" s="8" t="s">
        <v>26</v>
      </c>
      <c r="B27" s="4">
        <v>0</v>
      </c>
      <c r="C27" s="5">
        <v>0</v>
      </c>
      <c r="D27" s="5">
        <v>0</v>
      </c>
      <c r="E27" s="6">
        <f t="shared" si="0"/>
        <v>0</v>
      </c>
      <c r="F27" s="6">
        <v>0</v>
      </c>
      <c r="H27" s="123"/>
      <c r="L27" s="123"/>
    </row>
    <row r="28" spans="1:12" ht="13.5" thickBot="1">
      <c r="A28" s="15" t="s">
        <v>27</v>
      </c>
      <c r="B28" s="27">
        <v>10363226</v>
      </c>
      <c r="C28" s="16">
        <f>25028888-B28-D28</f>
        <v>10906693</v>
      </c>
      <c r="D28" s="5">
        <v>3758969</v>
      </c>
      <c r="E28" s="6">
        <f t="shared" si="0"/>
        <v>25028888</v>
      </c>
      <c r="F28" s="17">
        <v>27799418</v>
      </c>
      <c r="H28" s="123"/>
      <c r="L28" s="123"/>
    </row>
    <row r="29" spans="1:8" s="122" customFormat="1" ht="13.5" thickTop="1">
      <c r="A29" s="47" t="s">
        <v>28</v>
      </c>
      <c r="B29" s="48">
        <f>SUM(B21:B28)+B20+B13</f>
        <v>217008128</v>
      </c>
      <c r="C29" s="50">
        <f>SUM(C21:C28)+C20+C13</f>
        <v>771283030</v>
      </c>
      <c r="D29" s="50">
        <f>SUM(D21:D28)+D20+D13</f>
        <v>326913105</v>
      </c>
      <c r="E29" s="51">
        <f>SUM(E21:E28)+E20+E13</f>
        <v>1315204263</v>
      </c>
      <c r="F29" s="51">
        <f>F13+F20+F21+F22+F23+F24+F26+F27+F28</f>
        <v>1278851525</v>
      </c>
      <c r="G29" s="119"/>
      <c r="H29" s="123"/>
    </row>
    <row r="30" spans="1:8" ht="12.75">
      <c r="A30" s="7"/>
      <c r="B30" s="4"/>
      <c r="C30" s="5"/>
      <c r="D30" s="5"/>
      <c r="E30" s="6"/>
      <c r="F30" s="6"/>
      <c r="H30" s="123"/>
    </row>
    <row r="31" spans="1:8" ht="12.75">
      <c r="A31" s="3" t="s">
        <v>29</v>
      </c>
      <c r="B31" s="4"/>
      <c r="C31" s="5"/>
      <c r="D31" s="5"/>
      <c r="E31" s="6"/>
      <c r="F31" s="6"/>
      <c r="H31" s="123"/>
    </row>
    <row r="32" spans="1:8" ht="12.75">
      <c r="A32" s="7" t="s">
        <v>30</v>
      </c>
      <c r="B32" s="4"/>
      <c r="C32" s="5"/>
      <c r="D32" s="5"/>
      <c r="E32" s="6"/>
      <c r="F32" s="6"/>
      <c r="H32" s="123"/>
    </row>
    <row r="33" spans="1:8" ht="12.75">
      <c r="A33" s="8" t="s">
        <v>31</v>
      </c>
      <c r="B33" s="4">
        <v>106543264</v>
      </c>
      <c r="C33" s="5">
        <v>111883686</v>
      </c>
      <c r="D33" s="5">
        <v>79663334</v>
      </c>
      <c r="E33" s="6">
        <v>298090284</v>
      </c>
      <c r="F33" s="6">
        <f>267789387+20000000</f>
        <v>287789387</v>
      </c>
      <c r="H33" s="123"/>
    </row>
    <row r="34" spans="1:8" ht="12.75">
      <c r="A34" s="8" t="s">
        <v>32</v>
      </c>
      <c r="B34" s="4">
        <v>130028</v>
      </c>
      <c r="C34" s="5">
        <v>0</v>
      </c>
      <c r="D34" s="5">
        <v>206131798</v>
      </c>
      <c r="E34" s="6">
        <v>206261826</v>
      </c>
      <c r="F34" s="6">
        <f>238985393-2284786</f>
        <v>236700607</v>
      </c>
      <c r="H34" s="123"/>
    </row>
    <row r="35" spans="1:8" ht="12.75">
      <c r="A35" s="8" t="s">
        <v>33</v>
      </c>
      <c r="B35" s="4">
        <v>200751</v>
      </c>
      <c r="C35" s="5">
        <v>63099593</v>
      </c>
      <c r="D35" s="5">
        <v>32073360</v>
      </c>
      <c r="E35" s="6">
        <v>95373704</v>
      </c>
      <c r="F35" s="6">
        <f>85903387-500000</f>
        <v>85403387</v>
      </c>
      <c r="H35" s="123"/>
    </row>
    <row r="36" spans="1:8" ht="12.75">
      <c r="A36" s="8" t="s">
        <v>34</v>
      </c>
      <c r="B36" s="4">
        <v>34967558</v>
      </c>
      <c r="C36" s="5">
        <v>7014</v>
      </c>
      <c r="D36" s="5">
        <v>80305</v>
      </c>
      <c r="E36" s="6">
        <v>35054877</v>
      </c>
      <c r="F36" s="14">
        <v>21972471</v>
      </c>
      <c r="H36" s="123"/>
    </row>
    <row r="37" spans="1:8" ht="12.75">
      <c r="A37" s="8" t="s">
        <v>35</v>
      </c>
      <c r="B37" s="4">
        <v>1430755</v>
      </c>
      <c r="C37" s="5">
        <v>728575</v>
      </c>
      <c r="D37" s="5">
        <v>71311</v>
      </c>
      <c r="E37" s="6">
        <v>2230641</v>
      </c>
      <c r="F37" s="6">
        <v>1998165</v>
      </c>
      <c r="H37" s="123"/>
    </row>
    <row r="38" spans="1:8" ht="12.75">
      <c r="A38" s="8" t="s">
        <v>36</v>
      </c>
      <c r="B38" s="4">
        <v>23959175</v>
      </c>
      <c r="C38" s="5">
        <v>801301</v>
      </c>
      <c r="D38" s="5">
        <v>287870</v>
      </c>
      <c r="E38" s="6">
        <v>25048346</v>
      </c>
      <c r="F38" s="6">
        <v>24142128</v>
      </c>
      <c r="H38" s="123"/>
    </row>
    <row r="39" spans="1:8" ht="12.75">
      <c r="A39" s="8" t="s">
        <v>37</v>
      </c>
      <c r="B39" s="4">
        <v>17969894</v>
      </c>
      <c r="C39" s="5">
        <v>17657281</v>
      </c>
      <c r="D39" s="5">
        <v>39487</v>
      </c>
      <c r="E39" s="6">
        <v>35666662</v>
      </c>
      <c r="F39" s="14">
        <v>38373244</v>
      </c>
      <c r="H39" s="123"/>
    </row>
    <row r="40" spans="1:8" ht="12.75">
      <c r="A40" s="8" t="s">
        <v>38</v>
      </c>
      <c r="B40" s="4">
        <v>901688</v>
      </c>
      <c r="C40" s="5">
        <v>73816</v>
      </c>
      <c r="D40" s="5">
        <v>8048869</v>
      </c>
      <c r="E40" s="6">
        <v>9024373</v>
      </c>
      <c r="F40" s="6">
        <f>13322878-4500000</f>
        <v>8822878</v>
      </c>
      <c r="H40" s="123"/>
    </row>
    <row r="41" spans="1:8" ht="12.75">
      <c r="A41" s="7" t="s">
        <v>39</v>
      </c>
      <c r="B41" s="4">
        <v>0</v>
      </c>
      <c r="C41" s="5">
        <v>16629681</v>
      </c>
      <c r="D41" s="5">
        <v>0</v>
      </c>
      <c r="E41" s="6">
        <v>16629681</v>
      </c>
      <c r="F41" s="6">
        <v>12123493</v>
      </c>
      <c r="H41" s="123"/>
    </row>
    <row r="42" spans="1:8" ht="12.75">
      <c r="A42" s="7" t="s">
        <v>23</v>
      </c>
      <c r="B42" s="4">
        <v>0</v>
      </c>
      <c r="C42" s="5">
        <v>538462744</v>
      </c>
      <c r="D42" s="5">
        <v>196875</v>
      </c>
      <c r="E42" s="6">
        <v>538659619</v>
      </c>
      <c r="F42" s="6">
        <f>448244572+86092052-15000000</f>
        <v>519336624</v>
      </c>
      <c r="H42" s="123"/>
    </row>
    <row r="43" spans="1:8" ht="13.5" thickBot="1">
      <c r="A43" s="18" t="s">
        <v>40</v>
      </c>
      <c r="B43" s="27">
        <v>0</v>
      </c>
      <c r="C43" s="16">
        <v>0</v>
      </c>
      <c r="D43" s="16">
        <v>0</v>
      </c>
      <c r="E43" s="6">
        <v>0</v>
      </c>
      <c r="F43" s="28">
        <v>0</v>
      </c>
      <c r="H43" s="123"/>
    </row>
    <row r="44" spans="1:8" s="122" customFormat="1" ht="13.5" thickTop="1">
      <c r="A44" s="47" t="s">
        <v>41</v>
      </c>
      <c r="B44" s="48">
        <f>SUM(B33:B43)</f>
        <v>186103113</v>
      </c>
      <c r="C44" s="50">
        <f>SUM(C33:C43)</f>
        <v>749343691</v>
      </c>
      <c r="D44" s="50">
        <f>SUM(D33:D43)</f>
        <v>326593209</v>
      </c>
      <c r="E44" s="51">
        <f>SUM(B44:D44)</f>
        <v>1262040013</v>
      </c>
      <c r="F44" s="51">
        <f>SUM(F33:F43)</f>
        <v>1236662384</v>
      </c>
      <c r="G44" s="119"/>
      <c r="H44" s="123"/>
    </row>
    <row r="45" spans="1:8" ht="12.75">
      <c r="A45" s="7"/>
      <c r="B45" s="4"/>
      <c r="C45" s="5"/>
      <c r="D45" s="5"/>
      <c r="E45" s="6"/>
      <c r="F45" s="6"/>
      <c r="H45" s="123"/>
    </row>
    <row r="46" spans="1:8" ht="12.75">
      <c r="A46" s="3" t="s">
        <v>42</v>
      </c>
      <c r="B46" s="4"/>
      <c r="C46" s="5"/>
      <c r="D46" s="5"/>
      <c r="E46" s="6"/>
      <c r="F46" s="6"/>
      <c r="H46" s="123"/>
    </row>
    <row r="47" spans="1:8" ht="12.75">
      <c r="A47" s="7" t="s">
        <v>43</v>
      </c>
      <c r="B47" s="4"/>
      <c r="C47" s="5"/>
      <c r="D47" s="5"/>
      <c r="E47" s="6"/>
      <c r="F47" s="6"/>
      <c r="H47" s="123"/>
    </row>
    <row r="48" spans="1:8" ht="12.75">
      <c r="A48" s="8" t="s">
        <v>44</v>
      </c>
      <c r="B48" s="4">
        <f>7752204+249583+45422</f>
        <v>8047209</v>
      </c>
      <c r="C48" s="5">
        <v>21939339</v>
      </c>
      <c r="D48" s="5">
        <v>319896</v>
      </c>
      <c r="E48" s="6">
        <f>+B48+C48+D48</f>
        <v>30306444</v>
      </c>
      <c r="F48" s="6">
        <v>30431020</v>
      </c>
      <c r="H48" s="123"/>
    </row>
    <row r="49" spans="1:8" ht="12.75">
      <c r="A49" s="8" t="s">
        <v>45</v>
      </c>
      <c r="B49" s="4">
        <v>0</v>
      </c>
      <c r="C49" s="5">
        <v>0</v>
      </c>
      <c r="D49" s="5">
        <v>0</v>
      </c>
      <c r="E49" s="6">
        <f>+B49+C49+D49</f>
        <v>0</v>
      </c>
      <c r="F49" s="6">
        <v>0</v>
      </c>
      <c r="H49" s="123"/>
    </row>
    <row r="50" spans="1:8" ht="12.75">
      <c r="A50" s="9" t="s">
        <v>46</v>
      </c>
      <c r="B50" s="24">
        <v>0</v>
      </c>
      <c r="C50" s="19">
        <v>0</v>
      </c>
      <c r="D50" s="19">
        <v>0</v>
      </c>
      <c r="E50" s="25">
        <f>+B50+C50+D50</f>
        <v>0</v>
      </c>
      <c r="F50" s="25">
        <v>0</v>
      </c>
      <c r="H50" s="123"/>
    </row>
    <row r="51" spans="1:8" ht="12.75">
      <c r="A51" s="20" t="s">
        <v>47</v>
      </c>
      <c r="B51" s="21">
        <f>SUM(B48:B50)</f>
        <v>8047209</v>
      </c>
      <c r="C51" s="22">
        <f>SUM(C48:C50)</f>
        <v>21939339</v>
      </c>
      <c r="D51" s="22">
        <f>SUM(D48:D50)</f>
        <v>319896</v>
      </c>
      <c r="E51" s="23">
        <f>SUM(B51:D51)</f>
        <v>30306444</v>
      </c>
      <c r="F51" s="23">
        <f>SUM(F48:F50)</f>
        <v>30431020</v>
      </c>
      <c r="H51" s="123"/>
    </row>
    <row r="52" spans="1:8" ht="12.75">
      <c r="A52" s="7"/>
      <c r="B52" s="4"/>
      <c r="C52" s="5"/>
      <c r="D52" s="5"/>
      <c r="E52" s="6"/>
      <c r="F52" s="6"/>
      <c r="H52" s="123"/>
    </row>
    <row r="53" spans="1:8" ht="12.75">
      <c r="A53" s="7" t="s">
        <v>48</v>
      </c>
      <c r="B53" s="4"/>
      <c r="C53" s="5"/>
      <c r="D53" s="5"/>
      <c r="E53" s="6"/>
      <c r="F53" s="6"/>
      <c r="H53" s="123"/>
    </row>
    <row r="54" spans="1:8" ht="12.75">
      <c r="A54" s="8" t="s">
        <v>49</v>
      </c>
      <c r="B54" s="4">
        <f>-4000000+7135925+4565557+575000+31324+3500000+11050000</f>
        <v>22857806</v>
      </c>
      <c r="C54" s="5">
        <v>0</v>
      </c>
      <c r="D54" s="5">
        <v>0</v>
      </c>
      <c r="E54" s="6">
        <f>+B54+C54+D54</f>
        <v>22857806</v>
      </c>
      <c r="F54" s="6">
        <v>11758121</v>
      </c>
      <c r="H54" s="123"/>
    </row>
    <row r="55" spans="1:8" ht="12.75">
      <c r="A55" s="9" t="s">
        <v>40</v>
      </c>
      <c r="B55" s="24">
        <v>0</v>
      </c>
      <c r="C55" s="19">
        <v>0</v>
      </c>
      <c r="D55" s="19">
        <v>0</v>
      </c>
      <c r="E55" s="25">
        <f>+B55+C55+D55</f>
        <v>0</v>
      </c>
      <c r="F55" s="25">
        <v>0</v>
      </c>
      <c r="H55" s="123"/>
    </row>
    <row r="56" spans="1:8" ht="13.5" thickBot="1">
      <c r="A56" s="26" t="s">
        <v>50</v>
      </c>
      <c r="B56" s="124">
        <f>SUM(B54:B55)</f>
        <v>22857806</v>
      </c>
      <c r="C56" s="125">
        <f>SUM(C54:C55)</f>
        <v>0</v>
      </c>
      <c r="D56" s="125">
        <f>SUM(D54:D55)</f>
        <v>0</v>
      </c>
      <c r="E56" s="29">
        <f>+B56+C56+D56</f>
        <v>22857806</v>
      </c>
      <c r="F56" s="29">
        <f>SUM(F54:F55)</f>
        <v>11758121</v>
      </c>
      <c r="H56" s="123"/>
    </row>
    <row r="57" spans="1:8" s="122" customFormat="1" ht="13.5" thickTop="1">
      <c r="A57" s="52" t="s">
        <v>51</v>
      </c>
      <c r="B57" s="53">
        <f>+B44+B51+B56</f>
        <v>217008128</v>
      </c>
      <c r="C57" s="49">
        <f>+C56+C51+C44</f>
        <v>771283030</v>
      </c>
      <c r="D57" s="49">
        <f>+D56+D51+D44</f>
        <v>326913105</v>
      </c>
      <c r="E57" s="54">
        <f>+B57+C57+D57</f>
        <v>1315204263</v>
      </c>
      <c r="F57" s="54">
        <f>+F56+F51+F44</f>
        <v>1278851525</v>
      </c>
      <c r="G57" s="119"/>
      <c r="H57" s="123"/>
    </row>
    <row r="58" spans="1:8" ht="12.75">
      <c r="A58" s="7"/>
      <c r="B58" s="4"/>
      <c r="C58" s="5"/>
      <c r="D58" s="5"/>
      <c r="E58" s="6"/>
      <c r="F58" s="6"/>
      <c r="H58" s="123"/>
    </row>
    <row r="59" spans="1:8" ht="13.5" thickBot="1">
      <c r="A59" s="30" t="s">
        <v>52</v>
      </c>
      <c r="B59" s="31">
        <f>+B29-B57</f>
        <v>0</v>
      </c>
      <c r="C59" s="32">
        <f>+C29-C57</f>
        <v>0</v>
      </c>
      <c r="D59" s="32">
        <f>+D29-D57</f>
        <v>0</v>
      </c>
      <c r="E59" s="33">
        <f>+E29-E57</f>
        <v>0</v>
      </c>
      <c r="F59" s="33">
        <f>+F29-F57</f>
        <v>0</v>
      </c>
      <c r="H59" s="123"/>
    </row>
    <row r="61" ht="12.75">
      <c r="A61" s="127"/>
    </row>
    <row r="63" ht="12.75">
      <c r="A63" s="129"/>
    </row>
    <row r="64" ht="12.75">
      <c r="A64" s="130"/>
    </row>
    <row r="68" spans="2:6" ht="12.75">
      <c r="B68" s="119"/>
      <c r="C68" s="119"/>
      <c r="D68" s="119"/>
      <c r="E68" s="119"/>
      <c r="F68" s="119"/>
    </row>
    <row r="69" spans="2:6" ht="12.75">
      <c r="B69" s="119"/>
      <c r="C69" s="119"/>
      <c r="D69" s="119"/>
      <c r="E69" s="119"/>
      <c r="F69" s="119"/>
    </row>
  </sheetData>
  <sheetProtection/>
  <mergeCells count="3">
    <mergeCell ref="A1:F1"/>
    <mergeCell ref="A2:F2"/>
    <mergeCell ref="A3:F3"/>
  </mergeCells>
  <printOptions horizontalCentered="1"/>
  <pageMargins left="0.75" right="0.75" top="1" bottom="0.58" header="0.5" footer="0.38"/>
  <pageSetup fitToHeight="1" fitToWidth="1" horizontalDpi="600" verticalDpi="600" orientation="portrait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Colorado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 Taylor</dc:creator>
  <cp:keywords/>
  <dc:description/>
  <cp:lastModifiedBy>Jill Taylor</cp:lastModifiedBy>
  <cp:lastPrinted>2013-07-02T21:14:36Z</cp:lastPrinted>
  <dcterms:created xsi:type="dcterms:W3CDTF">2013-07-02T15:01:23Z</dcterms:created>
  <dcterms:modified xsi:type="dcterms:W3CDTF">2013-07-17T17:22:31Z</dcterms:modified>
  <cp:category/>
  <cp:version/>
  <cp:contentType/>
  <cp:contentStatus/>
</cp:coreProperties>
</file>