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0" windowHeight="12060" activeTab="0"/>
  </bookViews>
  <sheets>
    <sheet name="FY10 Consolidated" sheetId="1" r:id="rId1"/>
    <sheet name="FY10 Boulder" sheetId="2" r:id="rId2"/>
    <sheet name="FY10 Colorado Springs" sheetId="3" r:id="rId3"/>
    <sheet name="FY10 Denver|AMC" sheetId="4" r:id="rId4"/>
  </sheets>
  <definedNames>
    <definedName name="_xlnm.Print_Area" localSheetId="2">'FY10 Colorado Springs'!$A$1:$F$60</definedName>
    <definedName name="_xlnm.Print_Area" localSheetId="0">'FY10 Consolidated'!$A$1:$F$60</definedName>
    <definedName name="_xlnm.Print_Area" localSheetId="3">'FY10 Denver|AMC'!$A$1:$F$63</definedName>
  </definedNames>
  <calcPr fullCalcOnLoad="1"/>
</workbook>
</file>

<file path=xl/sharedStrings.xml><?xml version="1.0" encoding="utf-8"?>
<sst xmlns="http://schemas.openxmlformats.org/spreadsheetml/2006/main" count="252" uniqueCount="73">
  <si>
    <t>FY 2009-10 Current Funds Budget</t>
  </si>
  <si>
    <t>Description</t>
  </si>
  <si>
    <t>State Appropriated Funding</t>
  </si>
  <si>
    <t>Auxiliary &amp; 
Self-Funded Activities</t>
  </si>
  <si>
    <t>Restricted Fund</t>
  </si>
  <si>
    <t>Total Current Funds</t>
  </si>
  <si>
    <t>FY 2009 Est. Actuals Total Current Funds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</si>
  <si>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</si>
  <si>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</si>
  <si>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</si>
  <si>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</si>
  <si>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</si>
  <si>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</si>
  <si>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</si>
  <si>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</si>
  <si>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</si>
  <si>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</si>
  <si>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</si>
  <si>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 xml:space="preserve">American Recovery and Reinvestment  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</si>
  <si>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</si>
  <si>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</si>
  <si>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</si>
  <si>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</si>
  <si>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</si>
  <si>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</si>
  <si>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</si>
  <si>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</si>
  <si>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</si>
  <si>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</si>
  <si>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</si>
  <si>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</si>
  <si>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</si>
  <si>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</si>
  <si>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</si>
  <si>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</si>
  <si>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</si>
  <si>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</si>
  <si>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</si>
  <si>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</si>
  <si>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</si>
  <si>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</si>
  <si>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</si>
  <si>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</si>
  <si>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</si>
  <si>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</si>
  <si>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</si>
  <si>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</si>
  <si>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</si>
  <si>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</si>
  <si>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</si>
  <si>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</si>
  <si>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</si>
  <si>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</si>
  <si>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</si>
  <si>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</si>
  <si>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</si>
  <si>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Notes:</t>
  </si>
  <si>
    <t xml:space="preserve">2) This schedule removes Restricted Fund revenue equal to the indirect costs associated with research activities ($62.2M in FY2009 and $64.5M in FY2010). </t>
  </si>
  <si>
    <t xml:space="preserve">3) Revenue associated with research activity indirect costs is reflected only in the General Fund and Auxiliary Fund. </t>
  </si>
  <si>
    <t>4) Internal service revenue/expense activity is excluded from this schedule.</t>
  </si>
  <si>
    <t xml:space="preserve">5) All Auxiliary tuition for Continuing Education is classified as "Other Tuition" on this schedule. </t>
  </si>
  <si>
    <t>6) Scholarship allowance, fixed assets and other GASB-related adjustments are not included in the above figures.</t>
  </si>
  <si>
    <t>7) The scholarship continuing budget in the General Fund is estimated to be $35.4M in FY2009 and $38.2M in FY2010; however, actual scholarship activity occurs in multiple expenditure categories.</t>
  </si>
  <si>
    <t>8) This schedule does not include federal research-related America Recovery and Reinvestment (ARRA) funding, while operational ARRA funding is included.</t>
  </si>
  <si>
    <t>1) This schedule does not include revenue or expenses associated with the Direct Lending Program.   Direct Lending is reported outside of the current funds.</t>
  </si>
  <si>
    <t>For FY2009, the Direct Lending amount is estimated to be $130M and $135M in FY2009.  Pell and Work Study financial aid are in the Restricted Fund.</t>
  </si>
  <si>
    <t>University of Colorado</t>
  </si>
  <si>
    <t>Boulder Campus</t>
  </si>
  <si>
    <t>Facilities and Admin Reimbursements</t>
  </si>
  <si>
    <t>Includes $13,151,932 in ARRA one time funds that will be presented to the Regents in Sept.</t>
  </si>
  <si>
    <t xml:space="preserve">CU Consolidated </t>
  </si>
  <si>
    <t>Colorado Springs Campus</t>
  </si>
  <si>
    <t>Denver Campus and Anschutz Medical Campus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</si>
</sst>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</numFmts>
  <fonts count="48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u val="single"/>
      <sz val="8.5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medium"/>
      <right/>
      <top style="double"/>
      <bottom style="thin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double"/>
    </border>
    <border>
      <left style="thin"/>
      <right style="medium"/>
      <top style="double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4" fontId="11" fillId="0" borderId="10" xfId="0" applyNumberFormat="1" applyFont="1" applyBorder="1" applyAlignment="1">
      <alignment/>
    </xf>
    <xf numFmtId="164" fontId="12" fillId="0" borderId="11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164" fontId="12" fillId="0" borderId="12" xfId="0" applyNumberFormat="1" applyFont="1" applyBorder="1" applyAlignment="1">
      <alignment wrapText="1"/>
    </xf>
    <xf numFmtId="164" fontId="12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 horizontal="left" indent="1"/>
    </xf>
    <xf numFmtId="164" fontId="12" fillId="0" borderId="13" xfId="0" applyNumberFormat="1" applyFont="1" applyBorder="1" applyAlignment="1">
      <alignment horizontal="left" indent="1"/>
    </xf>
    <xf numFmtId="164" fontId="12" fillId="0" borderId="14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164" fontId="12" fillId="0" borderId="18" xfId="0" applyNumberFormat="1" applyFont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164" fontId="12" fillId="0" borderId="19" xfId="0" applyNumberFormat="1" applyFont="1" applyBorder="1" applyAlignment="1">
      <alignment horizontal="left" indent="1"/>
    </xf>
    <xf numFmtId="164" fontId="12" fillId="0" borderId="20" xfId="0" applyNumberFormat="1" applyFont="1" applyBorder="1" applyAlignment="1">
      <alignment wrapText="1"/>
    </xf>
    <xf numFmtId="164" fontId="12" fillId="0" borderId="21" xfId="0" applyNumberFormat="1" applyFont="1" applyBorder="1" applyAlignment="1">
      <alignment wrapText="1"/>
    </xf>
    <xf numFmtId="164" fontId="12" fillId="0" borderId="21" xfId="0" applyNumberFormat="1" applyFont="1" applyFill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12" fillId="0" borderId="19" xfId="0" applyNumberFormat="1" applyFont="1" applyBorder="1" applyAlignment="1">
      <alignment/>
    </xf>
    <xf numFmtId="164" fontId="12" fillId="0" borderId="15" xfId="0" applyNumberFormat="1" applyFont="1" applyBorder="1" applyAlignment="1">
      <alignment horizontal="right"/>
    </xf>
    <xf numFmtId="164" fontId="12" fillId="0" borderId="2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12" fillId="0" borderId="17" xfId="0" applyNumberFormat="1" applyFont="1" applyBorder="1" applyAlignment="1">
      <alignment wrapText="1"/>
    </xf>
    <xf numFmtId="164" fontId="12" fillId="0" borderId="23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wrapText="1"/>
    </xf>
    <xf numFmtId="164" fontId="12" fillId="0" borderId="25" xfId="0" applyNumberFormat="1" applyFont="1" applyBorder="1" applyAlignment="1">
      <alignment wrapText="1"/>
    </xf>
    <xf numFmtId="164" fontId="12" fillId="0" borderId="26" xfId="0" applyNumberFormat="1" applyFont="1" applyBorder="1" applyAlignment="1">
      <alignment wrapText="1"/>
    </xf>
    <xf numFmtId="164" fontId="12" fillId="0" borderId="27" xfId="0" applyNumberFormat="1" applyFont="1" applyBorder="1" applyAlignment="1">
      <alignment/>
    </xf>
    <xf numFmtId="164" fontId="12" fillId="0" borderId="28" xfId="0" applyNumberFormat="1" applyFont="1" applyBorder="1" applyAlignment="1">
      <alignment wrapText="1"/>
    </xf>
    <xf numFmtId="164" fontId="12" fillId="0" borderId="29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 wrapText="1"/>
    </xf>
    <xf numFmtId="164" fontId="12" fillId="0" borderId="31" xfId="0" applyNumberFormat="1" applyFont="1" applyBorder="1" applyAlignment="1">
      <alignment wrapText="1"/>
    </xf>
    <xf numFmtId="164" fontId="2" fillId="0" borderId="29" xfId="0" applyNumberFormat="1" applyFont="1" applyBorder="1" applyAlignment="1">
      <alignment horizontal="center"/>
    </xf>
    <xf numFmtId="164" fontId="12" fillId="0" borderId="32" xfId="0" applyNumberFormat="1" applyFont="1" applyBorder="1" applyAlignment="1">
      <alignment wrapText="1"/>
    </xf>
    <xf numFmtId="164" fontId="11" fillId="0" borderId="22" xfId="0" applyNumberFormat="1" applyFont="1" applyBorder="1" applyAlignment="1">
      <alignment wrapText="1"/>
    </xf>
    <xf numFmtId="164" fontId="12" fillId="0" borderId="10" xfId="0" applyNumberFormat="1" applyFont="1" applyFill="1" applyBorder="1" applyAlignment="1">
      <alignment horizontal="left" indent="1"/>
    </xf>
    <xf numFmtId="164" fontId="12" fillId="0" borderId="12" xfId="0" applyNumberFormat="1" applyFont="1" applyFill="1" applyBorder="1" applyAlignment="1">
      <alignment wrapText="1"/>
    </xf>
    <xf numFmtId="164" fontId="12" fillId="0" borderId="33" xfId="0" applyNumberFormat="1" applyFont="1" applyFill="1" applyBorder="1" applyAlignment="1">
      <alignment wrapText="1"/>
    </xf>
    <xf numFmtId="164" fontId="12" fillId="0" borderId="33" xfId="0" applyNumberFormat="1" applyFont="1" applyBorder="1" applyAlignment="1">
      <alignment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164" fontId="6" fillId="33" borderId="34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12" fillId="0" borderId="35" xfId="0" applyNumberFormat="1" applyFont="1" applyFill="1" applyBorder="1" applyAlignment="1">
      <alignment wrapText="1"/>
    </xf>
    <xf numFmtId="164" fontId="6" fillId="33" borderId="36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164" fontId="12" fillId="0" borderId="35" xfId="0" applyNumberFormat="1" applyFont="1" applyBorder="1" applyAlignment="1">
      <alignment wrapText="1"/>
    </xf>
    <xf numFmtId="164" fontId="12" fillId="0" borderId="38" xfId="0" applyNumberFormat="1" applyFont="1" applyBorder="1" applyAlignment="1">
      <alignment wrapText="1"/>
    </xf>
    <xf numFmtId="164" fontId="6" fillId="33" borderId="39" xfId="0" applyNumberFormat="1" applyFont="1" applyFill="1" applyBorder="1" applyAlignment="1">
      <alignment/>
    </xf>
    <xf numFmtId="164" fontId="12" fillId="34" borderId="12" xfId="0" applyNumberFormat="1" applyFont="1" applyFill="1" applyBorder="1" applyAlignment="1">
      <alignment wrapText="1"/>
    </xf>
    <xf numFmtId="164" fontId="12" fillId="0" borderId="40" xfId="0" applyNumberFormat="1" applyFont="1" applyBorder="1" applyAlignment="1">
      <alignment wrapText="1"/>
    </xf>
    <xf numFmtId="164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47" fillId="35" borderId="41" xfId="55" applyNumberFormat="1" applyFont="1" applyFill="1" applyBorder="1" applyAlignment="1">
      <alignment horizontal="center" wrapText="1"/>
      <protection/>
    </xf>
    <xf numFmtId="164" fontId="47" fillId="35" borderId="42" xfId="55" applyNumberFormat="1" applyFont="1" applyFill="1" applyBorder="1" applyAlignment="1">
      <alignment horizontal="center" wrapText="1"/>
      <protection/>
    </xf>
    <xf numFmtId="164" fontId="47" fillId="35" borderId="43" xfId="55" applyNumberFormat="1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2" width="15.7109375" style="0" customWidth="1"/>
    <col min="3" max="3" width="15.57421875" style="0" customWidth="1"/>
    <col min="4" max="6" width="15.7109375" style="0" customWidth="1"/>
  </cols>
  <sheetData>
    <row r="1" spans="1:6" ht="15.75">
      <c r="A1" s="58" t="s">
        <v>0</v>
      </c>
      <c r="B1" s="58"/>
      <c r="C1" s="58"/>
      <c r="D1" s="58"/>
      <c r="E1" s="58"/>
      <c r="F1" s="58"/>
    </row>
    <row r="2" spans="1:6" ht="15.75">
      <c r="A2" s="58" t="s">
        <v>66</v>
      </c>
      <c r="B2" s="58"/>
      <c r="C2" s="58"/>
      <c r="D2" s="58"/>
      <c r="E2" s="58"/>
      <c r="F2" s="58"/>
    </row>
    <row r="3" spans="1:6" ht="15.75">
      <c r="A3" s="59" t="s">
        <v>70</v>
      </c>
      <c r="B3" s="59"/>
      <c r="C3" s="59"/>
      <c r="D3" s="59"/>
      <c r="E3" s="59"/>
      <c r="F3" s="59"/>
    </row>
    <row r="4" ht="15.75" thickBot="1"/>
    <row r="5" spans="1:6" ht="39.75" thickBot="1">
      <c r="A5" s="62" t="s">
        <v>1</v>
      </c>
      <c r="B5" s="62" t="s">
        <v>2</v>
      </c>
      <c r="C5" s="64" t="s">
        <v>3</v>
      </c>
      <c r="D5" s="64" t="s">
        <v>4</v>
      </c>
      <c r="E5" s="64" t="s">
        <v>5</v>
      </c>
      <c r="F5" s="63" t="s">
        <v>6</v>
      </c>
    </row>
    <row r="6" spans="1:6" ht="15">
      <c r="A6" s="1" t="s">
        <v>7</v>
      </c>
      <c r="B6" s="2"/>
      <c r="C6" s="3"/>
      <c r="D6" s="3"/>
      <c r="E6" s="3"/>
      <c r="F6" s="4"/>
    </row>
    <row r="7" spans="1:6" ht="15">
      <c r="A7" s="5" t="s">
        <v>8</v>
      </c>
      <c r="B7" s="2"/>
      <c r="C7" s="3"/>
      <c r="D7" s="3"/>
      <c r="E7" s="3"/>
      <c r="F7" s="4"/>
    </row>
    <row r="8" spans="1:6" ht="15">
      <c r="A8" s="6" t="s">
        <v>9</v>
      </c>
      <c r="B8" s="2">
        <v>59051881</v>
      </c>
      <c r="C8" s="3">
        <v>0</v>
      </c>
      <c r="D8" s="3">
        <v>0</v>
      </c>
      <c r="E8" s="3">
        <v>59051881</v>
      </c>
      <c r="F8" s="4">
        <v>59051881</v>
      </c>
    </row>
    <row r="9" spans="1:6" ht="15">
      <c r="A9" s="6" t="s">
        <v>10</v>
      </c>
      <c r="B9" s="2">
        <v>297366796</v>
      </c>
      <c r="C9" s="3">
        <v>0</v>
      </c>
      <c r="D9" s="3">
        <v>0</v>
      </c>
      <c r="E9" s="3">
        <v>297366796</v>
      </c>
      <c r="F9" s="4">
        <v>274496832</v>
      </c>
    </row>
    <row r="10" spans="1:6" ht="15">
      <c r="A10" s="6" t="s">
        <v>11</v>
      </c>
      <c r="B10" s="2">
        <v>278128373</v>
      </c>
      <c r="C10" s="3">
        <v>0</v>
      </c>
      <c r="D10" s="3">
        <v>0</v>
      </c>
      <c r="E10" s="3">
        <v>278128373</v>
      </c>
      <c r="F10" s="4">
        <v>267745112</v>
      </c>
    </row>
    <row r="11" spans="1:6" ht="15">
      <c r="A11" s="6" t="s">
        <v>12</v>
      </c>
      <c r="B11" s="2">
        <v>0</v>
      </c>
      <c r="C11" s="3">
        <v>46123884</v>
      </c>
      <c r="D11" s="3">
        <v>0</v>
      </c>
      <c r="E11" s="3">
        <v>46123884</v>
      </c>
      <c r="F11" s="4">
        <v>43492131</v>
      </c>
    </row>
    <row r="12" spans="1:6" ht="15">
      <c r="A12" s="7" t="s">
        <v>13</v>
      </c>
      <c r="B12" s="12">
        <v>27716396</v>
      </c>
      <c r="C12" s="8">
        <v>48090212</v>
      </c>
      <c r="D12" s="8">
        <v>0</v>
      </c>
      <c r="E12" s="8">
        <v>75806608</v>
      </c>
      <c r="F12" s="34">
        <v>72032315</v>
      </c>
    </row>
    <row r="13" spans="1:6" ht="15">
      <c r="A13" s="9" t="s">
        <v>14</v>
      </c>
      <c r="B13" s="35">
        <v>662263446</v>
      </c>
      <c r="C13" s="10">
        <v>94214096</v>
      </c>
      <c r="D13" s="10">
        <v>0</v>
      </c>
      <c r="E13" s="10">
        <v>756477542</v>
      </c>
      <c r="F13" s="11">
        <v>716818271</v>
      </c>
    </row>
    <row r="14" spans="1:6" ht="15">
      <c r="A14" s="5" t="s">
        <v>15</v>
      </c>
      <c r="B14" s="2">
        <v>11993644</v>
      </c>
      <c r="C14" s="3">
        <v>12370094</v>
      </c>
      <c r="D14" s="3">
        <v>2389237</v>
      </c>
      <c r="E14" s="3">
        <v>26752975</v>
      </c>
      <c r="F14" s="4">
        <v>24723455</v>
      </c>
    </row>
    <row r="15" spans="1:6" ht="15">
      <c r="A15" s="5" t="s">
        <v>16</v>
      </c>
      <c r="B15" s="2"/>
      <c r="C15" s="3"/>
      <c r="D15" s="3"/>
      <c r="E15" s="3"/>
      <c r="F15" s="4"/>
    </row>
    <row r="16" spans="1:6" ht="15">
      <c r="A16" s="6" t="s">
        <v>17</v>
      </c>
      <c r="B16" s="2">
        <v>0</v>
      </c>
      <c r="C16" s="3">
        <v>0</v>
      </c>
      <c r="D16" s="3">
        <v>435812352.65</v>
      </c>
      <c r="E16" s="3">
        <v>435812352.65</v>
      </c>
      <c r="F16" s="4">
        <v>416976122</v>
      </c>
    </row>
    <row r="17" spans="1:6" ht="15">
      <c r="A17" s="36" t="s">
        <v>18</v>
      </c>
      <c r="B17" s="2">
        <v>49995466</v>
      </c>
      <c r="C17" s="3">
        <v>0</v>
      </c>
      <c r="D17" s="3">
        <v>0</v>
      </c>
      <c r="E17" s="3">
        <v>49995466</v>
      </c>
      <c r="F17" s="4">
        <v>49995466</v>
      </c>
    </row>
    <row r="18" spans="1:6" ht="15">
      <c r="A18" s="6" t="s">
        <v>19</v>
      </c>
      <c r="B18" s="2">
        <v>0</v>
      </c>
      <c r="C18" s="3">
        <v>0</v>
      </c>
      <c r="D18" s="3">
        <v>51729653.43</v>
      </c>
      <c r="E18" s="3">
        <v>51729653.43</v>
      </c>
      <c r="F18" s="4">
        <v>49678759</v>
      </c>
    </row>
    <row r="19" spans="1:6" ht="15">
      <c r="A19" s="6" t="s">
        <v>20</v>
      </c>
      <c r="B19" s="2">
        <v>17150000</v>
      </c>
      <c r="C19" s="3">
        <v>0</v>
      </c>
      <c r="D19" s="3">
        <v>0</v>
      </c>
      <c r="E19" s="3">
        <v>17150000</v>
      </c>
      <c r="F19" s="4">
        <v>18046300</v>
      </c>
    </row>
    <row r="20" spans="1:6" ht="15">
      <c r="A20" s="7" t="s">
        <v>21</v>
      </c>
      <c r="B20" s="12">
        <v>100052102</v>
      </c>
      <c r="C20" s="8">
        <v>0</v>
      </c>
      <c r="D20" s="8">
        <v>0</v>
      </c>
      <c r="E20" s="8">
        <v>100052102</v>
      </c>
      <c r="F20" s="34">
        <v>100052102</v>
      </c>
    </row>
    <row r="21" spans="1:6" ht="15">
      <c r="A21" s="9" t="s">
        <v>22</v>
      </c>
      <c r="B21" s="35">
        <v>179191212</v>
      </c>
      <c r="C21" s="10">
        <v>12370094</v>
      </c>
      <c r="D21" s="10">
        <v>489931243.08</v>
      </c>
      <c r="E21" s="10">
        <v>681492549.0799999</v>
      </c>
      <c r="F21" s="11">
        <v>659472204</v>
      </c>
    </row>
    <row r="22" spans="1:6" ht="15">
      <c r="A22" s="5" t="s">
        <v>23</v>
      </c>
      <c r="B22" s="2">
        <v>0</v>
      </c>
      <c r="C22" s="3">
        <v>0</v>
      </c>
      <c r="D22" s="3">
        <v>166566123.35000002</v>
      </c>
      <c r="E22" s="3">
        <v>166566123.35000002</v>
      </c>
      <c r="F22" s="4">
        <v>159735653</v>
      </c>
    </row>
    <row r="23" spans="1:6" ht="15">
      <c r="A23" s="5" t="s">
        <v>24</v>
      </c>
      <c r="B23" s="2">
        <v>0</v>
      </c>
      <c r="C23" s="3">
        <v>135973928</v>
      </c>
      <c r="D23" s="3">
        <v>0</v>
      </c>
      <c r="E23" s="13">
        <v>135973928</v>
      </c>
      <c r="F23" s="37">
        <v>129365943</v>
      </c>
    </row>
    <row r="24" spans="1:6" ht="15">
      <c r="A24" s="5" t="s">
        <v>25</v>
      </c>
      <c r="B24" s="2">
        <v>0</v>
      </c>
      <c r="C24" s="3">
        <v>179311746</v>
      </c>
      <c r="D24" s="3">
        <v>0</v>
      </c>
      <c r="E24" s="3">
        <v>179311746</v>
      </c>
      <c r="F24" s="4">
        <v>172387989</v>
      </c>
    </row>
    <row r="25" spans="1:6" ht="15">
      <c r="A25" s="5" t="s">
        <v>26</v>
      </c>
      <c r="B25" s="2">
        <v>1492000</v>
      </c>
      <c r="C25" s="3">
        <v>389818925</v>
      </c>
      <c r="D25" s="3">
        <v>0</v>
      </c>
      <c r="E25" s="3">
        <v>391310925</v>
      </c>
      <c r="F25" s="4">
        <v>333178568</v>
      </c>
    </row>
    <row r="26" spans="1:6" ht="15">
      <c r="A26" s="5" t="s">
        <v>27</v>
      </c>
      <c r="B26" s="2"/>
      <c r="C26" s="3"/>
      <c r="D26" s="3"/>
      <c r="E26" s="3"/>
      <c r="F26" s="4"/>
    </row>
    <row r="27" spans="1:6" ht="15">
      <c r="A27" s="6" t="s">
        <v>28</v>
      </c>
      <c r="B27" s="2">
        <v>92955004</v>
      </c>
      <c r="C27" s="3">
        <v>44541401</v>
      </c>
      <c r="D27" s="3">
        <v>0</v>
      </c>
      <c r="E27" s="3">
        <v>137496405</v>
      </c>
      <c r="F27" s="4">
        <v>133324956</v>
      </c>
    </row>
    <row r="28" spans="1:6" ht="15">
      <c r="A28" s="6" t="s">
        <v>29</v>
      </c>
      <c r="B28" s="2">
        <v>4195310</v>
      </c>
      <c r="C28" s="3">
        <v>0</v>
      </c>
      <c r="D28" s="3">
        <v>0</v>
      </c>
      <c r="E28" s="3">
        <v>4195310</v>
      </c>
      <c r="F28" s="4">
        <v>4419968</v>
      </c>
    </row>
    <row r="29" spans="1:6" ht="15.75" thickBot="1">
      <c r="A29" s="14" t="s">
        <v>30</v>
      </c>
      <c r="B29" s="15">
        <v>49866284</v>
      </c>
      <c r="C29" s="16">
        <v>60126890</v>
      </c>
      <c r="D29" s="16">
        <v>3087758.72</v>
      </c>
      <c r="E29" s="46">
        <v>113080932.72</v>
      </c>
      <c r="F29" s="38">
        <v>118170940</v>
      </c>
    </row>
    <row r="30" spans="1:6" ht="15.75" thickTop="1">
      <c r="A30" s="43" t="s">
        <v>31</v>
      </c>
      <c r="B30" s="47">
        <v>989963256</v>
      </c>
      <c r="C30" s="48">
        <v>916357080</v>
      </c>
      <c r="D30" s="48">
        <v>659585125.15</v>
      </c>
      <c r="E30" s="48">
        <v>2565905461.15</v>
      </c>
      <c r="F30" s="51">
        <v>2426874492</v>
      </c>
    </row>
    <row r="31" spans="1:6" ht="15">
      <c r="A31" s="5"/>
      <c r="B31" s="2"/>
      <c r="C31" s="3"/>
      <c r="D31" s="3"/>
      <c r="E31" s="3"/>
      <c r="F31" s="4"/>
    </row>
    <row r="32" spans="1:6" ht="15">
      <c r="A32" s="1" t="s">
        <v>32</v>
      </c>
      <c r="B32" s="2"/>
      <c r="C32" s="3"/>
      <c r="D32" s="3"/>
      <c r="E32" s="3"/>
      <c r="F32" s="4"/>
    </row>
    <row r="33" spans="1:6" ht="15">
      <c r="A33" s="5" t="s">
        <v>33</v>
      </c>
      <c r="B33" s="2"/>
      <c r="C33" s="3"/>
      <c r="D33" s="3"/>
      <c r="E33" s="3"/>
      <c r="F33" s="4"/>
    </row>
    <row r="34" spans="1:6" ht="15">
      <c r="A34" s="6" t="s">
        <v>34</v>
      </c>
      <c r="B34" s="2">
        <v>505717020.99276084</v>
      </c>
      <c r="C34" s="3">
        <v>139517168.8128</v>
      </c>
      <c r="D34" s="3">
        <v>102267062.28999999</v>
      </c>
      <c r="E34" s="3">
        <v>747501252.0955608</v>
      </c>
      <c r="F34" s="4">
        <v>691139976.4520752</v>
      </c>
    </row>
    <row r="35" spans="1:6" ht="15">
      <c r="A35" s="6" t="s">
        <v>35</v>
      </c>
      <c r="B35" s="2">
        <v>2573967.5996335996</v>
      </c>
      <c r="C35" s="3">
        <v>377721.43200000003</v>
      </c>
      <c r="D35" s="3">
        <v>425063157.37740004</v>
      </c>
      <c r="E35" s="3">
        <v>428014846.40903366</v>
      </c>
      <c r="F35" s="4">
        <v>418129868.0020742</v>
      </c>
    </row>
    <row r="36" spans="1:6" ht="15">
      <c r="A36" s="6" t="s">
        <v>36</v>
      </c>
      <c r="B36" s="2">
        <v>982975.3183228927</v>
      </c>
      <c r="C36" s="3">
        <v>48233624.88</v>
      </c>
      <c r="D36" s="3">
        <v>39425883.1616</v>
      </c>
      <c r="E36" s="3">
        <v>88642483.35992289</v>
      </c>
      <c r="F36" s="4">
        <v>85158653.82314177</v>
      </c>
    </row>
    <row r="37" spans="1:6" ht="15">
      <c r="A37" s="6" t="s">
        <v>37</v>
      </c>
      <c r="B37" s="2">
        <v>136789983.05065885</v>
      </c>
      <c r="C37" s="3">
        <v>7232455.624</v>
      </c>
      <c r="D37" s="3">
        <v>4661166.437999999</v>
      </c>
      <c r="E37" s="3">
        <v>148683605.11265886</v>
      </c>
      <c r="F37" s="37">
        <v>144218394.13499254</v>
      </c>
    </row>
    <row r="38" spans="1:6" ht="15">
      <c r="A38" s="6" t="s">
        <v>38</v>
      </c>
      <c r="B38" s="2">
        <v>46346384.92310367</v>
      </c>
      <c r="C38" s="3">
        <v>43446904.787200004</v>
      </c>
      <c r="D38" s="3">
        <v>4781553.674000001</v>
      </c>
      <c r="E38" s="3">
        <v>94574843.38430366</v>
      </c>
      <c r="F38" s="4">
        <v>89901572.76835264</v>
      </c>
    </row>
    <row r="39" spans="1:6" ht="15">
      <c r="A39" s="6" t="s">
        <v>39</v>
      </c>
      <c r="B39" s="2">
        <v>119843906.02490969</v>
      </c>
      <c r="C39" s="3">
        <v>23546580.32</v>
      </c>
      <c r="D39" s="3">
        <v>3252462.292</v>
      </c>
      <c r="E39" s="3">
        <v>146642948.6369097</v>
      </c>
      <c r="F39" s="4">
        <v>149430902.8730599</v>
      </c>
    </row>
    <row r="40" spans="1:6" ht="15">
      <c r="A40" s="6" t="s">
        <v>40</v>
      </c>
      <c r="B40" s="2">
        <v>96348441.09061044</v>
      </c>
      <c r="C40" s="3">
        <v>16888013</v>
      </c>
      <c r="D40" s="3">
        <v>1192779.764</v>
      </c>
      <c r="E40" s="3">
        <v>114429233.85461044</v>
      </c>
      <c r="F40" s="37">
        <v>108008854.57300377</v>
      </c>
    </row>
    <row r="41" spans="1:6" ht="15">
      <c r="A41" s="6" t="s">
        <v>41</v>
      </c>
      <c r="B41" s="2">
        <v>38266957</v>
      </c>
      <c r="C41" s="3">
        <v>7325246.504000001</v>
      </c>
      <c r="D41" s="3">
        <v>64856821.379999995</v>
      </c>
      <c r="E41" s="3">
        <v>110449024.884</v>
      </c>
      <c r="F41" s="4">
        <v>103565746.067</v>
      </c>
    </row>
    <row r="42" spans="1:6" ht="15">
      <c r="A42" s="5" t="s">
        <v>42</v>
      </c>
      <c r="B42" s="2">
        <v>0</v>
      </c>
      <c r="C42" s="3">
        <v>164238389.64</v>
      </c>
      <c r="D42" s="3">
        <v>9534893.623</v>
      </c>
      <c r="E42" s="13">
        <v>173773283.26299998</v>
      </c>
      <c r="F42" s="4">
        <v>166393758.30629998</v>
      </c>
    </row>
    <row r="43" spans="1:6" ht="15">
      <c r="A43" s="5" t="s">
        <v>26</v>
      </c>
      <c r="B43" s="2">
        <v>0</v>
      </c>
      <c r="C43" s="3">
        <v>369038577</v>
      </c>
      <c r="D43" s="3">
        <v>157610</v>
      </c>
      <c r="E43" s="3">
        <v>369196187</v>
      </c>
      <c r="F43" s="4">
        <v>316573779</v>
      </c>
    </row>
    <row r="44" spans="1:6" ht="15.75" thickBot="1">
      <c r="A44" s="19" t="s">
        <v>43</v>
      </c>
      <c r="B44" s="15">
        <v>0</v>
      </c>
      <c r="C44" s="16">
        <v>620678</v>
      </c>
      <c r="D44" s="16">
        <v>159617</v>
      </c>
      <c r="E44" s="49">
        <v>780295</v>
      </c>
      <c r="F44" s="39">
        <v>730406</v>
      </c>
    </row>
    <row r="45" spans="1:6" ht="15.75" thickTop="1">
      <c r="A45" s="43" t="s">
        <v>44</v>
      </c>
      <c r="B45" s="47">
        <v>946869636</v>
      </c>
      <c r="C45" s="48">
        <v>820465360</v>
      </c>
      <c r="D45" s="48">
        <v>655353007.0000001</v>
      </c>
      <c r="E45" s="48">
        <v>2422688003</v>
      </c>
      <c r="F45" s="51">
        <v>2273251912</v>
      </c>
    </row>
    <row r="46" spans="1:6" ht="15">
      <c r="A46" s="5"/>
      <c r="B46" s="2"/>
      <c r="C46" s="3"/>
      <c r="D46" s="3"/>
      <c r="E46" s="3"/>
      <c r="F46" s="4"/>
    </row>
    <row r="47" spans="1:6" ht="15">
      <c r="A47" s="1" t="s">
        <v>45</v>
      </c>
      <c r="B47" s="2"/>
      <c r="C47" s="3"/>
      <c r="D47" s="3"/>
      <c r="E47" s="3"/>
      <c r="F47" s="4"/>
    </row>
    <row r="48" spans="1:6" ht="15">
      <c r="A48" s="5" t="s">
        <v>46</v>
      </c>
      <c r="B48" s="2"/>
      <c r="C48" s="3"/>
      <c r="D48" s="3"/>
      <c r="E48" s="3"/>
      <c r="F48" s="4"/>
    </row>
    <row r="49" spans="1:6" ht="15">
      <c r="A49" s="6" t="s">
        <v>47</v>
      </c>
      <c r="B49" s="2">
        <v>7112229</v>
      </c>
      <c r="C49" s="3">
        <v>64897259</v>
      </c>
      <c r="D49" s="3">
        <v>0</v>
      </c>
      <c r="E49" s="3">
        <v>72009488</v>
      </c>
      <c r="F49" s="4">
        <v>66557021</v>
      </c>
    </row>
    <row r="50" spans="1:6" ht="15">
      <c r="A50" s="6" t="s">
        <v>48</v>
      </c>
      <c r="B50" s="2">
        <v>0</v>
      </c>
      <c r="C50" s="3">
        <v>4994798</v>
      </c>
      <c r="D50" s="3">
        <v>0</v>
      </c>
      <c r="E50" s="3">
        <v>4994798</v>
      </c>
      <c r="F50" s="4">
        <v>5380701</v>
      </c>
    </row>
    <row r="51" spans="1:6" ht="15">
      <c r="A51" s="6" t="s">
        <v>49</v>
      </c>
      <c r="B51" s="2">
        <v>7226093</v>
      </c>
      <c r="C51" s="3">
        <v>0</v>
      </c>
      <c r="D51" s="3">
        <v>0</v>
      </c>
      <c r="E51" s="3">
        <v>7226093</v>
      </c>
      <c r="F51" s="4">
        <v>6750734</v>
      </c>
    </row>
    <row r="52" spans="1:6" ht="15">
      <c r="A52" s="6" t="s">
        <v>50</v>
      </c>
      <c r="B52" s="2">
        <v>14338322</v>
      </c>
      <c r="C52" s="3">
        <v>69892057</v>
      </c>
      <c r="D52" s="3">
        <v>0</v>
      </c>
      <c r="E52" s="3">
        <v>84230379</v>
      </c>
      <c r="F52" s="37">
        <v>78688456</v>
      </c>
    </row>
    <row r="53" spans="1:6" ht="15">
      <c r="A53" s="6"/>
      <c r="B53" s="2"/>
      <c r="C53" s="3"/>
      <c r="D53" s="3"/>
      <c r="E53" s="3"/>
      <c r="F53" s="4"/>
    </row>
    <row r="54" spans="1:6" ht="15">
      <c r="A54" s="6" t="s">
        <v>51</v>
      </c>
      <c r="B54" s="2"/>
      <c r="C54" s="3"/>
      <c r="D54" s="3"/>
      <c r="E54" s="3"/>
      <c r="F54" s="4"/>
    </row>
    <row r="55" spans="1:6" ht="15">
      <c r="A55" s="6" t="s">
        <v>52</v>
      </c>
      <c r="B55" s="2">
        <v>0</v>
      </c>
      <c r="C55" s="3">
        <v>0</v>
      </c>
      <c r="D55" s="3">
        <v>0</v>
      </c>
      <c r="E55" s="3">
        <v>0</v>
      </c>
      <c r="F55" s="37">
        <v>0</v>
      </c>
    </row>
    <row r="56" spans="1:6" ht="15">
      <c r="A56" s="6" t="s">
        <v>43</v>
      </c>
      <c r="B56" s="2">
        <v>28755298</v>
      </c>
      <c r="C56" s="3">
        <v>25999663</v>
      </c>
      <c r="D56" s="3">
        <v>4232118</v>
      </c>
      <c r="E56" s="3">
        <v>58987079</v>
      </c>
      <c r="F56" s="4">
        <v>74934124</v>
      </c>
    </row>
    <row r="57" spans="1:6" ht="15.75" thickBot="1">
      <c r="A57" s="5" t="s">
        <v>53</v>
      </c>
      <c r="B57" s="2">
        <v>28755298</v>
      </c>
      <c r="C57" s="3">
        <v>25999663</v>
      </c>
      <c r="D57" s="3">
        <v>4232118</v>
      </c>
      <c r="E57" s="13">
        <v>58987079</v>
      </c>
      <c r="F57" s="4">
        <v>74934124</v>
      </c>
    </row>
    <row r="58" spans="1:6" ht="15.75" thickTop="1">
      <c r="A58" s="43" t="s">
        <v>54</v>
      </c>
      <c r="B58" s="47">
        <v>989963256</v>
      </c>
      <c r="C58" s="48">
        <v>916357080</v>
      </c>
      <c r="D58" s="48">
        <v>659585125.0000001</v>
      </c>
      <c r="E58" s="48">
        <v>2565905461</v>
      </c>
      <c r="F58" s="51">
        <v>2426874492</v>
      </c>
    </row>
    <row r="59" spans="1:6" ht="15">
      <c r="A59" s="5"/>
      <c r="B59" s="2"/>
      <c r="C59" s="3"/>
      <c r="D59" s="3"/>
      <c r="E59" s="3"/>
      <c r="F59" s="4"/>
    </row>
    <row r="60" spans="1:6" ht="15.75" thickBot="1">
      <c r="A60" s="28" t="s">
        <v>55</v>
      </c>
      <c r="B60" s="29">
        <v>0</v>
      </c>
      <c r="C60" s="30">
        <v>0</v>
      </c>
      <c r="D60" s="30">
        <v>0.14999985694885254</v>
      </c>
      <c r="E60" s="31">
        <v>0.15000009536743164</v>
      </c>
      <c r="F60" s="32"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58" t="s">
        <v>0</v>
      </c>
      <c r="B1" s="58"/>
      <c r="C1" s="58"/>
      <c r="D1" s="58"/>
      <c r="E1" s="58"/>
      <c r="F1" s="58"/>
    </row>
    <row r="2" spans="1:6" ht="15.75">
      <c r="A2" s="58" t="s">
        <v>66</v>
      </c>
      <c r="B2" s="58"/>
      <c r="C2" s="58"/>
      <c r="D2" s="58"/>
      <c r="E2" s="58"/>
      <c r="F2" s="58"/>
    </row>
    <row r="3" spans="1:6" ht="15.75">
      <c r="A3" s="60" t="s">
        <v>67</v>
      </c>
      <c r="B3" s="60"/>
      <c r="C3" s="60"/>
      <c r="D3" s="60"/>
      <c r="E3" s="60"/>
      <c r="F3" s="60"/>
    </row>
    <row r="4" spans="1:6" ht="16.5" thickBot="1">
      <c r="A4" s="33"/>
      <c r="B4" s="33"/>
      <c r="C4" s="33"/>
      <c r="D4" s="33"/>
      <c r="E4" s="33"/>
      <c r="F4" s="33"/>
    </row>
    <row r="5" spans="1:6" ht="43.5" customHeight="1" thickBot="1">
      <c r="A5" s="62" t="s">
        <v>1</v>
      </c>
      <c r="B5" s="62" t="s">
        <v>2</v>
      </c>
      <c r="C5" s="64" t="s">
        <v>3</v>
      </c>
      <c r="D5" s="64" t="s">
        <v>4</v>
      </c>
      <c r="E5" s="64" t="s">
        <v>5</v>
      </c>
      <c r="F5" s="63" t="s">
        <v>6</v>
      </c>
    </row>
    <row r="6" spans="1:6" ht="15">
      <c r="A6" s="1" t="s">
        <v>7</v>
      </c>
      <c r="B6" s="2"/>
      <c r="C6" s="3"/>
      <c r="D6" s="3"/>
      <c r="E6" s="3"/>
      <c r="F6" s="4"/>
    </row>
    <row r="7" spans="1:6" ht="15">
      <c r="A7" s="5" t="s">
        <v>8</v>
      </c>
      <c r="B7" s="2"/>
      <c r="C7" s="3"/>
      <c r="D7" s="3"/>
      <c r="E7" s="3"/>
      <c r="F7" s="4"/>
    </row>
    <row r="8" spans="1:6" ht="15">
      <c r="A8" s="6" t="s">
        <v>9</v>
      </c>
      <c r="B8" s="2">
        <v>32993329</v>
      </c>
      <c r="C8" s="3">
        <v>0</v>
      </c>
      <c r="D8" s="3">
        <v>0</v>
      </c>
      <c r="E8" s="3">
        <f aca="true" t="shared" si="0" ref="E8:E58">+B8+C8+D8</f>
        <v>32993329</v>
      </c>
      <c r="F8" s="4">
        <v>32993329</v>
      </c>
    </row>
    <row r="9" spans="1:6" ht="15">
      <c r="A9" s="6" t="s">
        <v>10</v>
      </c>
      <c r="B9" s="2">
        <v>149282866</v>
      </c>
      <c r="C9" s="3">
        <v>0</v>
      </c>
      <c r="D9" s="3">
        <v>0</v>
      </c>
      <c r="E9" s="3">
        <f t="shared" si="0"/>
        <v>149282866</v>
      </c>
      <c r="F9" s="4">
        <v>137754223</v>
      </c>
    </row>
    <row r="10" spans="1:6" ht="15">
      <c r="A10" s="6" t="s">
        <v>11</v>
      </c>
      <c r="B10" s="2">
        <v>235744911</v>
      </c>
      <c r="C10" s="3">
        <v>0</v>
      </c>
      <c r="D10" s="3">
        <v>0</v>
      </c>
      <c r="E10" s="3">
        <f t="shared" si="0"/>
        <v>235744911</v>
      </c>
      <c r="F10" s="4">
        <v>228990380</v>
      </c>
    </row>
    <row r="11" spans="1:6" ht="15">
      <c r="A11" s="6" t="s">
        <v>12</v>
      </c>
      <c r="B11" s="2">
        <v>0</v>
      </c>
      <c r="C11" s="3">
        <v>17200000</v>
      </c>
      <c r="D11" s="3">
        <v>0</v>
      </c>
      <c r="E11" s="3">
        <f t="shared" si="0"/>
        <v>17200000</v>
      </c>
      <c r="F11" s="4">
        <v>17474523</v>
      </c>
    </row>
    <row r="12" spans="1:6" ht="15">
      <c r="A12" s="7" t="s">
        <v>13</v>
      </c>
      <c r="B12" s="12">
        <v>12754936</v>
      </c>
      <c r="C12" s="8">
        <v>37742148</v>
      </c>
      <c r="D12" s="8">
        <v>0</v>
      </c>
      <c r="E12" s="8">
        <f t="shared" si="0"/>
        <v>50497084</v>
      </c>
      <c r="F12" s="34">
        <v>47486970</v>
      </c>
    </row>
    <row r="13" spans="1:6" ht="15">
      <c r="A13" s="9" t="s">
        <v>14</v>
      </c>
      <c r="B13" s="35">
        <f>SUM(B8:B12)</f>
        <v>430776042</v>
      </c>
      <c r="C13" s="10">
        <f>SUM(C8:C12)</f>
        <v>54942148</v>
      </c>
      <c r="D13" s="10">
        <f>SUM(D8:D12)</f>
        <v>0</v>
      </c>
      <c r="E13" s="10">
        <f t="shared" si="0"/>
        <v>485718190</v>
      </c>
      <c r="F13" s="11">
        <f>SUM(F8:F12)</f>
        <v>464699425</v>
      </c>
    </row>
    <row r="14" spans="1:6" ht="15">
      <c r="A14" s="5" t="s">
        <v>15</v>
      </c>
      <c r="B14" s="2">
        <v>0</v>
      </c>
      <c r="C14" s="3">
        <v>0</v>
      </c>
      <c r="D14" s="3">
        <v>2071063</v>
      </c>
      <c r="E14" s="3">
        <f t="shared" si="0"/>
        <v>2071063</v>
      </c>
      <c r="F14" s="4">
        <v>2030454</v>
      </c>
    </row>
    <row r="15" spans="1:6" ht="15">
      <c r="A15" s="5" t="s">
        <v>16</v>
      </c>
      <c r="B15" s="2"/>
      <c r="C15" s="3"/>
      <c r="D15" s="3"/>
      <c r="E15" s="3"/>
      <c r="F15" s="4"/>
    </row>
    <row r="16" spans="1:6" ht="15">
      <c r="A16" s="6" t="s">
        <v>17</v>
      </c>
      <c r="B16" s="2">
        <v>0</v>
      </c>
      <c r="C16" s="3">
        <v>0</v>
      </c>
      <c r="D16" s="3">
        <v>214078316</v>
      </c>
      <c r="E16" s="3">
        <f t="shared" si="0"/>
        <v>214078316</v>
      </c>
      <c r="F16" s="4">
        <v>207421370</v>
      </c>
    </row>
    <row r="17" spans="1:6" ht="15">
      <c r="A17" s="36" t="s">
        <v>18</v>
      </c>
      <c r="B17" s="2">
        <v>22337843</v>
      </c>
      <c r="C17" s="3">
        <v>0</v>
      </c>
      <c r="D17" s="3">
        <v>0</v>
      </c>
      <c r="E17" s="3">
        <f t="shared" si="0"/>
        <v>22337843</v>
      </c>
      <c r="F17" s="4">
        <v>22337843</v>
      </c>
    </row>
    <row r="18" spans="1:6" ht="15">
      <c r="A18" s="6" t="s">
        <v>19</v>
      </c>
      <c r="B18" s="2">
        <v>0</v>
      </c>
      <c r="C18" s="3">
        <v>0</v>
      </c>
      <c r="D18" s="3">
        <v>10080926</v>
      </c>
      <c r="E18" s="3">
        <f t="shared" si="0"/>
        <v>10080926</v>
      </c>
      <c r="F18" s="4">
        <v>10572872</v>
      </c>
    </row>
    <row r="19" spans="1:6" ht="15">
      <c r="A19" s="6" t="s">
        <v>20</v>
      </c>
      <c r="B19" s="2">
        <v>0</v>
      </c>
      <c r="C19" s="3">
        <v>0</v>
      </c>
      <c r="D19" s="3">
        <v>0</v>
      </c>
      <c r="E19" s="3">
        <f t="shared" si="0"/>
        <v>0</v>
      </c>
      <c r="F19" s="4">
        <v>0</v>
      </c>
    </row>
    <row r="20" spans="1:6" ht="15">
      <c r="A20" s="7" t="s">
        <v>21</v>
      </c>
      <c r="B20" s="12">
        <v>30951834</v>
      </c>
      <c r="C20" s="8">
        <v>0</v>
      </c>
      <c r="D20" s="8">
        <v>0</v>
      </c>
      <c r="E20" s="8">
        <f t="shared" si="0"/>
        <v>30951834</v>
      </c>
      <c r="F20" s="34">
        <v>30951834</v>
      </c>
    </row>
    <row r="21" spans="1:6" ht="15">
      <c r="A21" s="9" t="s">
        <v>22</v>
      </c>
      <c r="B21" s="35">
        <f>SUM(B14:B20)</f>
        <v>53289677</v>
      </c>
      <c r="C21" s="10">
        <f>SUM(C14:C20)</f>
        <v>0</v>
      </c>
      <c r="D21" s="10">
        <f>SUM(D14:D20)</f>
        <v>226230305</v>
      </c>
      <c r="E21" s="10">
        <f>+B21+C21+D21</f>
        <v>279519982</v>
      </c>
      <c r="F21" s="11">
        <f>SUM(F14:F20)</f>
        <v>273314373</v>
      </c>
    </row>
    <row r="22" spans="1:6" ht="15">
      <c r="A22" s="5" t="s">
        <v>23</v>
      </c>
      <c r="B22" s="2">
        <v>0</v>
      </c>
      <c r="C22" s="3">
        <v>0</v>
      </c>
      <c r="D22" s="3">
        <v>65084379</v>
      </c>
      <c r="E22" s="3">
        <f t="shared" si="0"/>
        <v>65084379</v>
      </c>
      <c r="F22" s="4">
        <v>62969310</v>
      </c>
    </row>
    <row r="23" spans="1:6" ht="15">
      <c r="A23" s="5" t="s">
        <v>24</v>
      </c>
      <c r="B23" s="2">
        <v>0</v>
      </c>
      <c r="C23" s="3">
        <v>30943036</v>
      </c>
      <c r="D23" s="3">
        <v>0</v>
      </c>
      <c r="E23" s="13">
        <f t="shared" si="0"/>
        <v>30943036</v>
      </c>
      <c r="F23" s="37">
        <v>29836365</v>
      </c>
    </row>
    <row r="24" spans="1:6" ht="15">
      <c r="A24" s="5" t="s">
        <v>25</v>
      </c>
      <c r="B24" s="2">
        <v>0</v>
      </c>
      <c r="C24" s="3">
        <v>147798504</v>
      </c>
      <c r="D24" s="3">
        <v>0</v>
      </c>
      <c r="E24" s="3">
        <f t="shared" si="0"/>
        <v>147798504</v>
      </c>
      <c r="F24" s="4">
        <v>144244038</v>
      </c>
    </row>
    <row r="25" spans="1:6" ht="15">
      <c r="A25" s="5" t="s">
        <v>26</v>
      </c>
      <c r="B25" s="2">
        <v>0</v>
      </c>
      <c r="C25" s="3">
        <v>0</v>
      </c>
      <c r="D25" s="3">
        <v>0</v>
      </c>
      <c r="E25" s="3">
        <f t="shared" si="0"/>
        <v>0</v>
      </c>
      <c r="F25" s="4">
        <v>0</v>
      </c>
    </row>
    <row r="26" spans="1:6" ht="15">
      <c r="A26" s="5" t="s">
        <v>27</v>
      </c>
      <c r="B26" s="2"/>
      <c r="C26" s="3"/>
      <c r="D26" s="3"/>
      <c r="E26" s="3"/>
      <c r="F26" s="4"/>
    </row>
    <row r="27" spans="1:6" ht="15">
      <c r="A27" s="6" t="s">
        <v>28</v>
      </c>
      <c r="B27" s="2">
        <v>44864442</v>
      </c>
      <c r="C27" s="3">
        <v>19645896</v>
      </c>
      <c r="D27" s="3">
        <v>0</v>
      </c>
      <c r="E27" s="3">
        <f t="shared" si="0"/>
        <v>64510338</v>
      </c>
      <c r="F27" s="4">
        <v>62195744</v>
      </c>
    </row>
    <row r="28" spans="1:6" ht="15">
      <c r="A28" s="6" t="s">
        <v>29</v>
      </c>
      <c r="B28" s="2">
        <v>0</v>
      </c>
      <c r="C28" s="3">
        <v>0</v>
      </c>
      <c r="D28" s="3">
        <v>0</v>
      </c>
      <c r="E28" s="3">
        <f t="shared" si="0"/>
        <v>0</v>
      </c>
      <c r="F28" s="4">
        <v>0</v>
      </c>
    </row>
    <row r="29" spans="1:6" ht="15.75" thickBot="1">
      <c r="A29" s="14" t="s">
        <v>30</v>
      </c>
      <c r="B29" s="15">
        <v>4042331</v>
      </c>
      <c r="C29" s="16">
        <v>6661355</v>
      </c>
      <c r="D29" s="16">
        <v>0</v>
      </c>
      <c r="E29" s="46">
        <f t="shared" si="0"/>
        <v>10703686</v>
      </c>
      <c r="F29" s="38">
        <v>10651740</v>
      </c>
    </row>
    <row r="30" spans="1:6" ht="15.75" thickTop="1">
      <c r="A30" s="43" t="s">
        <v>31</v>
      </c>
      <c r="B30" s="47">
        <f>+B29+B28+B27+B25+B24+B23+B22+B21+B13</f>
        <v>532972492</v>
      </c>
      <c r="C30" s="48">
        <f>+C29+C28+C27+C25+C24+C23+C22+C21+C13</f>
        <v>259990939</v>
      </c>
      <c r="D30" s="48">
        <f>+D29+D28+D27+D25+D24+D23+D22+D21+D13</f>
        <v>291314684</v>
      </c>
      <c r="E30" s="48">
        <f t="shared" si="0"/>
        <v>1084278115</v>
      </c>
      <c r="F30" s="51">
        <f>+F29+F28+F27+F25+F24+F23+F22+F21+F13</f>
        <v>1047910995</v>
      </c>
    </row>
    <row r="31" spans="1:6" ht="15">
      <c r="A31" s="5"/>
      <c r="B31" s="2"/>
      <c r="C31" s="3"/>
      <c r="D31" s="3"/>
      <c r="E31" s="3"/>
      <c r="F31" s="4"/>
    </row>
    <row r="32" spans="1:6" ht="15">
      <c r="A32" s="1" t="s">
        <v>32</v>
      </c>
      <c r="B32" s="2"/>
      <c r="C32" s="3"/>
      <c r="D32" s="3"/>
      <c r="E32" s="3"/>
      <c r="F32" s="4"/>
    </row>
    <row r="33" spans="1:6" ht="15">
      <c r="A33" s="5" t="s">
        <v>33</v>
      </c>
      <c r="B33" s="2"/>
      <c r="C33" s="3"/>
      <c r="D33" s="3"/>
      <c r="E33" s="3"/>
      <c r="F33" s="4"/>
    </row>
    <row r="34" spans="1:6" ht="15">
      <c r="A34" s="6" t="s">
        <v>34</v>
      </c>
      <c r="B34" s="2">
        <v>306503769.99276084</v>
      </c>
      <c r="C34" s="3">
        <v>30896189.8128</v>
      </c>
      <c r="D34" s="3">
        <v>30433114.29</v>
      </c>
      <c r="E34" s="3">
        <f t="shared" si="0"/>
        <v>367833074.09556085</v>
      </c>
      <c r="F34" s="4">
        <v>353244754.4520752</v>
      </c>
    </row>
    <row r="35" spans="1:6" ht="15">
      <c r="A35" s="6" t="s">
        <v>35</v>
      </c>
      <c r="B35" s="2">
        <v>2069377.5996335996</v>
      </c>
      <c r="C35" s="3">
        <v>323859.43200000003</v>
      </c>
      <c r="D35" s="3">
        <v>206460733.3774</v>
      </c>
      <c r="E35" s="3">
        <f t="shared" si="0"/>
        <v>208853970.4090336</v>
      </c>
      <c r="F35" s="4">
        <v>205202041.00207418</v>
      </c>
    </row>
    <row r="36" spans="1:6" ht="15">
      <c r="A36" s="6" t="s">
        <v>36</v>
      </c>
      <c r="B36" s="2">
        <v>739549.3183228927</v>
      </c>
      <c r="C36" s="3">
        <v>2159062.88</v>
      </c>
      <c r="D36" s="3">
        <v>3117852.1616</v>
      </c>
      <c r="E36" s="3">
        <f t="shared" si="0"/>
        <v>6016464.359922893</v>
      </c>
      <c r="F36" s="4">
        <v>5876676.823141765</v>
      </c>
    </row>
    <row r="37" spans="1:6" ht="15">
      <c r="A37" s="6" t="s">
        <v>37</v>
      </c>
      <c r="B37" s="2">
        <v>79357515.05065885</v>
      </c>
      <c r="C37" s="3">
        <v>4965844.624</v>
      </c>
      <c r="D37" s="3">
        <v>3188712.4379999996</v>
      </c>
      <c r="E37" s="3">
        <f t="shared" si="0"/>
        <v>87512072.11265884</v>
      </c>
      <c r="F37" s="37">
        <v>85225101.13499252</v>
      </c>
    </row>
    <row r="38" spans="1:6" ht="15">
      <c r="A38" s="6" t="s">
        <v>38</v>
      </c>
      <c r="B38" s="2">
        <v>32289341.923103668</v>
      </c>
      <c r="C38" s="3">
        <v>39273353.787200004</v>
      </c>
      <c r="D38" s="3">
        <v>2480109.674</v>
      </c>
      <c r="E38" s="3">
        <f t="shared" si="0"/>
        <v>74042805.38430366</v>
      </c>
      <c r="F38" s="4">
        <v>71754029.76835264</v>
      </c>
    </row>
    <row r="39" spans="1:6" ht="15">
      <c r="A39" s="6" t="s">
        <v>39</v>
      </c>
      <c r="B39" s="2">
        <v>31692360.02490969</v>
      </c>
      <c r="C39" s="3">
        <v>3238594.32</v>
      </c>
      <c r="D39" s="3">
        <v>2125808.292</v>
      </c>
      <c r="E39" s="3">
        <f t="shared" si="0"/>
        <v>37056762.63690969</v>
      </c>
      <c r="F39" s="4">
        <v>38603563.8730599</v>
      </c>
    </row>
    <row r="40" spans="1:6" ht="15">
      <c r="A40" s="6" t="s">
        <v>40</v>
      </c>
      <c r="B40" s="2">
        <v>57251919.09061045</v>
      </c>
      <c r="C40" s="3">
        <v>0</v>
      </c>
      <c r="D40" s="3">
        <v>708602.764</v>
      </c>
      <c r="E40" s="3">
        <f t="shared" si="0"/>
        <v>57960521.85461045</v>
      </c>
      <c r="F40" s="37">
        <v>54699755.57300377</v>
      </c>
    </row>
    <row r="41" spans="1:6" ht="15">
      <c r="A41" s="6" t="s">
        <v>41</v>
      </c>
      <c r="B41" s="2">
        <v>23068659</v>
      </c>
      <c r="C41" s="3">
        <v>7124907.504000001</v>
      </c>
      <c r="D41" s="3">
        <v>31887124.38</v>
      </c>
      <c r="E41" s="3">
        <f t="shared" si="0"/>
        <v>62080690.884</v>
      </c>
      <c r="F41" s="4">
        <v>58543403.067</v>
      </c>
    </row>
    <row r="42" spans="1:6" ht="15">
      <c r="A42" s="5" t="s">
        <v>42</v>
      </c>
      <c r="B42" s="2">
        <v>0</v>
      </c>
      <c r="C42" s="3">
        <v>127924475.64</v>
      </c>
      <c r="D42" s="3">
        <v>9388986.623</v>
      </c>
      <c r="E42" s="13">
        <f t="shared" si="0"/>
        <v>137313462.263</v>
      </c>
      <c r="F42" s="4">
        <v>133556134.3063</v>
      </c>
    </row>
    <row r="43" spans="1:6" ht="15">
      <c r="A43" s="5" t="s">
        <v>26</v>
      </c>
      <c r="B43" s="2">
        <v>0</v>
      </c>
      <c r="C43" s="3">
        <v>0</v>
      </c>
      <c r="D43" s="3">
        <v>0</v>
      </c>
      <c r="E43" s="3">
        <f t="shared" si="0"/>
        <v>0</v>
      </c>
      <c r="F43" s="4">
        <v>0</v>
      </c>
    </row>
    <row r="44" spans="1:6" ht="15.75" thickBot="1">
      <c r="A44" s="19" t="s">
        <v>43</v>
      </c>
      <c r="B44" s="15">
        <v>0</v>
      </c>
      <c r="C44" s="16">
        <v>0</v>
      </c>
      <c r="D44" s="16">
        <v>0</v>
      </c>
      <c r="E44" s="49">
        <f t="shared" si="0"/>
        <v>0</v>
      </c>
      <c r="F44" s="39">
        <v>0</v>
      </c>
    </row>
    <row r="45" spans="1:6" ht="15.75" thickTop="1">
      <c r="A45" s="43" t="s">
        <v>44</v>
      </c>
      <c r="B45" s="44">
        <f>SUM(B34:B44)</f>
        <v>532972492</v>
      </c>
      <c r="C45" s="45">
        <f>SUM(C34:C44)</f>
        <v>215906288</v>
      </c>
      <c r="D45" s="45">
        <f>SUM(D34:D44)</f>
        <v>289791044</v>
      </c>
      <c r="E45" s="45">
        <f t="shared" si="0"/>
        <v>1038669824</v>
      </c>
      <c r="F45" s="51">
        <f>SUM(F34:F44)</f>
        <v>1006705460</v>
      </c>
    </row>
    <row r="46" spans="1:6" ht="15">
      <c r="A46" s="5"/>
      <c r="B46" s="2"/>
      <c r="C46" s="3"/>
      <c r="D46" s="3"/>
      <c r="E46" s="3"/>
      <c r="F46" s="4"/>
    </row>
    <row r="47" spans="1:6" ht="15">
      <c r="A47" s="1" t="s">
        <v>45</v>
      </c>
      <c r="B47" s="2"/>
      <c r="C47" s="3"/>
      <c r="D47" s="3"/>
      <c r="E47" s="3"/>
      <c r="F47" s="4"/>
    </row>
    <row r="48" spans="1:6" ht="15">
      <c r="A48" s="5" t="s">
        <v>46</v>
      </c>
      <c r="B48" s="2"/>
      <c r="C48" s="3"/>
      <c r="D48" s="3"/>
      <c r="E48" s="3"/>
      <c r="F48" s="4"/>
    </row>
    <row r="49" spans="1:6" ht="15">
      <c r="A49" s="6" t="s">
        <v>47</v>
      </c>
      <c r="B49" s="2">
        <v>0</v>
      </c>
      <c r="C49" s="3">
        <v>31233080</v>
      </c>
      <c r="D49" s="3">
        <v>0</v>
      </c>
      <c r="E49" s="3">
        <f t="shared" si="0"/>
        <v>31233080</v>
      </c>
      <c r="F49" s="4">
        <v>27691451</v>
      </c>
    </row>
    <row r="50" spans="1:6" ht="15">
      <c r="A50" s="6" t="s">
        <v>48</v>
      </c>
      <c r="B50" s="2">
        <v>0</v>
      </c>
      <c r="C50" s="3">
        <v>0</v>
      </c>
      <c r="D50" s="3">
        <v>0</v>
      </c>
      <c r="E50" s="3">
        <f t="shared" si="0"/>
        <v>0</v>
      </c>
      <c r="F50" s="4">
        <v>0</v>
      </c>
    </row>
    <row r="51" spans="1:6" ht="15">
      <c r="A51" s="7" t="s">
        <v>49</v>
      </c>
      <c r="B51" s="12">
        <v>0</v>
      </c>
      <c r="C51" s="8">
        <v>0</v>
      </c>
      <c r="D51" s="8">
        <v>0</v>
      </c>
      <c r="E51" s="8">
        <f t="shared" si="0"/>
        <v>0</v>
      </c>
      <c r="F51" s="34">
        <v>0</v>
      </c>
    </row>
    <row r="52" spans="1:6" ht="15">
      <c r="A52" s="20" t="s">
        <v>50</v>
      </c>
      <c r="B52" s="21">
        <f>SUM(B49:B51)</f>
        <v>0</v>
      </c>
      <c r="C52" s="22">
        <f>SUM(C49:C51)</f>
        <v>31233080</v>
      </c>
      <c r="D52" s="22">
        <f>SUM(D49:D51)</f>
        <v>0</v>
      </c>
      <c r="E52" s="22">
        <f t="shared" si="0"/>
        <v>31233080</v>
      </c>
      <c r="F52" s="23">
        <f>SUM(F49:F51)</f>
        <v>27691451</v>
      </c>
    </row>
    <row r="53" spans="1:6" ht="15">
      <c r="A53" s="5"/>
      <c r="B53" s="2"/>
      <c r="C53" s="3"/>
      <c r="D53" s="3"/>
      <c r="E53" s="3"/>
      <c r="F53" s="4"/>
    </row>
    <row r="54" spans="1:6" ht="15">
      <c r="A54" s="5" t="s">
        <v>51</v>
      </c>
      <c r="B54" s="2"/>
      <c r="C54" s="3"/>
      <c r="D54" s="3"/>
      <c r="E54" s="3"/>
      <c r="F54" s="4"/>
    </row>
    <row r="55" spans="1:6" ht="15">
      <c r="A55" s="6" t="s">
        <v>52</v>
      </c>
      <c r="B55" s="2">
        <v>0</v>
      </c>
      <c r="C55" s="3">
        <v>0</v>
      </c>
      <c r="D55" s="3">
        <v>0</v>
      </c>
      <c r="E55" s="3">
        <f t="shared" si="0"/>
        <v>0</v>
      </c>
      <c r="F55" s="4">
        <v>0</v>
      </c>
    </row>
    <row r="56" spans="1:6" ht="15">
      <c r="A56" s="7" t="s">
        <v>43</v>
      </c>
      <c r="B56" s="12">
        <v>0</v>
      </c>
      <c r="C56" s="8">
        <v>12851571</v>
      </c>
      <c r="D56" s="8">
        <v>1523640</v>
      </c>
      <c r="E56" s="8">
        <f t="shared" si="0"/>
        <v>14375211</v>
      </c>
      <c r="F56" s="34">
        <v>13514084</v>
      </c>
    </row>
    <row r="57" spans="1:6" ht="15.75" thickBot="1">
      <c r="A57" s="24" t="s">
        <v>53</v>
      </c>
      <c r="B57" s="25">
        <f>SUM(B55:B56)</f>
        <v>0</v>
      </c>
      <c r="C57" s="26">
        <f>SUM(C55:C56)</f>
        <v>12851571</v>
      </c>
      <c r="D57" s="26">
        <f>SUM(D55:D56)</f>
        <v>1523640</v>
      </c>
      <c r="E57" s="50">
        <f t="shared" si="0"/>
        <v>14375211</v>
      </c>
      <c r="F57" s="27">
        <f>SUM(F55:F56)</f>
        <v>13514084</v>
      </c>
    </row>
    <row r="58" spans="1:6" ht="15.75" thickTop="1">
      <c r="A58" s="43" t="s">
        <v>54</v>
      </c>
      <c r="B58" s="47">
        <f>+B45+B52+B57</f>
        <v>532972492</v>
      </c>
      <c r="C58" s="48">
        <f>+C57+C52+C45</f>
        <v>259990939</v>
      </c>
      <c r="D58" s="48">
        <f>+D57+D52+D45</f>
        <v>291314684</v>
      </c>
      <c r="E58" s="48">
        <f t="shared" si="0"/>
        <v>1084278115</v>
      </c>
      <c r="F58" s="51">
        <f>+F57+F52+F45</f>
        <v>1047910995</v>
      </c>
    </row>
    <row r="59" spans="1:6" ht="15">
      <c r="A59" s="5"/>
      <c r="B59" s="2"/>
      <c r="C59" s="3"/>
      <c r="D59" s="3"/>
      <c r="E59" s="3"/>
      <c r="F59" s="4"/>
    </row>
    <row r="60" spans="1:6" ht="15.75" thickBot="1">
      <c r="A60" s="28" t="s">
        <v>55</v>
      </c>
      <c r="B60" s="29">
        <f>+B30-B58</f>
        <v>0</v>
      </c>
      <c r="C60" s="30">
        <f>+C30-C58</f>
        <v>0</v>
      </c>
      <c r="D60" s="30">
        <f>+D30-D58</f>
        <v>0</v>
      </c>
      <c r="E60" s="31">
        <f>+E30-E58</f>
        <v>0</v>
      </c>
      <c r="F60" s="32">
        <f>+F30-F58</f>
        <v>0</v>
      </c>
    </row>
    <row r="61" spans="1:6" ht="15.75">
      <c r="A61" s="40"/>
      <c r="B61" s="41"/>
      <c r="C61" s="41"/>
      <c r="D61" s="41"/>
      <c r="E61" s="41"/>
      <c r="F61" s="41"/>
    </row>
    <row r="62" spans="1:6" ht="15.75">
      <c r="A62" s="57" t="s">
        <v>56</v>
      </c>
      <c r="B62" s="41"/>
      <c r="C62" s="41"/>
      <c r="D62" s="41"/>
      <c r="E62" s="41"/>
      <c r="F62" s="41"/>
    </row>
    <row r="63" spans="1:13" ht="15.75" customHeight="1">
      <c r="A63" s="56" t="s">
        <v>64</v>
      </c>
      <c r="B63" s="56"/>
      <c r="C63" s="56"/>
      <c r="D63" s="56"/>
      <c r="E63" s="56"/>
      <c r="F63" s="56"/>
      <c r="G63" s="56"/>
      <c r="H63" s="56"/>
      <c r="I63" s="56"/>
      <c r="J63" s="56"/>
      <c r="K63" s="42"/>
      <c r="L63" s="42"/>
      <c r="M63" s="42"/>
    </row>
    <row r="64" spans="1:13" ht="15.75" customHeight="1">
      <c r="A64" s="55" t="s">
        <v>65</v>
      </c>
      <c r="B64" s="55"/>
      <c r="C64" s="55"/>
      <c r="D64" s="55"/>
      <c r="E64" s="55"/>
      <c r="F64" s="55"/>
      <c r="G64" s="55"/>
      <c r="H64" s="55"/>
      <c r="I64" s="55"/>
      <c r="J64" s="55"/>
      <c r="K64" s="42"/>
      <c r="L64" s="42"/>
      <c r="M64" s="42"/>
    </row>
    <row r="65" spans="1:13" ht="15.75" customHeight="1">
      <c r="A65" s="55" t="s">
        <v>57</v>
      </c>
      <c r="B65" s="55"/>
      <c r="C65" s="55"/>
      <c r="D65" s="55"/>
      <c r="E65" s="55"/>
      <c r="F65" s="55"/>
      <c r="G65" s="55"/>
      <c r="H65" s="55"/>
      <c r="I65" s="55"/>
      <c r="J65" s="55"/>
      <c r="K65" s="42"/>
      <c r="L65" s="42"/>
      <c r="M65" s="42"/>
    </row>
    <row r="66" spans="1:13" ht="15.75" customHeight="1">
      <c r="A66" s="55" t="s">
        <v>58</v>
      </c>
      <c r="B66" s="55"/>
      <c r="C66" s="55"/>
      <c r="D66" s="55"/>
      <c r="E66" s="55"/>
      <c r="F66" s="55"/>
      <c r="G66" s="55"/>
      <c r="H66" s="55"/>
      <c r="I66" s="55"/>
      <c r="J66" s="55"/>
      <c r="K66" s="42"/>
      <c r="L66" s="42"/>
      <c r="M66" s="42"/>
    </row>
    <row r="67" spans="1:13" ht="15.75" customHeight="1">
      <c r="A67" s="55" t="s">
        <v>59</v>
      </c>
      <c r="B67" s="55"/>
      <c r="C67" s="55"/>
      <c r="D67" s="55"/>
      <c r="E67" s="55"/>
      <c r="F67" s="55"/>
      <c r="G67" s="55"/>
      <c r="H67" s="55"/>
      <c r="I67" s="55"/>
      <c r="J67" s="55"/>
      <c r="K67" s="42"/>
      <c r="L67" s="42"/>
      <c r="M67" s="42"/>
    </row>
    <row r="68" spans="1:13" ht="15.75" customHeight="1">
      <c r="A68" s="55" t="s">
        <v>60</v>
      </c>
      <c r="B68" s="55"/>
      <c r="C68" s="55"/>
      <c r="D68" s="55"/>
      <c r="E68" s="55"/>
      <c r="F68" s="55"/>
      <c r="G68" s="55"/>
      <c r="H68" s="55"/>
      <c r="I68" s="55"/>
      <c r="J68" s="55"/>
      <c r="K68" s="42"/>
      <c r="L68" s="42"/>
      <c r="M68" s="42"/>
    </row>
    <row r="69" spans="1:13" ht="15.75" customHeight="1">
      <c r="A69" s="55" t="s">
        <v>61</v>
      </c>
      <c r="B69" s="55"/>
      <c r="C69" s="55"/>
      <c r="D69" s="55"/>
      <c r="E69" s="55"/>
      <c r="F69" s="55"/>
      <c r="G69" s="55"/>
      <c r="H69" s="55"/>
      <c r="I69" s="55"/>
      <c r="J69" s="55"/>
      <c r="K69" s="42"/>
      <c r="L69" s="42"/>
      <c r="M69" s="42"/>
    </row>
    <row r="70" spans="1:13" ht="15.75" customHeight="1">
      <c r="A70" s="55" t="s">
        <v>62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5.75" customHeight="1">
      <c r="A71" s="55" t="s">
        <v>63</v>
      </c>
      <c r="B71" s="55"/>
      <c r="C71" s="55"/>
      <c r="D71" s="55"/>
      <c r="E71" s="55"/>
      <c r="F71" s="55"/>
      <c r="G71" s="55"/>
      <c r="H71" s="55"/>
      <c r="I71" s="55"/>
      <c r="J71" s="55"/>
      <c r="K71" s="42"/>
      <c r="L71" s="42"/>
      <c r="M71" s="42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58" t="s">
        <v>0</v>
      </c>
      <c r="B1" s="58"/>
      <c r="C1" s="58"/>
      <c r="D1" s="58"/>
      <c r="E1" s="58"/>
      <c r="F1" s="58"/>
    </row>
    <row r="2" spans="1:6" ht="15.75">
      <c r="A2" s="58" t="s">
        <v>66</v>
      </c>
      <c r="B2" s="58"/>
      <c r="C2" s="58"/>
      <c r="D2" s="58"/>
      <c r="E2" s="58"/>
      <c r="F2" s="58"/>
    </row>
    <row r="3" spans="1:6" ht="15.75">
      <c r="A3" s="60" t="s">
        <v>71</v>
      </c>
      <c r="B3" s="60"/>
      <c r="C3" s="60"/>
      <c r="D3" s="60"/>
      <c r="E3" s="60"/>
      <c r="F3" s="60"/>
    </row>
    <row r="4" spans="1:6" ht="16.5" thickBot="1">
      <c r="A4" s="33"/>
      <c r="B4" s="33"/>
      <c r="C4" s="33"/>
      <c r="D4" s="33"/>
      <c r="E4" s="33"/>
      <c r="F4" s="33"/>
    </row>
    <row r="5" spans="1:6" ht="39.75" customHeight="1" thickBot="1">
      <c r="A5" s="62" t="s">
        <v>1</v>
      </c>
      <c r="B5" s="62" t="s">
        <v>2</v>
      </c>
      <c r="C5" s="64" t="s">
        <v>3</v>
      </c>
      <c r="D5" s="64" t="s">
        <v>4</v>
      </c>
      <c r="E5" s="64" t="s">
        <v>5</v>
      </c>
      <c r="F5" s="63" t="s">
        <v>6</v>
      </c>
    </row>
    <row r="6" spans="1:6" ht="15">
      <c r="A6" s="1" t="s">
        <v>7</v>
      </c>
      <c r="B6" s="2"/>
      <c r="C6" s="3"/>
      <c r="D6" s="3"/>
      <c r="E6" s="3"/>
      <c r="F6" s="4"/>
    </row>
    <row r="7" spans="1:6" ht="15">
      <c r="A7" s="5" t="s">
        <v>8</v>
      </c>
      <c r="B7" s="2"/>
      <c r="C7" s="3"/>
      <c r="D7" s="3"/>
      <c r="E7" s="3"/>
      <c r="F7" s="4"/>
    </row>
    <row r="8" spans="1:6" ht="15">
      <c r="A8" s="6" t="s">
        <v>9</v>
      </c>
      <c r="B8" s="2">
        <v>10962290</v>
      </c>
      <c r="C8" s="3">
        <v>0</v>
      </c>
      <c r="D8" s="3">
        <v>0</v>
      </c>
      <c r="E8" s="3">
        <f aca="true" t="shared" si="0" ref="E8:E58">+B8+C8+D8</f>
        <v>10962290</v>
      </c>
      <c r="F8" s="4">
        <v>10962290</v>
      </c>
    </row>
    <row r="9" spans="1:6" ht="15">
      <c r="A9" s="6" t="s">
        <v>10</v>
      </c>
      <c r="B9" s="2">
        <v>43053671</v>
      </c>
      <c r="C9" s="3">
        <v>0</v>
      </c>
      <c r="D9" s="3">
        <v>0</v>
      </c>
      <c r="E9" s="3">
        <f t="shared" si="0"/>
        <v>43053671</v>
      </c>
      <c r="F9" s="52">
        <f>38747216+170000</f>
        <v>38917216</v>
      </c>
    </row>
    <row r="10" spans="1:6" ht="15">
      <c r="A10" s="6" t="s">
        <v>11</v>
      </c>
      <c r="B10" s="2">
        <v>8699194</v>
      </c>
      <c r="C10" s="3">
        <v>0</v>
      </c>
      <c r="D10" s="3">
        <v>0</v>
      </c>
      <c r="E10" s="3">
        <f t="shared" si="0"/>
        <v>8699194</v>
      </c>
      <c r="F10" s="4">
        <f>7944503+170000</f>
        <v>8114503</v>
      </c>
    </row>
    <row r="11" spans="1:6" ht="15">
      <c r="A11" s="6" t="s">
        <v>12</v>
      </c>
      <c r="B11" s="2">
        <v>0</v>
      </c>
      <c r="C11" s="3">
        <v>5244800</v>
      </c>
      <c r="D11" s="3">
        <v>0</v>
      </c>
      <c r="E11" s="3">
        <f t="shared" si="0"/>
        <v>5244800</v>
      </c>
      <c r="F11" s="4">
        <v>5427100</v>
      </c>
    </row>
    <row r="12" spans="1:6" ht="15">
      <c r="A12" s="7" t="s">
        <v>13</v>
      </c>
      <c r="B12" s="12">
        <v>2585988</v>
      </c>
      <c r="C12" s="8">
        <v>7047674</v>
      </c>
      <c r="D12" s="8">
        <v>0</v>
      </c>
      <c r="E12" s="8">
        <f t="shared" si="0"/>
        <v>9633662</v>
      </c>
      <c r="F12" s="34">
        <f>2198066+7288500</f>
        <v>9486566</v>
      </c>
    </row>
    <row r="13" spans="1:6" ht="15">
      <c r="A13" s="9" t="s">
        <v>14</v>
      </c>
      <c r="B13" s="35">
        <f>SUM(B8:B12)</f>
        <v>65301143</v>
      </c>
      <c r="C13" s="10">
        <f>SUM(C8:C12)</f>
        <v>12292474</v>
      </c>
      <c r="D13" s="10">
        <f>SUM(D8:D12)</f>
        <v>0</v>
      </c>
      <c r="E13" s="10">
        <f t="shared" si="0"/>
        <v>77593617</v>
      </c>
      <c r="F13" s="11">
        <f>SUM(F8:F12)</f>
        <v>72907675</v>
      </c>
    </row>
    <row r="14" spans="1:6" ht="15">
      <c r="A14" s="5" t="s">
        <v>15</v>
      </c>
      <c r="B14" s="2">
        <v>0</v>
      </c>
      <c r="C14" s="3">
        <v>0</v>
      </c>
      <c r="D14" s="3">
        <v>0</v>
      </c>
      <c r="E14" s="3">
        <f t="shared" si="0"/>
        <v>0</v>
      </c>
      <c r="F14" s="4">
        <v>10350</v>
      </c>
    </row>
    <row r="15" spans="1:6" ht="15">
      <c r="A15" s="5" t="s">
        <v>16</v>
      </c>
      <c r="B15" s="2"/>
      <c r="C15" s="3"/>
      <c r="D15" s="3"/>
      <c r="E15" s="3"/>
      <c r="F15" s="4"/>
    </row>
    <row r="16" spans="1:6" ht="15">
      <c r="A16" s="6" t="s">
        <v>17</v>
      </c>
      <c r="B16" s="2">
        <v>0</v>
      </c>
      <c r="C16" s="3">
        <v>0</v>
      </c>
      <c r="D16" s="3">
        <v>12635952</v>
      </c>
      <c r="E16" s="3">
        <f t="shared" si="0"/>
        <v>12635952</v>
      </c>
      <c r="F16" s="4">
        <v>8911736</v>
      </c>
    </row>
    <row r="17" spans="1:6" ht="15">
      <c r="A17" s="36" t="s">
        <v>18</v>
      </c>
      <c r="B17" s="2">
        <v>4932495</v>
      </c>
      <c r="C17" s="3">
        <v>0</v>
      </c>
      <c r="D17" s="3">
        <v>0</v>
      </c>
      <c r="E17" s="3">
        <f t="shared" si="0"/>
        <v>4932495</v>
      </c>
      <c r="F17" s="4">
        <v>4932495</v>
      </c>
    </row>
    <row r="18" spans="1:6" ht="15">
      <c r="A18" s="6" t="s">
        <v>19</v>
      </c>
      <c r="B18" s="2">
        <v>0</v>
      </c>
      <c r="C18" s="3">
        <v>0</v>
      </c>
      <c r="D18" s="3">
        <v>5956157</v>
      </c>
      <c r="E18" s="3">
        <f t="shared" si="0"/>
        <v>5956157</v>
      </c>
      <c r="F18" s="4">
        <v>4452906</v>
      </c>
    </row>
    <row r="19" spans="1:6" ht="15">
      <c r="A19" s="6" t="s">
        <v>20</v>
      </c>
      <c r="B19" s="2">
        <v>0</v>
      </c>
      <c r="C19" s="3">
        <v>0</v>
      </c>
      <c r="D19" s="3">
        <v>0</v>
      </c>
      <c r="E19" s="3">
        <f t="shared" si="0"/>
        <v>0</v>
      </c>
      <c r="F19" s="4">
        <v>0</v>
      </c>
    </row>
    <row r="20" spans="1:6" ht="15">
      <c r="A20" s="7" t="s">
        <v>21</v>
      </c>
      <c r="B20" s="12">
        <v>7046815</v>
      </c>
      <c r="C20" s="8">
        <v>0</v>
      </c>
      <c r="D20" s="8">
        <v>0</v>
      </c>
      <c r="E20" s="8">
        <f t="shared" si="0"/>
        <v>7046815</v>
      </c>
      <c r="F20" s="34">
        <v>7046815</v>
      </c>
    </row>
    <row r="21" spans="1:6" ht="15">
      <c r="A21" s="9" t="s">
        <v>22</v>
      </c>
      <c r="B21" s="35">
        <f>SUM(B14:B20)</f>
        <v>11979310</v>
      </c>
      <c r="C21" s="10">
        <f>SUM(C14:C20)</f>
        <v>0</v>
      </c>
      <c r="D21" s="10">
        <f>SUM(D14:D20)</f>
        <v>18592109</v>
      </c>
      <c r="E21" s="10">
        <f t="shared" si="0"/>
        <v>30571419</v>
      </c>
      <c r="F21" s="11">
        <f>SUM(F14:F20)</f>
        <v>25354302</v>
      </c>
    </row>
    <row r="22" spans="1:6" ht="15">
      <c r="A22" s="5" t="s">
        <v>23</v>
      </c>
      <c r="B22" s="2">
        <v>0</v>
      </c>
      <c r="C22" s="3">
        <v>0</v>
      </c>
      <c r="D22" s="3">
        <v>5456927</v>
      </c>
      <c r="E22" s="3">
        <f t="shared" si="0"/>
        <v>5456927</v>
      </c>
      <c r="F22" s="4">
        <v>7689518</v>
      </c>
    </row>
    <row r="23" spans="1:6" ht="15">
      <c r="A23" s="5" t="s">
        <v>24</v>
      </c>
      <c r="B23" s="2">
        <v>0</v>
      </c>
      <c r="C23" s="3">
        <v>471131</v>
      </c>
      <c r="D23" s="3">
        <v>0</v>
      </c>
      <c r="E23" s="13">
        <f t="shared" si="0"/>
        <v>471131</v>
      </c>
      <c r="F23" s="37">
        <v>420800</v>
      </c>
    </row>
    <row r="24" spans="1:6" ht="15">
      <c r="A24" s="5" t="s">
        <v>25</v>
      </c>
      <c r="B24" s="2"/>
      <c r="C24" s="3">
        <v>15814892</v>
      </c>
      <c r="D24" s="3">
        <v>0</v>
      </c>
      <c r="E24" s="3">
        <f t="shared" si="0"/>
        <v>15814892</v>
      </c>
      <c r="F24" s="4">
        <f>13363100*1.04</f>
        <v>13897624</v>
      </c>
    </row>
    <row r="25" spans="1:6" ht="15">
      <c r="A25" s="5" t="s">
        <v>26</v>
      </c>
      <c r="B25" s="2">
        <v>0</v>
      </c>
      <c r="C25" s="3">
        <v>0</v>
      </c>
      <c r="D25" s="3">
        <v>0</v>
      </c>
      <c r="E25" s="3">
        <f t="shared" si="0"/>
        <v>0</v>
      </c>
      <c r="F25" s="4">
        <v>0</v>
      </c>
    </row>
    <row r="26" spans="1:6" ht="15">
      <c r="A26" s="5" t="s">
        <v>27</v>
      </c>
      <c r="B26" s="2"/>
      <c r="C26" s="3"/>
      <c r="D26" s="3"/>
      <c r="E26" s="3"/>
      <c r="F26" s="4">
        <v>0</v>
      </c>
    </row>
    <row r="27" spans="1:6" ht="15">
      <c r="A27" s="6" t="s">
        <v>28</v>
      </c>
      <c r="B27" s="2">
        <v>1152309</v>
      </c>
      <c r="C27" s="3">
        <v>0</v>
      </c>
      <c r="D27" s="3">
        <v>0</v>
      </c>
      <c r="E27" s="3">
        <f t="shared" si="0"/>
        <v>1152309</v>
      </c>
      <c r="F27" s="4">
        <v>1097437</v>
      </c>
    </row>
    <row r="28" spans="1:6" ht="15">
      <c r="A28" s="6" t="s">
        <v>29</v>
      </c>
      <c r="B28" s="2">
        <v>0</v>
      </c>
      <c r="C28" s="3">
        <v>0</v>
      </c>
      <c r="D28" s="3">
        <v>0</v>
      </c>
      <c r="E28" s="3">
        <f t="shared" si="0"/>
        <v>0</v>
      </c>
      <c r="F28" s="4"/>
    </row>
    <row r="29" spans="1:6" ht="15.75" thickBot="1">
      <c r="A29" s="14" t="s">
        <v>30</v>
      </c>
      <c r="B29" s="15">
        <f>916980+1226180</f>
        <v>2143160</v>
      </c>
      <c r="C29" s="16">
        <f>245468+1181650+893617+10888</f>
        <v>2331623</v>
      </c>
      <c r="D29" s="3">
        <v>0</v>
      </c>
      <c r="E29" s="17">
        <f t="shared" si="0"/>
        <v>4474783</v>
      </c>
      <c r="F29" s="38">
        <v>6668827</v>
      </c>
    </row>
    <row r="30" spans="1:6" ht="15.75" thickTop="1">
      <c r="A30" s="43" t="s">
        <v>31</v>
      </c>
      <c r="B30" s="47">
        <f>+B29+B28+B27+B25+B24+B23+B22+B21+B13</f>
        <v>80575922</v>
      </c>
      <c r="C30" s="48">
        <f>+C29+C28+C27+C25+C24+C23+C22+C21+C13</f>
        <v>30910120</v>
      </c>
      <c r="D30" s="48">
        <f>+D29+D28+D27+D25+D24+D23+D22+D21+D13</f>
        <v>24049036</v>
      </c>
      <c r="E30" s="48">
        <f t="shared" si="0"/>
        <v>135535078</v>
      </c>
      <c r="F30" s="51">
        <f>+F29+F28+F27+F25+F24+F23+F22+F21+F13</f>
        <v>128036183</v>
      </c>
    </row>
    <row r="31" spans="1:6" ht="15">
      <c r="A31" s="5"/>
      <c r="B31" s="2"/>
      <c r="C31" s="3"/>
      <c r="D31" s="3"/>
      <c r="E31" s="3"/>
      <c r="F31" s="4"/>
    </row>
    <row r="32" spans="1:6" ht="15">
      <c r="A32" s="1" t="s">
        <v>32</v>
      </c>
      <c r="B32" s="2"/>
      <c r="C32" s="3"/>
      <c r="D32" s="3"/>
      <c r="E32" s="3"/>
      <c r="F32" s="4"/>
    </row>
    <row r="33" spans="1:6" ht="15">
      <c r="A33" s="5" t="s">
        <v>33</v>
      </c>
      <c r="B33" s="2"/>
      <c r="C33" s="3"/>
      <c r="D33" s="3"/>
      <c r="E33" s="3"/>
      <c r="F33" s="4"/>
    </row>
    <row r="34" spans="1:6" ht="15">
      <c r="A34" s="6" t="s">
        <v>34</v>
      </c>
      <c r="B34" s="2">
        <f>39469912+1519988</f>
        <v>40989900</v>
      </c>
      <c r="C34" s="3">
        <v>3540011</v>
      </c>
      <c r="D34" s="3">
        <v>1532666</v>
      </c>
      <c r="E34" s="3">
        <f t="shared" si="0"/>
        <v>46062577</v>
      </c>
      <c r="F34" s="4">
        <v>41344831</v>
      </c>
    </row>
    <row r="35" spans="1:6" ht="15">
      <c r="A35" s="6" t="s">
        <v>35</v>
      </c>
      <c r="B35" s="2">
        <f>280779+10813</f>
        <v>291592</v>
      </c>
      <c r="C35" s="3">
        <v>33540</v>
      </c>
      <c r="D35" s="3">
        <v>5367702</v>
      </c>
      <c r="E35" s="3">
        <f t="shared" si="0"/>
        <v>5692834</v>
      </c>
      <c r="F35" s="4">
        <v>5227570</v>
      </c>
    </row>
    <row r="36" spans="1:6" ht="15">
      <c r="A36" s="6" t="s">
        <v>36</v>
      </c>
      <c r="B36" s="2">
        <v>0</v>
      </c>
      <c r="C36" s="3">
        <v>1039862</v>
      </c>
      <c r="D36" s="3">
        <v>1507416</v>
      </c>
      <c r="E36" s="3">
        <f t="shared" si="0"/>
        <v>2547278</v>
      </c>
      <c r="F36" s="4">
        <v>1878110</v>
      </c>
    </row>
    <row r="37" spans="1:6" ht="15">
      <c r="A37" s="6" t="s">
        <v>37</v>
      </c>
      <c r="B37" s="2">
        <f>9831784+378623</f>
        <v>10210407</v>
      </c>
      <c r="C37" s="3">
        <v>390165</v>
      </c>
      <c r="D37" s="3">
        <v>1133894</v>
      </c>
      <c r="E37" s="3">
        <f t="shared" si="0"/>
        <v>11734466</v>
      </c>
      <c r="F37" s="37">
        <v>11079882</v>
      </c>
    </row>
    <row r="38" spans="1:6" ht="15">
      <c r="A38" s="6" t="s">
        <v>38</v>
      </c>
      <c r="B38" s="2">
        <f>5861724+225735</f>
        <v>6087459</v>
      </c>
      <c r="C38" s="3">
        <v>420659</v>
      </c>
      <c r="D38" s="3">
        <v>1624324</v>
      </c>
      <c r="E38" s="3">
        <f t="shared" si="0"/>
        <v>8132442</v>
      </c>
      <c r="F38" s="4">
        <v>7003833</v>
      </c>
    </row>
    <row r="39" spans="1:6" ht="15">
      <c r="A39" s="6" t="s">
        <v>39</v>
      </c>
      <c r="B39" s="2">
        <f>9812985+377899</f>
        <v>10190884</v>
      </c>
      <c r="C39" s="3">
        <v>496249</v>
      </c>
      <c r="D39" s="3">
        <v>333855</v>
      </c>
      <c r="E39" s="3">
        <f t="shared" si="0"/>
        <v>11020988</v>
      </c>
      <c r="F39" s="4">
        <v>11633547</v>
      </c>
    </row>
    <row r="40" spans="1:6" ht="15">
      <c r="A40" s="6" t="s">
        <v>40</v>
      </c>
      <c r="B40" s="2">
        <f>8866602-2090516+341453</f>
        <v>7117539</v>
      </c>
      <c r="C40" s="3">
        <v>0</v>
      </c>
      <c r="D40" s="3">
        <v>107057</v>
      </c>
      <c r="E40" s="3">
        <f t="shared" si="0"/>
        <v>7224596</v>
      </c>
      <c r="F40" s="37">
        <v>5997873</v>
      </c>
    </row>
    <row r="41" spans="1:6" ht="15">
      <c r="A41" s="6" t="s">
        <v>41</v>
      </c>
      <c r="B41" s="2">
        <v>3597625</v>
      </c>
      <c r="C41" s="3">
        <v>85000</v>
      </c>
      <c r="D41" s="3">
        <v>11978988</v>
      </c>
      <c r="E41" s="3">
        <f t="shared" si="0"/>
        <v>15661613</v>
      </c>
      <c r="F41" s="4">
        <v>13861873</v>
      </c>
    </row>
    <row r="42" spans="1:6" ht="15">
      <c r="A42" s="5" t="s">
        <v>42</v>
      </c>
      <c r="B42" s="2">
        <v>0</v>
      </c>
      <c r="C42" s="3">
        <v>14976097</v>
      </c>
      <c r="D42" s="3">
        <v>145907</v>
      </c>
      <c r="E42" s="13">
        <f t="shared" si="0"/>
        <v>15122004</v>
      </c>
      <c r="F42" s="4">
        <v>13182947</v>
      </c>
    </row>
    <row r="43" spans="1:6" ht="15">
      <c r="A43" s="5" t="s">
        <v>26</v>
      </c>
      <c r="B43" s="2">
        <v>0</v>
      </c>
      <c r="C43" s="3">
        <v>529175</v>
      </c>
      <c r="D43" s="3">
        <v>157610</v>
      </c>
      <c r="E43" s="3">
        <f t="shared" si="0"/>
        <v>686785</v>
      </c>
      <c r="F43" s="4">
        <v>0</v>
      </c>
    </row>
    <row r="44" spans="1:6" ht="15.75" thickBot="1">
      <c r="A44" s="19" t="s">
        <v>43</v>
      </c>
      <c r="B44" s="15">
        <v>0</v>
      </c>
      <c r="C44" s="16">
        <v>620678</v>
      </c>
      <c r="D44" s="16">
        <v>159617</v>
      </c>
      <c r="E44" s="16">
        <f t="shared" si="0"/>
        <v>780295</v>
      </c>
      <c r="F44" s="39">
        <v>730406</v>
      </c>
    </row>
    <row r="45" spans="1:6" ht="15.75" thickTop="1">
      <c r="A45" s="43" t="s">
        <v>44</v>
      </c>
      <c r="B45" s="47">
        <f>SUM(B34:B44)</f>
        <v>78485406</v>
      </c>
      <c r="C45" s="48">
        <f>SUM(C34:C44)</f>
        <v>22131436</v>
      </c>
      <c r="D45" s="48">
        <f>SUM(D34:D44)</f>
        <v>24049036</v>
      </c>
      <c r="E45" s="48">
        <f t="shared" si="0"/>
        <v>124665878</v>
      </c>
      <c r="F45" s="51">
        <f>SUM(F34:F44)</f>
        <v>111940872</v>
      </c>
    </row>
    <row r="46" spans="1:6" ht="15">
      <c r="A46" s="5"/>
      <c r="B46" s="2"/>
      <c r="C46" s="3"/>
      <c r="D46" s="3"/>
      <c r="E46" s="3"/>
      <c r="F46" s="4"/>
    </row>
    <row r="47" spans="1:6" ht="15">
      <c r="A47" s="1" t="s">
        <v>45</v>
      </c>
      <c r="B47" s="2"/>
      <c r="C47" s="3"/>
      <c r="D47" s="3"/>
      <c r="E47" s="3"/>
      <c r="F47" s="4"/>
    </row>
    <row r="48" spans="1:6" ht="15">
      <c r="A48" s="5" t="s">
        <v>46</v>
      </c>
      <c r="B48" s="2"/>
      <c r="C48" s="3"/>
      <c r="D48" s="3"/>
      <c r="E48" s="3"/>
      <c r="F48" s="4"/>
    </row>
    <row r="49" spans="1:6" ht="15">
      <c r="A49" s="6" t="s">
        <v>47</v>
      </c>
      <c r="B49" s="2">
        <v>2090516</v>
      </c>
      <c r="C49" s="3">
        <v>5020636</v>
      </c>
      <c r="D49" s="3">
        <v>0</v>
      </c>
      <c r="E49" s="3">
        <f t="shared" si="0"/>
        <v>7111152</v>
      </c>
      <c r="F49" s="4">
        <f>702660+4821968</f>
        <v>5524628</v>
      </c>
    </row>
    <row r="50" spans="1:6" ht="15">
      <c r="A50" s="6" t="s">
        <v>48</v>
      </c>
      <c r="B50" s="2">
        <v>0</v>
      </c>
      <c r="C50" s="3">
        <v>4994798</v>
      </c>
      <c r="D50" s="3">
        <v>0</v>
      </c>
      <c r="E50" s="3">
        <f t="shared" si="0"/>
        <v>4994798</v>
      </c>
      <c r="F50" s="4">
        <v>5380701</v>
      </c>
    </row>
    <row r="51" spans="1:6" ht="15">
      <c r="A51" s="7" t="s">
        <v>49</v>
      </c>
      <c r="B51" s="12">
        <v>0</v>
      </c>
      <c r="C51" s="8">
        <v>0</v>
      </c>
      <c r="D51" s="8">
        <v>0</v>
      </c>
      <c r="E51" s="8">
        <f t="shared" si="0"/>
        <v>0</v>
      </c>
      <c r="F51" s="34">
        <v>0</v>
      </c>
    </row>
    <row r="52" spans="1:6" ht="15">
      <c r="A52" s="20" t="s">
        <v>50</v>
      </c>
      <c r="B52" s="21">
        <f>SUM(B49:B51)</f>
        <v>2090516</v>
      </c>
      <c r="C52" s="22">
        <f>SUM(C49:C51)</f>
        <v>10015434</v>
      </c>
      <c r="D52" s="22">
        <f>SUM(D49:D51)</f>
        <v>0</v>
      </c>
      <c r="E52" s="22">
        <f t="shared" si="0"/>
        <v>12105950</v>
      </c>
      <c r="F52" s="23">
        <f>SUM(F49:F51)</f>
        <v>10905329</v>
      </c>
    </row>
    <row r="53" spans="1:6" ht="15">
      <c r="A53" s="5"/>
      <c r="B53" s="2"/>
      <c r="C53" s="3"/>
      <c r="D53" s="3"/>
      <c r="E53" s="3"/>
      <c r="F53" s="4"/>
    </row>
    <row r="54" spans="1:6" ht="15">
      <c r="A54" s="5" t="s">
        <v>51</v>
      </c>
      <c r="B54" s="2"/>
      <c r="C54" s="3"/>
      <c r="D54" s="3"/>
      <c r="E54" s="3"/>
      <c r="F54" s="4"/>
    </row>
    <row r="55" spans="1:6" ht="15">
      <c r="A55" s="6" t="s">
        <v>52</v>
      </c>
      <c r="B55" s="2">
        <v>0</v>
      </c>
      <c r="C55" s="3">
        <v>0</v>
      </c>
      <c r="D55" s="3">
        <v>0</v>
      </c>
      <c r="E55" s="3">
        <f t="shared" si="0"/>
        <v>0</v>
      </c>
      <c r="F55" s="4">
        <v>0</v>
      </c>
    </row>
    <row r="56" spans="1:6" ht="15">
      <c r="A56" s="7" t="s">
        <v>43</v>
      </c>
      <c r="B56" s="12">
        <v>0</v>
      </c>
      <c r="C56" s="8">
        <f>-3189277+1952527</f>
        <v>-1236750</v>
      </c>
      <c r="D56" s="8">
        <v>0</v>
      </c>
      <c r="E56" s="8">
        <f t="shared" si="0"/>
        <v>-1236750</v>
      </c>
      <c r="F56" s="34">
        <f>1330644+1476360+507405+1875573</f>
        <v>5189982</v>
      </c>
    </row>
    <row r="57" spans="1:6" ht="15.75" thickBot="1">
      <c r="A57" s="24" t="s">
        <v>53</v>
      </c>
      <c r="B57" s="25">
        <f>SUM(B55:B56)</f>
        <v>0</v>
      </c>
      <c r="C57" s="26">
        <f>SUM(C55:C56)</f>
        <v>-1236750</v>
      </c>
      <c r="D57" s="26">
        <f>SUM(D55:D56)</f>
        <v>0</v>
      </c>
      <c r="E57" s="26">
        <f t="shared" si="0"/>
        <v>-1236750</v>
      </c>
      <c r="F57" s="27">
        <f>SUM(F55:F56)</f>
        <v>5189982</v>
      </c>
    </row>
    <row r="58" spans="1:6" ht="15.75" thickTop="1">
      <c r="A58" s="43" t="s">
        <v>54</v>
      </c>
      <c r="B58" s="47">
        <f>+B45+B52+B57</f>
        <v>80575922</v>
      </c>
      <c r="C58" s="48">
        <f>+C57+C52+C45</f>
        <v>30910120</v>
      </c>
      <c r="D58" s="48">
        <f>+D57+D52+D45</f>
        <v>24049036</v>
      </c>
      <c r="E58" s="48">
        <f t="shared" si="0"/>
        <v>135535078</v>
      </c>
      <c r="F58" s="51">
        <f>+F57+F52+F45</f>
        <v>128036183</v>
      </c>
    </row>
    <row r="59" spans="1:6" ht="15">
      <c r="A59" s="5"/>
      <c r="B59" s="2"/>
      <c r="C59" s="3"/>
      <c r="D59" s="3"/>
      <c r="E59" s="3"/>
      <c r="F59" s="4"/>
    </row>
    <row r="60" spans="1:6" ht="15.75" thickBot="1">
      <c r="A60" s="28" t="s">
        <v>55</v>
      </c>
      <c r="B60" s="29">
        <f>+B30-B58</f>
        <v>0</v>
      </c>
      <c r="C60" s="30">
        <f>+C30-C58</f>
        <v>0</v>
      </c>
      <c r="D60" s="30">
        <f>+D30-D58</f>
        <v>0</v>
      </c>
      <c r="E60" s="31">
        <f>+E30-E58</f>
        <v>0</v>
      </c>
      <c r="F60" s="32">
        <f>+F30-F58</f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zoomScalePageLayoutView="0" workbookViewId="0" topLeftCell="A1">
      <selection activeCell="H8" sqref="H8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58" t="s">
        <v>0</v>
      </c>
      <c r="B1" s="58"/>
      <c r="C1" s="58"/>
      <c r="D1" s="58"/>
      <c r="E1" s="58"/>
      <c r="F1" s="58"/>
    </row>
    <row r="2" spans="1:6" ht="15.75">
      <c r="A2" s="58" t="s">
        <v>66</v>
      </c>
      <c r="B2" s="58"/>
      <c r="C2" s="58"/>
      <c r="D2" s="58"/>
      <c r="E2" s="58"/>
      <c r="F2" s="58"/>
    </row>
    <row r="3" spans="1:6" ht="15.75">
      <c r="A3" s="60" t="s">
        <v>72</v>
      </c>
      <c r="B3" s="60"/>
      <c r="C3" s="60"/>
      <c r="D3" s="60"/>
      <c r="E3" s="60"/>
      <c r="F3" s="60"/>
    </row>
    <row r="4" spans="1:6" ht="16.5" thickBot="1">
      <c r="A4" s="33"/>
      <c r="B4" s="33"/>
      <c r="C4" s="33"/>
      <c r="D4" s="33"/>
      <c r="E4" s="33"/>
      <c r="F4" s="33"/>
    </row>
    <row r="5" spans="1:6" ht="39.75" customHeight="1" thickBot="1">
      <c r="A5" s="62" t="s">
        <v>1</v>
      </c>
      <c r="B5" s="62" t="s">
        <v>2</v>
      </c>
      <c r="C5" s="64" t="s">
        <v>3</v>
      </c>
      <c r="D5" s="64" t="s">
        <v>4</v>
      </c>
      <c r="E5" s="64" t="s">
        <v>5</v>
      </c>
      <c r="F5" s="63" t="s">
        <v>6</v>
      </c>
    </row>
    <row r="6" spans="1:6" ht="15">
      <c r="A6" s="1" t="s">
        <v>7</v>
      </c>
      <c r="B6" s="2"/>
      <c r="C6" s="3"/>
      <c r="D6" s="3"/>
      <c r="E6" s="3"/>
      <c r="F6" s="4"/>
    </row>
    <row r="7" spans="1:6" ht="15">
      <c r="A7" s="5" t="s">
        <v>8</v>
      </c>
      <c r="B7" s="2"/>
      <c r="C7" s="3"/>
      <c r="D7" s="3"/>
      <c r="E7" s="3"/>
      <c r="F7" s="4"/>
    </row>
    <row r="8" spans="1:6" ht="15">
      <c r="A8" s="6" t="s">
        <v>9</v>
      </c>
      <c r="B8" s="2">
        <v>15096262</v>
      </c>
      <c r="C8" s="3">
        <v>0</v>
      </c>
      <c r="D8" s="3">
        <v>0</v>
      </c>
      <c r="E8" s="3">
        <f aca="true" t="shared" si="0" ref="E8:E58">+B8+C8+D8</f>
        <v>15096262</v>
      </c>
      <c r="F8" s="4">
        <v>15096262</v>
      </c>
    </row>
    <row r="9" spans="1:6" ht="15">
      <c r="A9" s="6" t="s">
        <v>10</v>
      </c>
      <c r="B9" s="2">
        <v>105030259</v>
      </c>
      <c r="C9" s="3">
        <v>0</v>
      </c>
      <c r="D9" s="3">
        <v>0</v>
      </c>
      <c r="E9" s="3">
        <f t="shared" si="0"/>
        <v>105030259</v>
      </c>
      <c r="F9" s="4">
        <v>97825393</v>
      </c>
    </row>
    <row r="10" spans="1:6" ht="15">
      <c r="A10" s="6" t="s">
        <v>11</v>
      </c>
      <c r="B10" s="2">
        <v>33684268</v>
      </c>
      <c r="C10" s="3">
        <v>0</v>
      </c>
      <c r="D10" s="3">
        <v>0</v>
      </c>
      <c r="E10" s="3">
        <f t="shared" si="0"/>
        <v>33684268</v>
      </c>
      <c r="F10" s="4">
        <v>30640229</v>
      </c>
    </row>
    <row r="11" spans="1:6" ht="15">
      <c r="A11" s="6" t="s">
        <v>12</v>
      </c>
      <c r="B11" s="2">
        <v>0</v>
      </c>
      <c r="C11" s="3">
        <v>23679084</v>
      </c>
      <c r="D11" s="3">
        <v>0</v>
      </c>
      <c r="E11" s="3">
        <f t="shared" si="0"/>
        <v>23679084</v>
      </c>
      <c r="F11" s="4">
        <v>20590508</v>
      </c>
    </row>
    <row r="12" spans="1:6" ht="15">
      <c r="A12" s="7" t="s">
        <v>13</v>
      </c>
      <c r="B12" s="12">
        <v>12375472</v>
      </c>
      <c r="C12" s="8">
        <v>3300390</v>
      </c>
      <c r="D12" s="8">
        <v>0</v>
      </c>
      <c r="E12" s="8">
        <f t="shared" si="0"/>
        <v>15675862</v>
      </c>
      <c r="F12" s="34">
        <v>15058779</v>
      </c>
    </row>
    <row r="13" spans="1:6" ht="15">
      <c r="A13" s="9" t="s">
        <v>14</v>
      </c>
      <c r="B13" s="35">
        <f>SUM(B8:B12)</f>
        <v>166186261</v>
      </c>
      <c r="C13" s="10">
        <f>SUM(C8:C12)</f>
        <v>26979474</v>
      </c>
      <c r="D13" s="10">
        <f>SUM(D8:D12)</f>
        <v>0</v>
      </c>
      <c r="E13" s="10">
        <f t="shared" si="0"/>
        <v>193165735</v>
      </c>
      <c r="F13" s="11">
        <f>SUM(F8:F12)</f>
        <v>179211171</v>
      </c>
    </row>
    <row r="14" spans="1:6" ht="15">
      <c r="A14" s="5" t="s">
        <v>15</v>
      </c>
      <c r="B14" s="2">
        <v>0</v>
      </c>
      <c r="C14" s="3">
        <v>1299038</v>
      </c>
      <c r="D14" s="3">
        <v>318174</v>
      </c>
      <c r="E14" s="3">
        <f t="shared" si="0"/>
        <v>1617212</v>
      </c>
      <c r="F14" s="37">
        <v>-2417349</v>
      </c>
    </row>
    <row r="15" spans="1:6" ht="15">
      <c r="A15" s="5" t="s">
        <v>16</v>
      </c>
      <c r="B15" s="2"/>
      <c r="C15" s="3"/>
      <c r="D15" s="3"/>
      <c r="E15" s="3"/>
      <c r="F15" s="4"/>
    </row>
    <row r="16" spans="1:6" ht="15">
      <c r="A16" s="6" t="s">
        <v>17</v>
      </c>
      <c r="B16" s="2">
        <v>0</v>
      </c>
      <c r="C16" s="3">
        <v>0</v>
      </c>
      <c r="D16" s="3">
        <f>199141033*1.05</f>
        <v>209098084.65</v>
      </c>
      <c r="E16" s="3">
        <f t="shared" si="0"/>
        <v>209098084.65</v>
      </c>
      <c r="F16" s="4">
        <v>200643016</v>
      </c>
    </row>
    <row r="17" spans="1:6" ht="15">
      <c r="A17" s="36" t="s">
        <v>18</v>
      </c>
      <c r="B17" s="2">
        <v>22725128</v>
      </c>
      <c r="C17" s="3">
        <v>0</v>
      </c>
      <c r="D17" s="3">
        <v>0</v>
      </c>
      <c r="E17" s="3">
        <f t="shared" si="0"/>
        <v>22725128</v>
      </c>
      <c r="F17" s="4">
        <v>22725128</v>
      </c>
    </row>
    <row r="18" spans="1:6" ht="15">
      <c r="A18" s="6" t="s">
        <v>19</v>
      </c>
      <c r="B18" s="2">
        <v>0</v>
      </c>
      <c r="C18" s="3">
        <v>0</v>
      </c>
      <c r="D18" s="3">
        <f>34652981*1.03</f>
        <v>35692570.43</v>
      </c>
      <c r="E18" s="3">
        <f t="shared" si="0"/>
        <v>35692570.43</v>
      </c>
      <c r="F18" s="4">
        <v>34652981</v>
      </c>
    </row>
    <row r="19" spans="1:6" ht="15">
      <c r="A19" s="6" t="s">
        <v>20</v>
      </c>
      <c r="B19" s="2">
        <v>17150000</v>
      </c>
      <c r="C19" s="3">
        <v>0</v>
      </c>
      <c r="D19" s="3">
        <v>0</v>
      </c>
      <c r="E19" s="3">
        <f t="shared" si="0"/>
        <v>17150000</v>
      </c>
      <c r="F19" s="4">
        <f>18943716-897416</f>
        <v>18046300</v>
      </c>
    </row>
    <row r="20" spans="1:6" ht="15">
      <c r="A20" s="7" t="s">
        <v>21</v>
      </c>
      <c r="B20" s="12">
        <v>62053453</v>
      </c>
      <c r="C20" s="8">
        <v>0</v>
      </c>
      <c r="D20" s="8">
        <v>0</v>
      </c>
      <c r="E20" s="53">
        <f t="shared" si="0"/>
        <v>62053453</v>
      </c>
      <c r="F20" s="34">
        <v>62053453</v>
      </c>
    </row>
    <row r="21" spans="1:6" ht="15">
      <c r="A21" s="9" t="s">
        <v>22</v>
      </c>
      <c r="B21" s="35">
        <f>SUM(B14:B20)</f>
        <v>101928581</v>
      </c>
      <c r="C21" s="10">
        <f>SUM(C14:C20)</f>
        <v>1299038</v>
      </c>
      <c r="D21" s="10">
        <f>SUM(D14:D20)</f>
        <v>245108829.08</v>
      </c>
      <c r="E21" s="18">
        <f t="shared" si="0"/>
        <v>348336448.08000004</v>
      </c>
      <c r="F21" s="11">
        <f>SUM(F14:F20)</f>
        <v>335703529</v>
      </c>
    </row>
    <row r="22" spans="1:6" ht="15">
      <c r="A22" s="5" t="s">
        <v>23</v>
      </c>
      <c r="B22" s="2">
        <v>0</v>
      </c>
      <c r="C22" s="3">
        <v>0</v>
      </c>
      <c r="D22" s="3">
        <f>89076825*1.078</f>
        <v>96024817.35000001</v>
      </c>
      <c r="E22" s="3">
        <f t="shared" si="0"/>
        <v>96024817.35000001</v>
      </c>
      <c r="F22" s="4">
        <v>89076825</v>
      </c>
    </row>
    <row r="23" spans="1:6" ht="15">
      <c r="A23" s="5" t="s">
        <v>24</v>
      </c>
      <c r="B23" s="2">
        <v>0</v>
      </c>
      <c r="C23" s="3">
        <v>104559761</v>
      </c>
      <c r="D23" s="3">
        <v>0</v>
      </c>
      <c r="E23" s="13">
        <f t="shared" si="0"/>
        <v>104559761</v>
      </c>
      <c r="F23" s="37">
        <v>99108778</v>
      </c>
    </row>
    <row r="24" spans="1:6" ht="15">
      <c r="A24" s="5" t="s">
        <v>25</v>
      </c>
      <c r="B24" s="2">
        <v>0</v>
      </c>
      <c r="C24" s="3">
        <f>16098350-400000</f>
        <v>15698350</v>
      </c>
      <c r="D24" s="3">
        <v>0</v>
      </c>
      <c r="E24" s="3">
        <f t="shared" si="0"/>
        <v>15698350</v>
      </c>
      <c r="F24" s="4">
        <f>14246327</f>
        <v>14246327</v>
      </c>
    </row>
    <row r="25" spans="1:6" ht="15">
      <c r="A25" s="5" t="s">
        <v>26</v>
      </c>
      <c r="B25" s="2">
        <v>1492000</v>
      </c>
      <c r="C25" s="3">
        <v>389818925</v>
      </c>
      <c r="D25" s="3">
        <v>0</v>
      </c>
      <c r="E25" s="3">
        <f t="shared" si="0"/>
        <v>391310925</v>
      </c>
      <c r="F25" s="4">
        <v>333178568</v>
      </c>
    </row>
    <row r="26" spans="1:6" ht="15">
      <c r="A26" s="5" t="s">
        <v>27</v>
      </c>
      <c r="B26" s="2"/>
      <c r="C26" s="3"/>
      <c r="D26" s="3"/>
      <c r="E26" s="3"/>
      <c r="F26" s="4"/>
    </row>
    <row r="27" spans="1:6" ht="15">
      <c r="A27" s="6" t="s">
        <v>68</v>
      </c>
      <c r="B27" s="2">
        <v>46938253</v>
      </c>
      <c r="C27" s="3">
        <v>24895505</v>
      </c>
      <c r="D27" s="3">
        <v>0</v>
      </c>
      <c r="E27" s="3">
        <f t="shared" si="0"/>
        <v>71833758</v>
      </c>
      <c r="F27" s="4">
        <v>70031775</v>
      </c>
    </row>
    <row r="28" spans="1:6" ht="15">
      <c r="A28" s="6" t="s">
        <v>29</v>
      </c>
      <c r="B28" s="2">
        <v>4195310</v>
      </c>
      <c r="C28" s="3">
        <v>0</v>
      </c>
      <c r="D28" s="3">
        <v>0</v>
      </c>
      <c r="E28" s="3">
        <f t="shared" si="0"/>
        <v>4195310</v>
      </c>
      <c r="F28" s="4">
        <v>4419968</v>
      </c>
    </row>
    <row r="29" spans="1:6" ht="15.75" thickBot="1">
      <c r="A29" s="14" t="s">
        <v>30</v>
      </c>
      <c r="B29" s="15">
        <f>-1604849+11693962</f>
        <v>10089113</v>
      </c>
      <c r="C29" s="16">
        <v>25472728</v>
      </c>
      <c r="D29" s="3">
        <f>2997824*1.03</f>
        <v>3087758.72</v>
      </c>
      <c r="E29" s="17">
        <f t="shared" si="0"/>
        <v>38649599.72</v>
      </c>
      <c r="F29" s="38">
        <v>36170306</v>
      </c>
    </row>
    <row r="30" spans="1:6" ht="15.75" thickTop="1">
      <c r="A30" s="43" t="s">
        <v>31</v>
      </c>
      <c r="B30" s="47">
        <f>+B29+B28+B27+B25+B24+B23+B22+B21+B13</f>
        <v>330829518</v>
      </c>
      <c r="C30" s="48">
        <f>+C29+C28+C27+C25+C24+C23+C22+C21+C13</f>
        <v>588723781</v>
      </c>
      <c r="D30" s="48">
        <f>+D29+D28+D27+D25+D24+D23+D22+D21+D13</f>
        <v>344221405.15000004</v>
      </c>
      <c r="E30" s="48">
        <f t="shared" si="0"/>
        <v>1263774704.15</v>
      </c>
      <c r="F30" s="51">
        <f>+F29+F28+F27+F25+F24+F23+F22+F21+F13</f>
        <v>1161147247</v>
      </c>
    </row>
    <row r="31" spans="1:6" ht="15">
      <c r="A31" s="5"/>
      <c r="B31" s="2"/>
      <c r="C31" s="3"/>
      <c r="D31" s="3"/>
      <c r="E31" s="3"/>
      <c r="F31" s="4"/>
    </row>
    <row r="32" spans="1:6" ht="15">
      <c r="A32" s="1" t="s">
        <v>32</v>
      </c>
      <c r="B32" s="2"/>
      <c r="C32" s="3"/>
      <c r="D32" s="3"/>
      <c r="E32" s="3"/>
      <c r="F32" s="4"/>
    </row>
    <row r="33" spans="1:6" ht="15">
      <c r="A33" s="5" t="s">
        <v>33</v>
      </c>
      <c r="B33" s="2"/>
      <c r="C33" s="3"/>
      <c r="D33" s="3"/>
      <c r="E33" s="3"/>
      <c r="F33" s="4"/>
    </row>
    <row r="34" spans="1:6" ht="15">
      <c r="A34" s="6" t="s">
        <v>34</v>
      </c>
      <c r="B34" s="2">
        <f>152332340+632960+6850560+7984887-3660-9573736</f>
        <v>158223351</v>
      </c>
      <c r="C34" s="3">
        <f>105080968</f>
        <v>105080968</v>
      </c>
      <c r="D34" s="3">
        <f>71097562-5000000-3000000+203720+2000000+5000000</f>
        <v>70301282</v>
      </c>
      <c r="E34" s="3">
        <f t="shared" si="0"/>
        <v>333605601</v>
      </c>
      <c r="F34" s="4">
        <f>300137907+5000000-5000000-9587516+6000000</f>
        <v>296550391</v>
      </c>
    </row>
    <row r="35" spans="1:6" ht="15">
      <c r="A35" s="6" t="s">
        <v>35</v>
      </c>
      <c r="B35" s="2">
        <f>203792+9206</f>
        <v>212998</v>
      </c>
      <c r="C35" s="3">
        <v>20322</v>
      </c>
      <c r="D35" s="3">
        <f>203144787+10000000+89935</f>
        <v>213234722</v>
      </c>
      <c r="E35" s="3">
        <f t="shared" si="0"/>
        <v>213468042</v>
      </c>
      <c r="F35" s="4">
        <f>203378107-3050672+5870839+1501983</f>
        <v>207700257</v>
      </c>
    </row>
    <row r="36" spans="1:6" ht="15">
      <c r="A36" s="6" t="s">
        <v>36</v>
      </c>
      <c r="B36" s="2">
        <f>232905+10521</f>
        <v>243426</v>
      </c>
      <c r="C36" s="3">
        <v>45034700</v>
      </c>
      <c r="D36" s="3">
        <f>33855982+944633</f>
        <v>34800615</v>
      </c>
      <c r="E36" s="3">
        <f t="shared" si="0"/>
        <v>80078741</v>
      </c>
      <c r="F36" s="4">
        <v>77403867</v>
      </c>
    </row>
    <row r="37" spans="1:6" ht="15">
      <c r="A37" s="6" t="s">
        <v>37</v>
      </c>
      <c r="B37" s="2">
        <f>46819036+2096332-1693307</f>
        <v>47222061</v>
      </c>
      <c r="C37" s="3">
        <v>1876446</v>
      </c>
      <c r="D37" s="3">
        <v>338560</v>
      </c>
      <c r="E37" s="3">
        <f t="shared" si="0"/>
        <v>49437067</v>
      </c>
      <c r="F37" s="37">
        <f>44705736+3207675</f>
        <v>47913411</v>
      </c>
    </row>
    <row r="38" spans="1:6" ht="15">
      <c r="A38" s="6" t="s">
        <v>38</v>
      </c>
      <c r="B38" s="2">
        <f>7627648+341936</f>
        <v>7969584</v>
      </c>
      <c r="C38" s="3">
        <v>3752892</v>
      </c>
      <c r="D38" s="3">
        <v>677120</v>
      </c>
      <c r="E38" s="3">
        <f t="shared" si="0"/>
        <v>12399596</v>
      </c>
      <c r="F38" s="4">
        <f>11643710-1000000+500000</f>
        <v>11143710</v>
      </c>
    </row>
    <row r="39" spans="1:6" ht="15">
      <c r="A39" s="6" t="s">
        <v>39</v>
      </c>
      <c r="B39" s="2">
        <f>42467291+1901691</f>
        <v>44368982</v>
      </c>
      <c r="C39" s="3">
        <v>627381</v>
      </c>
      <c r="D39" s="3">
        <f>1692799-900000</f>
        <v>792799</v>
      </c>
      <c r="E39" s="3">
        <f t="shared" si="0"/>
        <v>45789162</v>
      </c>
      <c r="F39" s="4">
        <f>44357050-897416+500000+950000</f>
        <v>44909634</v>
      </c>
    </row>
    <row r="40" spans="1:6" ht="15">
      <c r="A40" s="6" t="s">
        <v>40</v>
      </c>
      <c r="B40" s="2">
        <f>32228267+1444023-1693307</f>
        <v>31978983</v>
      </c>
      <c r="C40" s="3">
        <v>16888013</v>
      </c>
      <c r="D40" s="3">
        <f>677120-300000</f>
        <v>377120</v>
      </c>
      <c r="E40" s="3">
        <f t="shared" si="0"/>
        <v>49244116</v>
      </c>
      <c r="F40" s="37">
        <f>44819403+2491823+2000000-2000000</f>
        <v>47311226</v>
      </c>
    </row>
    <row r="41" spans="1:6" ht="15">
      <c r="A41" s="6" t="s">
        <v>41</v>
      </c>
      <c r="B41" s="2">
        <f>11103550+497123</f>
        <v>11600673</v>
      </c>
      <c r="C41" s="3">
        <v>115339</v>
      </c>
      <c r="D41" s="3">
        <v>20990709</v>
      </c>
      <c r="E41" s="3">
        <f t="shared" si="0"/>
        <v>32706721</v>
      </c>
      <c r="F41" s="4">
        <v>31160470</v>
      </c>
    </row>
    <row r="42" spans="1:6" ht="15">
      <c r="A42" s="5" t="s">
        <v>42</v>
      </c>
      <c r="B42" s="2">
        <v>0</v>
      </c>
      <c r="C42" s="3">
        <f>21737817-400000</f>
        <v>21337817</v>
      </c>
      <c r="D42" s="3">
        <v>0</v>
      </c>
      <c r="E42" s="13">
        <f t="shared" si="0"/>
        <v>21337817</v>
      </c>
      <c r="F42" s="4">
        <f>21104677-1450000</f>
        <v>19654677</v>
      </c>
    </row>
    <row r="43" spans="1:6" ht="15">
      <c r="A43" s="5" t="s">
        <v>26</v>
      </c>
      <c r="B43" s="2">
        <v>0</v>
      </c>
      <c r="C43" s="3">
        <f>367210365-1+1299038</f>
        <v>368509402</v>
      </c>
      <c r="D43" s="3">
        <v>0</v>
      </c>
      <c r="E43" s="3">
        <f t="shared" si="0"/>
        <v>368509402</v>
      </c>
      <c r="F43" s="4">
        <f>318573779-2000000</f>
        <v>316573779</v>
      </c>
    </row>
    <row r="44" spans="1:6" ht="15.75" thickBot="1">
      <c r="A44" s="19" t="s">
        <v>43</v>
      </c>
      <c r="B44" s="15">
        <v>0</v>
      </c>
      <c r="C44" s="16">
        <v>0</v>
      </c>
      <c r="D44" s="16">
        <v>0</v>
      </c>
      <c r="E44" s="16">
        <f t="shared" si="0"/>
        <v>0</v>
      </c>
      <c r="F44" s="39">
        <v>0</v>
      </c>
    </row>
    <row r="45" spans="1:6" ht="15.75" thickTop="1">
      <c r="A45" s="43" t="s">
        <v>44</v>
      </c>
      <c r="B45" s="47">
        <f>SUM(B34:B44)</f>
        <v>301820058</v>
      </c>
      <c r="C45" s="48">
        <f>SUM(C34:C44)</f>
        <v>563243280</v>
      </c>
      <c r="D45" s="48">
        <f>SUM(D34:D44)</f>
        <v>341512927</v>
      </c>
      <c r="E45" s="48">
        <f t="shared" si="0"/>
        <v>1206576265</v>
      </c>
      <c r="F45" s="51">
        <f>SUM(F34:F44)</f>
        <v>1100321422</v>
      </c>
    </row>
    <row r="46" spans="1:6" ht="15">
      <c r="A46" s="5"/>
      <c r="B46" s="2"/>
      <c r="C46" s="3"/>
      <c r="D46" s="3"/>
      <c r="E46" s="3"/>
      <c r="F46" s="4"/>
    </row>
    <row r="47" spans="1:6" ht="15">
      <c r="A47" s="1" t="s">
        <v>45</v>
      </c>
      <c r="B47" s="2"/>
      <c r="C47" s="3"/>
      <c r="D47" s="3"/>
      <c r="E47" s="3"/>
      <c r="F47" s="4"/>
    </row>
    <row r="48" spans="1:6" ht="15">
      <c r="A48" s="5" t="s">
        <v>46</v>
      </c>
      <c r="B48" s="2"/>
      <c r="C48" s="3"/>
      <c r="D48" s="3"/>
      <c r="E48" s="3"/>
      <c r="F48" s="4"/>
    </row>
    <row r="49" spans="1:6" ht="15">
      <c r="A49" s="6" t="s">
        <v>47</v>
      </c>
      <c r="B49" s="2">
        <v>5021713</v>
      </c>
      <c r="C49" s="3">
        <v>28643543</v>
      </c>
      <c r="D49" s="3">
        <v>0</v>
      </c>
      <c r="E49" s="3">
        <f t="shared" si="0"/>
        <v>33665256</v>
      </c>
      <c r="F49" s="4">
        <v>33340942</v>
      </c>
    </row>
    <row r="50" spans="1:6" ht="15">
      <c r="A50" s="6" t="s">
        <v>48</v>
      </c>
      <c r="B50" s="2">
        <v>0</v>
      </c>
      <c r="C50" s="3">
        <v>0</v>
      </c>
      <c r="D50" s="3">
        <v>0</v>
      </c>
      <c r="E50" s="3">
        <f t="shared" si="0"/>
        <v>0</v>
      </c>
      <c r="F50" s="4">
        <v>0</v>
      </c>
    </row>
    <row r="51" spans="1:6" ht="15">
      <c r="A51" s="7" t="s">
        <v>49</v>
      </c>
      <c r="B51" s="12">
        <v>7226093</v>
      </c>
      <c r="C51" s="8">
        <v>0</v>
      </c>
      <c r="D51" s="8">
        <v>0</v>
      </c>
      <c r="E51" s="8">
        <f t="shared" si="0"/>
        <v>7226093</v>
      </c>
      <c r="F51" s="34">
        <v>6750734</v>
      </c>
    </row>
    <row r="52" spans="1:6" ht="15">
      <c r="A52" s="20" t="s">
        <v>50</v>
      </c>
      <c r="B52" s="21">
        <f>SUM(B49:B51)</f>
        <v>12247806</v>
      </c>
      <c r="C52" s="22">
        <f>SUM(C49:C51)</f>
        <v>28643543</v>
      </c>
      <c r="D52" s="22">
        <f>SUM(D49:D51)</f>
        <v>0</v>
      </c>
      <c r="E52" s="22">
        <f t="shared" si="0"/>
        <v>40891349</v>
      </c>
      <c r="F52" s="23">
        <f>SUM(F49:F51)</f>
        <v>40091676</v>
      </c>
    </row>
    <row r="53" spans="1:6" ht="15">
      <c r="A53" s="5"/>
      <c r="B53" s="2"/>
      <c r="C53" s="3"/>
      <c r="D53" s="3"/>
      <c r="E53" s="3"/>
      <c r="F53" s="4"/>
    </row>
    <row r="54" spans="1:6" ht="15">
      <c r="A54" s="5" t="s">
        <v>51</v>
      </c>
      <c r="B54" s="2"/>
      <c r="C54" s="3"/>
      <c r="D54" s="3"/>
      <c r="E54" s="3"/>
      <c r="F54" s="4"/>
    </row>
    <row r="55" spans="1:6" ht="15">
      <c r="A55" s="6" t="s">
        <v>52</v>
      </c>
      <c r="B55" s="2">
        <v>0</v>
      </c>
      <c r="C55" s="3">
        <v>0</v>
      </c>
      <c r="D55" s="3">
        <v>0</v>
      </c>
      <c r="E55" s="3">
        <f t="shared" si="0"/>
        <v>0</v>
      </c>
      <c r="F55" s="4">
        <v>0</v>
      </c>
    </row>
    <row r="56" spans="1:6" ht="15">
      <c r="A56" s="7" t="s">
        <v>43</v>
      </c>
      <c r="B56" s="12">
        <f>14008000+869679+1000000-5502639+3000000+3386614</f>
        <v>16761654</v>
      </c>
      <c r="C56" s="8">
        <v>-3163042</v>
      </c>
      <c r="D56" s="8">
        <v>2708478</v>
      </c>
      <c r="E56" s="8">
        <f t="shared" si="0"/>
        <v>16307090</v>
      </c>
      <c r="F56" s="34">
        <f>19554316-3000000-820167+5000000</f>
        <v>20734149</v>
      </c>
    </row>
    <row r="57" spans="1:6" ht="15.75" thickBot="1">
      <c r="A57" s="24" t="s">
        <v>53</v>
      </c>
      <c r="B57" s="25">
        <f>SUM(B55:B56)</f>
        <v>16761654</v>
      </c>
      <c r="C57" s="26">
        <f>SUM(C55:C56)</f>
        <v>-3163042</v>
      </c>
      <c r="D57" s="26">
        <f>SUM(D55:D56)</f>
        <v>2708478</v>
      </c>
      <c r="E57" s="26">
        <f t="shared" si="0"/>
        <v>16307090</v>
      </c>
      <c r="F57" s="27">
        <f>SUM(F55:F56)</f>
        <v>20734149</v>
      </c>
    </row>
    <row r="58" spans="1:6" ht="15.75" thickTop="1">
      <c r="A58" s="43" t="s">
        <v>54</v>
      </c>
      <c r="B58" s="47">
        <f>+B45+B52+B57</f>
        <v>330829518</v>
      </c>
      <c r="C58" s="48">
        <f>+C57+C52+C45</f>
        <v>588723781</v>
      </c>
      <c r="D58" s="48">
        <f>+D57+D52+D45</f>
        <v>344221405</v>
      </c>
      <c r="E58" s="48">
        <f t="shared" si="0"/>
        <v>1263774704</v>
      </c>
      <c r="F58" s="51">
        <f>+F57+F52+F45</f>
        <v>1161147247</v>
      </c>
    </row>
    <row r="59" spans="1:6" ht="15">
      <c r="A59" s="5"/>
      <c r="B59" s="2"/>
      <c r="C59" s="3"/>
      <c r="D59" s="3"/>
      <c r="E59" s="3"/>
      <c r="F59" s="4"/>
    </row>
    <row r="60" spans="1:6" ht="15.75" thickBot="1">
      <c r="A60" s="28" t="s">
        <v>55</v>
      </c>
      <c r="B60" s="29">
        <f>+B30-B58</f>
        <v>0</v>
      </c>
      <c r="C60" s="30">
        <f>+C30-C58</f>
        <v>0</v>
      </c>
      <c r="D60" s="30">
        <f>+D30-D58</f>
        <v>0.15000003576278687</v>
      </c>
      <c r="E60" s="31">
        <f>+E30-E58</f>
        <v>0.15000009536743164</v>
      </c>
      <c r="F60" s="32">
        <f>+F30-F58</f>
        <v>0</v>
      </c>
    </row>
    <row r="61" spans="1:6" ht="15.75">
      <c r="A61" s="40"/>
      <c r="B61" s="41"/>
      <c r="C61" s="41"/>
      <c r="D61" s="41"/>
      <c r="E61" s="41"/>
      <c r="F61" s="41"/>
    </row>
    <row r="62" spans="1:6" ht="15.75">
      <c r="A62" s="54" t="s">
        <v>56</v>
      </c>
      <c r="B62" s="41"/>
      <c r="C62" s="41"/>
      <c r="D62" s="41"/>
      <c r="E62" s="41"/>
      <c r="F62" s="41"/>
    </row>
    <row r="63" spans="1:6" ht="15.75" customHeight="1">
      <c r="A63" s="61" t="s">
        <v>69</v>
      </c>
      <c r="B63" s="61"/>
      <c r="C63" s="61"/>
      <c r="D63" s="61"/>
      <c r="E63" s="61"/>
      <c r="F63" s="61"/>
    </row>
  </sheetData>
  <sheetProtection/>
  <mergeCells count="4">
    <mergeCell ref="A1:F1"/>
    <mergeCell ref="A2:F2"/>
    <mergeCell ref="A3:F3"/>
    <mergeCell ref="A63:F63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chavezd</dc:creator>
  <cp:keywords/>
  <dc:description/>
  <cp:lastModifiedBy>Jill Taylor</cp:lastModifiedBy>
  <cp:lastPrinted>2011-11-04T14:35:50Z</cp:lastPrinted>
  <dcterms:created xsi:type="dcterms:W3CDTF">2011-10-31T21:03:51Z</dcterms:created>
  <dcterms:modified xsi:type="dcterms:W3CDTF">2013-07-17T17:08:18Z</dcterms:modified>
  <cp:category/>
  <cp:version/>
  <cp:contentType/>
  <cp:contentStatus/>
</cp:coreProperties>
</file>