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13"/>
  <workbookPr codeName="ThisWorkbook" defaultThemeVersion="166925"/>
  <mc:AlternateContent xmlns:mc="http://schemas.openxmlformats.org/markup-compatibility/2006">
    <mc:Choice Requires="x15">
      <x15ac:absPath xmlns:x15ac="http://schemas.microsoft.com/office/spreadsheetml/2010/11/ac" url="/Users/cramirez/Desktop/"/>
    </mc:Choice>
  </mc:AlternateContent>
  <xr:revisionPtr revIDLastSave="0" documentId="13_ncr:1_{A1EFF5F3-D69E-3B42-835F-7C47E3BEA04E}" xr6:coauthVersionLast="45" xr6:coauthVersionMax="45" xr10:uidLastSave="{00000000-0000-0000-0000-000000000000}"/>
  <bookViews>
    <workbookView xWindow="0" yWindow="460" windowWidth="28800" windowHeight="17440" tabRatio="680" xr2:uid="{00000000-000D-0000-FFFF-FFFF00000000}"/>
  </bookViews>
  <sheets>
    <sheet name="NACE Competencies" sheetId="10" r:id="rId1"/>
    <sheet name="1 Critical Thinking" sheetId="2" r:id="rId2"/>
    <sheet name="2 Written Communication" sheetId="6" r:id="rId3"/>
    <sheet name="3 Collaboration &amp; Trust" sheetId="7" r:id="rId4"/>
    <sheet name="4 Adaptability" sheetId="3" r:id="rId5"/>
    <sheet name="5 Leadership" sheetId="8" r:id="rId6"/>
    <sheet name="6 Professionalism" sheetId="11" r:id="rId7"/>
    <sheet name="7 Career Management" sheetId="12" r:id="rId8"/>
    <sheet name="8 Intercultural Fluency" sheetId="9" r:id="rId9"/>
    <sheet name="LiL Top 25 Competencies" sheetId="4" r:id="rId1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27" i="4" l="1"/>
  <c r="B26" i="4"/>
  <c r="B25" i="4"/>
  <c r="B24" i="4"/>
  <c r="B23" i="4"/>
  <c r="B22" i="4"/>
  <c r="B21" i="4"/>
  <c r="B20" i="4"/>
  <c r="B19" i="4"/>
  <c r="B18" i="4"/>
  <c r="B17" i="4"/>
  <c r="B16" i="4"/>
  <c r="B15" i="4"/>
  <c r="B14" i="4"/>
  <c r="B13" i="4"/>
  <c r="B12" i="4"/>
  <c r="B11" i="4"/>
  <c r="B10" i="4"/>
  <c r="B9" i="4"/>
  <c r="B8" i="4"/>
  <c r="B7" i="4"/>
  <c r="B6" i="4"/>
  <c r="B5" i="4"/>
  <c r="B4" i="4"/>
  <c r="B3" i="4"/>
  <c r="A5" i="6"/>
  <c r="D29" i="9"/>
  <c r="D28" i="9"/>
  <c r="D27" i="9"/>
  <c r="D26" i="9"/>
  <c r="D25" i="9"/>
  <c r="D24" i="9"/>
  <c r="D23" i="9"/>
  <c r="D22" i="9"/>
  <c r="D21" i="9"/>
  <c r="D20" i="9"/>
  <c r="D19" i="9"/>
  <c r="D18" i="9"/>
  <c r="D17" i="9"/>
  <c r="D16" i="9"/>
  <c r="D15" i="9"/>
  <c r="D14" i="9"/>
  <c r="D13" i="9"/>
  <c r="D12" i="9"/>
  <c r="D11" i="9"/>
  <c r="D10" i="9"/>
  <c r="D9" i="9"/>
  <c r="D8" i="9"/>
  <c r="D7" i="9"/>
  <c r="D6" i="9"/>
  <c r="D5" i="9"/>
  <c r="A3" i="9"/>
  <c r="A48" i="8"/>
  <c r="A47" i="8"/>
  <c r="A46" i="8"/>
  <c r="A45" i="8"/>
  <c r="A44" i="8"/>
  <c r="A43" i="8"/>
  <c r="A42" i="8"/>
  <c r="A41" i="8"/>
  <c r="A40" i="8"/>
  <c r="A39" i="8"/>
  <c r="A38" i="8"/>
  <c r="A37" i="8"/>
  <c r="A36" i="8"/>
  <c r="A35" i="8"/>
  <c r="A34" i="8"/>
  <c r="A33" i="8"/>
  <c r="A32" i="8"/>
  <c r="A31" i="8"/>
  <c r="A30" i="8"/>
  <c r="A29" i="8"/>
  <c r="A28" i="8"/>
  <c r="A27" i="8"/>
  <c r="A26" i="8"/>
  <c r="A25" i="8"/>
  <c r="A24" i="8"/>
  <c r="A23" i="8"/>
  <c r="A22" i="8"/>
  <c r="A21" i="8"/>
  <c r="A20" i="8"/>
  <c r="A19" i="8"/>
  <c r="A18" i="8"/>
  <c r="A17" i="8"/>
  <c r="A16" i="8"/>
  <c r="A15" i="8"/>
  <c r="A14" i="8"/>
  <c r="A13" i="8"/>
  <c r="A12" i="8"/>
  <c r="A11" i="8"/>
  <c r="A10" i="8"/>
  <c r="A9" i="8"/>
  <c r="A8" i="8"/>
  <c r="A7" i="8"/>
  <c r="A6" i="8"/>
  <c r="A5" i="8"/>
  <c r="B26" i="7"/>
  <c r="B25" i="7"/>
  <c r="B24" i="7"/>
  <c r="B23" i="7"/>
  <c r="B22" i="7"/>
  <c r="B21" i="7"/>
  <c r="B20" i="7"/>
  <c r="B19" i="7"/>
  <c r="B18" i="7"/>
  <c r="B17" i="7"/>
  <c r="B16" i="7"/>
  <c r="B15" i="7"/>
  <c r="B14" i="7"/>
  <c r="B13" i="7"/>
  <c r="B12" i="7"/>
  <c r="B11" i="7"/>
  <c r="B10" i="7"/>
  <c r="B9" i="7"/>
  <c r="B8" i="7"/>
  <c r="B7" i="7"/>
  <c r="B6" i="7"/>
  <c r="B5" i="7"/>
  <c r="C34" i="6"/>
  <c r="C33" i="6"/>
  <c r="C32" i="6"/>
  <c r="C31" i="6"/>
  <c r="C30" i="6"/>
  <c r="C29" i="6"/>
  <c r="C28" i="6"/>
  <c r="C27" i="6"/>
  <c r="C26" i="6"/>
  <c r="C25" i="6"/>
  <c r="C24" i="6"/>
  <c r="C23" i="6"/>
  <c r="C22" i="6"/>
  <c r="C21" i="6"/>
  <c r="C20" i="6"/>
  <c r="C19" i="6"/>
  <c r="C18" i="6"/>
  <c r="C17" i="6"/>
  <c r="C16" i="6"/>
  <c r="C15" i="6"/>
  <c r="C14" i="6"/>
  <c r="C13" i="6"/>
  <c r="C12" i="6"/>
  <c r="C11" i="6"/>
  <c r="C10" i="6"/>
  <c r="C9" i="6"/>
  <c r="C8" i="6"/>
  <c r="C7" i="6"/>
  <c r="C6" i="6"/>
  <c r="C5" i="6"/>
  <c r="D38" i="3"/>
  <c r="D37" i="3"/>
  <c r="D36" i="3"/>
  <c r="D35" i="3"/>
  <c r="D34" i="3"/>
  <c r="C29" i="9"/>
  <c r="B28" i="9"/>
  <c r="A27" i="9"/>
  <c r="C25" i="9"/>
  <c r="B24" i="9"/>
  <c r="A23" i="9"/>
  <c r="C21" i="9"/>
  <c r="B20" i="9"/>
  <c r="A19" i="9"/>
  <c r="C17" i="9"/>
  <c r="B16" i="9"/>
  <c r="A15" i="9"/>
  <c r="C13" i="9"/>
  <c r="B12" i="9"/>
  <c r="A11" i="9"/>
  <c r="C9" i="9"/>
  <c r="B8" i="9"/>
  <c r="A7" i="9"/>
  <c r="C5" i="9"/>
  <c r="C48" i="8"/>
  <c r="B47" i="8"/>
  <c r="D45" i="8"/>
  <c r="C44" i="8"/>
  <c r="B43" i="8"/>
  <c r="D41" i="8"/>
  <c r="C40" i="8"/>
  <c r="B39" i="8"/>
  <c r="D37" i="8"/>
  <c r="C36" i="8"/>
  <c r="B35" i="8"/>
  <c r="D33" i="8"/>
  <c r="C32" i="8"/>
  <c r="B31" i="8"/>
  <c r="D29" i="8"/>
  <c r="C28" i="8"/>
  <c r="B27" i="8"/>
  <c r="D25" i="8"/>
  <c r="C24" i="8"/>
  <c r="B23" i="8"/>
  <c r="D21" i="8"/>
  <c r="C20" i="8"/>
  <c r="B19" i="8"/>
  <c r="D17" i="8"/>
  <c r="C16" i="8"/>
  <c r="B15" i="8"/>
  <c r="D13" i="8"/>
  <c r="C12" i="8"/>
  <c r="B11" i="8"/>
  <c r="D9" i="8"/>
  <c r="C8" i="8"/>
  <c r="B7" i="8"/>
  <c r="D5" i="8"/>
  <c r="D26" i="7"/>
  <c r="C25" i="7"/>
  <c r="A24" i="7"/>
  <c r="D22" i="7"/>
  <c r="C21" i="7"/>
  <c r="A20" i="7"/>
  <c r="D18" i="7"/>
  <c r="C17" i="7"/>
  <c r="A16" i="7"/>
  <c r="D14" i="7"/>
  <c r="C13" i="7"/>
  <c r="A12" i="7"/>
  <c r="D10" i="7"/>
  <c r="C9" i="7"/>
  <c r="A8" i="7"/>
  <c r="D6" i="7"/>
  <c r="C5" i="7"/>
  <c r="B34" i="6"/>
  <c r="A33" i="6"/>
  <c r="D31" i="6"/>
  <c r="B30" i="6"/>
  <c r="A29" i="6"/>
  <c r="D27" i="6"/>
  <c r="B26" i="6"/>
  <c r="A25" i="6"/>
  <c r="D23" i="6"/>
  <c r="B22" i="6"/>
  <c r="A21" i="6"/>
  <c r="D19" i="6"/>
  <c r="B18" i="6"/>
  <c r="A17" i="6"/>
  <c r="D15" i="6"/>
  <c r="B14" i="6"/>
  <c r="A13" i="6"/>
  <c r="D11" i="6"/>
  <c r="B10" i="6"/>
  <c r="A9" i="6"/>
  <c r="D7" i="6"/>
  <c r="B6" i="6"/>
  <c r="A3" i="6"/>
  <c r="A38" i="3"/>
  <c r="C36" i="3"/>
  <c r="B35" i="3"/>
  <c r="A34" i="3"/>
  <c r="A33" i="3"/>
  <c r="A32" i="3"/>
  <c r="A31" i="3"/>
  <c r="A30" i="3"/>
  <c r="A29" i="3"/>
  <c r="A28" i="3"/>
  <c r="A27" i="3"/>
  <c r="A26" i="3"/>
  <c r="A25" i="3"/>
  <c r="A24" i="3"/>
  <c r="A23" i="3"/>
  <c r="A22" i="3"/>
  <c r="A21" i="3"/>
  <c r="A20" i="3"/>
  <c r="A19" i="3"/>
  <c r="A18" i="3"/>
  <c r="A17" i="3"/>
  <c r="A16" i="3"/>
  <c r="A15" i="3"/>
  <c r="A14" i="3"/>
  <c r="A13" i="3"/>
  <c r="A12" i="3"/>
  <c r="A11" i="3"/>
  <c r="A10" i="3"/>
  <c r="A9" i="3"/>
  <c r="A8" i="3"/>
  <c r="A7" i="3"/>
  <c r="A6" i="3"/>
  <c r="A5" i="3"/>
  <c r="B34" i="2"/>
  <c r="B33" i="2"/>
  <c r="B32" i="2"/>
  <c r="B31" i="2"/>
  <c r="B30" i="2"/>
  <c r="B29" i="2"/>
  <c r="B28" i="2"/>
  <c r="B27" i="2"/>
  <c r="B26" i="2"/>
  <c r="B25" i="2"/>
  <c r="B24" i="2"/>
  <c r="B23" i="2"/>
  <c r="B22" i="2"/>
  <c r="B21" i="2"/>
  <c r="B20" i="2"/>
  <c r="B19" i="2"/>
  <c r="B18" i="2"/>
  <c r="B17" i="2"/>
  <c r="B16" i="2"/>
  <c r="B15" i="2"/>
  <c r="B14" i="2"/>
  <c r="B13" i="2"/>
  <c r="B12" i="2"/>
  <c r="B11" i="2"/>
  <c r="B10" i="2"/>
  <c r="B9" i="2"/>
  <c r="B8" i="2"/>
  <c r="B7" i="2"/>
  <c r="B6" i="2"/>
  <c r="B5" i="2"/>
  <c r="A34" i="6"/>
  <c r="D28" i="6"/>
  <c r="A26" i="6"/>
  <c r="B23" i="6"/>
  <c r="D20" i="6"/>
  <c r="A18" i="6"/>
  <c r="B15" i="6"/>
  <c r="D12" i="6"/>
  <c r="A10" i="6"/>
  <c r="B7" i="6"/>
  <c r="A6" i="6"/>
  <c r="B36" i="3"/>
  <c r="A35" i="3"/>
  <c r="D32" i="3"/>
  <c r="D31" i="3"/>
  <c r="D29" i="3"/>
  <c r="D27" i="3"/>
  <c r="D25" i="3"/>
  <c r="D23" i="3"/>
  <c r="D20" i="3"/>
  <c r="D18" i="3"/>
  <c r="D16" i="3"/>
  <c r="D14" i="3"/>
  <c r="D13" i="3"/>
  <c r="D11" i="3"/>
  <c r="D9" i="3"/>
  <c r="D7" i="3"/>
  <c r="D5" i="3"/>
  <c r="A34" i="2"/>
  <c r="A32" i="2"/>
  <c r="A30" i="2"/>
  <c r="A29" i="2"/>
  <c r="A27" i="2"/>
  <c r="A25" i="2"/>
  <c r="A23" i="2"/>
  <c r="A21" i="2"/>
  <c r="A19" i="2"/>
  <c r="A17" i="2"/>
  <c r="A15" i="2"/>
  <c r="A13" i="2"/>
  <c r="A11" i="2"/>
  <c r="A9" i="2"/>
  <c r="A7" i="2"/>
  <c r="A5" i="2"/>
  <c r="A29" i="9"/>
  <c r="B26" i="9"/>
  <c r="B22" i="9"/>
  <c r="C19" i="9"/>
  <c r="A17" i="9"/>
  <c r="B14" i="9"/>
  <c r="A13" i="9"/>
  <c r="B10" i="9"/>
  <c r="C7" i="9"/>
  <c r="A5" i="9"/>
  <c r="C46" i="8"/>
  <c r="D43" i="8"/>
  <c r="B41" i="8"/>
  <c r="D39" i="8"/>
  <c r="B37" i="8"/>
  <c r="C34" i="8"/>
  <c r="D31" i="8"/>
  <c r="B29" i="8"/>
  <c r="C26" i="8"/>
  <c r="B29" i="9"/>
  <c r="A28" i="9"/>
  <c r="C26" i="9"/>
  <c r="B25" i="9"/>
  <c r="A24" i="9"/>
  <c r="C22" i="9"/>
  <c r="B21" i="9"/>
  <c r="A20" i="9"/>
  <c r="C18" i="9"/>
  <c r="B17" i="9"/>
  <c r="A16" i="9"/>
  <c r="C14" i="9"/>
  <c r="B13" i="9"/>
  <c r="A12" i="9"/>
  <c r="C10" i="9"/>
  <c r="B9" i="9"/>
  <c r="A8" i="9"/>
  <c r="C6" i="9"/>
  <c r="B5" i="9"/>
  <c r="B48" i="8"/>
  <c r="D46" i="8"/>
  <c r="C45" i="8"/>
  <c r="B44" i="8"/>
  <c r="D42" i="8"/>
  <c r="C41" i="8"/>
  <c r="B40" i="8"/>
  <c r="D38" i="8"/>
  <c r="C37" i="8"/>
  <c r="B36" i="8"/>
  <c r="D34" i="8"/>
  <c r="C33" i="8"/>
  <c r="B32" i="8"/>
  <c r="D30" i="8"/>
  <c r="C29" i="8"/>
  <c r="B28" i="8"/>
  <c r="D26" i="8"/>
  <c r="C25" i="8"/>
  <c r="B24" i="8"/>
  <c r="D22" i="8"/>
  <c r="C21" i="8"/>
  <c r="B20" i="8"/>
  <c r="D18" i="8"/>
  <c r="C17" i="8"/>
  <c r="B16" i="8"/>
  <c r="D14" i="8"/>
  <c r="C13" i="8"/>
  <c r="B12" i="8"/>
  <c r="D10" i="8"/>
  <c r="C9" i="8"/>
  <c r="B8" i="8"/>
  <c r="D6" i="8"/>
  <c r="C5" i="8"/>
  <c r="C26" i="7"/>
  <c r="A25" i="7"/>
  <c r="D23" i="7"/>
  <c r="C22" i="7"/>
  <c r="A21" i="7"/>
  <c r="D19" i="7"/>
  <c r="C18" i="7"/>
  <c r="A17" i="7"/>
  <c r="D15" i="7"/>
  <c r="C14" i="7"/>
  <c r="A13" i="7"/>
  <c r="D11" i="7"/>
  <c r="C10" i="7"/>
  <c r="A9" i="7"/>
  <c r="D7" i="7"/>
  <c r="C6" i="7"/>
  <c r="A5" i="7"/>
  <c r="D32" i="6"/>
  <c r="B31" i="6"/>
  <c r="A30" i="6"/>
  <c r="B27" i="6"/>
  <c r="D24" i="6"/>
  <c r="A22" i="6"/>
  <c r="B19" i="6"/>
  <c r="D16" i="6"/>
  <c r="A14" i="6"/>
  <c r="B11" i="6"/>
  <c r="D8" i="6"/>
  <c r="C37" i="3"/>
  <c r="D33" i="3"/>
  <c r="D30" i="3"/>
  <c r="D28" i="3"/>
  <c r="D26" i="3"/>
  <c r="D24" i="3"/>
  <c r="D22" i="3"/>
  <c r="D21" i="3"/>
  <c r="D19" i="3"/>
  <c r="D17" i="3"/>
  <c r="D15" i="3"/>
  <c r="D12" i="3"/>
  <c r="D10" i="3"/>
  <c r="D8" i="3"/>
  <c r="D6" i="3"/>
  <c r="A3" i="3"/>
  <c r="A33" i="2"/>
  <c r="A31" i="2"/>
  <c r="A28" i="2"/>
  <c r="A26" i="2"/>
  <c r="A24" i="2"/>
  <c r="A22" i="2"/>
  <c r="A20" i="2"/>
  <c r="A18" i="2"/>
  <c r="A16" i="2"/>
  <c r="A14" i="2"/>
  <c r="A12" i="2"/>
  <c r="A10" i="2"/>
  <c r="A8" i="2"/>
  <c r="A6" i="2"/>
  <c r="C27" i="9"/>
  <c r="A25" i="9"/>
  <c r="C23" i="9"/>
  <c r="A21" i="9"/>
  <c r="B18" i="9"/>
  <c r="C15" i="9"/>
  <c r="C11" i="9"/>
  <c r="A9" i="9"/>
  <c r="B6" i="9"/>
  <c r="D47" i="8"/>
  <c r="B45" i="8"/>
  <c r="C42" i="8"/>
  <c r="C38" i="8"/>
  <c r="D35" i="8"/>
  <c r="B33" i="8"/>
  <c r="C30" i="8"/>
  <c r="D27" i="8"/>
  <c r="C28" i="9"/>
  <c r="B23" i="9"/>
  <c r="A18" i="9"/>
  <c r="C12" i="9"/>
  <c r="B7" i="9"/>
  <c r="B46" i="8"/>
  <c r="D40" i="8"/>
  <c r="C35" i="8"/>
  <c r="B30" i="8"/>
  <c r="B25" i="8"/>
  <c r="C22" i="8"/>
  <c r="D19" i="8"/>
  <c r="B17" i="8"/>
  <c r="C14" i="8"/>
  <c r="D11" i="8"/>
  <c r="B9" i="8"/>
  <c r="C6" i="8"/>
  <c r="A26" i="7"/>
  <c r="C23" i="7"/>
  <c r="D20" i="7"/>
  <c r="A18" i="7"/>
  <c r="C15" i="7"/>
  <c r="D12" i="7"/>
  <c r="A10" i="7"/>
  <c r="C7" i="7"/>
  <c r="A3" i="7"/>
  <c r="B32" i="6"/>
  <c r="D29" i="6"/>
  <c r="A27" i="6"/>
  <c r="B24" i="6"/>
  <c r="D21" i="6"/>
  <c r="A19" i="6"/>
  <c r="B16" i="6"/>
  <c r="D13" i="6"/>
  <c r="A11" i="6"/>
  <c r="B8" i="6"/>
  <c r="D5" i="6"/>
  <c r="B38" i="3"/>
  <c r="C35" i="3"/>
  <c r="B33" i="3"/>
  <c r="B31" i="3"/>
  <c r="B29" i="3"/>
  <c r="B27" i="3"/>
  <c r="B25" i="3"/>
  <c r="B23" i="3"/>
  <c r="B21" i="3"/>
  <c r="B19" i="3"/>
  <c r="B17" i="3"/>
  <c r="B15" i="3"/>
  <c r="B13" i="3"/>
  <c r="B11" i="3"/>
  <c r="B9" i="3"/>
  <c r="B7" i="3"/>
  <c r="B5" i="3"/>
  <c r="C33" i="2"/>
  <c r="C31" i="2"/>
  <c r="C29" i="2"/>
  <c r="C27" i="2"/>
  <c r="C25" i="2"/>
  <c r="C23" i="2"/>
  <c r="C21" i="2"/>
  <c r="C19" i="2"/>
  <c r="C17" i="2"/>
  <c r="C15" i="2"/>
  <c r="C13" i="2"/>
  <c r="C11" i="2"/>
  <c r="C9" i="2"/>
  <c r="C7" i="2"/>
  <c r="C5" i="2"/>
  <c r="D10" i="2"/>
  <c r="D6" i="2"/>
  <c r="A26" i="9"/>
  <c r="B15" i="9"/>
  <c r="D48" i="8"/>
  <c r="B38" i="8"/>
  <c r="C27" i="8"/>
  <c r="B21" i="8"/>
  <c r="D15" i="8"/>
  <c r="D7" i="8"/>
  <c r="D24" i="7"/>
  <c r="A22" i="7"/>
  <c r="D16" i="7"/>
  <c r="A14" i="7"/>
  <c r="D8" i="7"/>
  <c r="A6" i="7"/>
  <c r="A31" i="6"/>
  <c r="B28" i="6"/>
  <c r="A23" i="6"/>
  <c r="D17" i="6"/>
  <c r="B12" i="6"/>
  <c r="A7" i="6"/>
  <c r="B34" i="3"/>
  <c r="B30" i="3"/>
  <c r="B26" i="3"/>
  <c r="B22" i="3"/>
  <c r="B18" i="3"/>
  <c r="B14" i="3"/>
  <c r="B10" i="3"/>
  <c r="B6" i="3"/>
  <c r="C32" i="2"/>
  <c r="C30" i="2"/>
  <c r="C28" i="2"/>
  <c r="C24" i="2"/>
  <c r="C20" i="2"/>
  <c r="C16" i="2"/>
  <c r="C12" i="2"/>
  <c r="C8" i="2"/>
  <c r="C24" i="9"/>
  <c r="C8" i="9"/>
  <c r="B42" i="8"/>
  <c r="D36" i="8"/>
  <c r="B26" i="8"/>
  <c r="D20" i="8"/>
  <c r="B18" i="8"/>
  <c r="D12" i="8"/>
  <c r="C7" i="8"/>
  <c r="C24" i="7"/>
  <c r="A19" i="7"/>
  <c r="C16" i="7"/>
  <c r="A11" i="7"/>
  <c r="B33" i="6"/>
  <c r="D30" i="6"/>
  <c r="A28" i="6"/>
  <c r="B25" i="6"/>
  <c r="D22" i="6"/>
  <c r="A20" i="6"/>
  <c r="B17" i="6"/>
  <c r="D14" i="6"/>
  <c r="A12" i="6"/>
  <c r="B9" i="6"/>
  <c r="D6" i="6"/>
  <c r="A36" i="3"/>
  <c r="C33" i="3"/>
  <c r="C31" i="3"/>
  <c r="C29" i="3"/>
  <c r="C27" i="3"/>
  <c r="C23" i="3"/>
  <c r="C17" i="3"/>
  <c r="C15" i="3"/>
  <c r="C11" i="3"/>
  <c r="C5" i="3"/>
  <c r="D31" i="2"/>
  <c r="D29" i="2"/>
  <c r="D27" i="2"/>
  <c r="D25" i="2"/>
  <c r="D23" i="2"/>
  <c r="D19" i="2"/>
  <c r="D17" i="2"/>
  <c r="D13" i="2"/>
  <c r="D9" i="2"/>
  <c r="D5" i="2"/>
  <c r="B27" i="9"/>
  <c r="A22" i="9"/>
  <c r="C16" i="9"/>
  <c r="B11" i="9"/>
  <c r="A6" i="9"/>
  <c r="D44" i="8"/>
  <c r="C39" i="8"/>
  <c r="B34" i="8"/>
  <c r="D28" i="8"/>
  <c r="D24" i="8"/>
  <c r="B22" i="8"/>
  <c r="C19" i="8"/>
  <c r="D16" i="8"/>
  <c r="B14" i="8"/>
  <c r="C11" i="8"/>
  <c r="D8" i="8"/>
  <c r="B6" i="8"/>
  <c r="D25" i="7"/>
  <c r="A23" i="7"/>
  <c r="C20" i="7"/>
  <c r="D17" i="7"/>
  <c r="A15" i="7"/>
  <c r="C12" i="7"/>
  <c r="D9" i="7"/>
  <c r="A7" i="7"/>
  <c r="D34" i="6"/>
  <c r="A32" i="6"/>
  <c r="B29" i="6"/>
  <c r="D26" i="6"/>
  <c r="A24" i="6"/>
  <c r="B21" i="6"/>
  <c r="D18" i="6"/>
  <c r="A16" i="6"/>
  <c r="B13" i="6"/>
  <c r="D10" i="6"/>
  <c r="A8" i="6"/>
  <c r="B5" i="6"/>
  <c r="B37" i="3"/>
  <c r="C34" i="3"/>
  <c r="C32" i="3"/>
  <c r="C30" i="3"/>
  <c r="C28" i="3"/>
  <c r="C26" i="3"/>
  <c r="C24" i="3"/>
  <c r="C22" i="3"/>
  <c r="C20" i="3"/>
  <c r="C18" i="3"/>
  <c r="C16" i="3"/>
  <c r="C14" i="3"/>
  <c r="C12" i="3"/>
  <c r="C10" i="3"/>
  <c r="C8" i="3"/>
  <c r="C6" i="3"/>
  <c r="D34" i="2"/>
  <c r="D32" i="2"/>
  <c r="D30" i="2"/>
  <c r="D28" i="2"/>
  <c r="D26" i="2"/>
  <c r="D24" i="2"/>
  <c r="D22" i="2"/>
  <c r="D20" i="2"/>
  <c r="D18" i="2"/>
  <c r="D16" i="2"/>
  <c r="D14" i="2"/>
  <c r="D12" i="2"/>
  <c r="D8" i="2"/>
  <c r="A3" i="2"/>
  <c r="C20" i="9"/>
  <c r="A10" i="9"/>
  <c r="C43" i="8"/>
  <c r="D32" i="8"/>
  <c r="D23" i="8"/>
  <c r="C18" i="8"/>
  <c r="B13" i="8"/>
  <c r="C10" i="8"/>
  <c r="B5" i="8"/>
  <c r="C19" i="7"/>
  <c r="C11" i="7"/>
  <c r="D33" i="6"/>
  <c r="D25" i="6"/>
  <c r="B20" i="6"/>
  <c r="A15" i="6"/>
  <c r="D9" i="6"/>
  <c r="A37" i="3"/>
  <c r="B32" i="3"/>
  <c r="B28" i="3"/>
  <c r="B24" i="3"/>
  <c r="B20" i="3"/>
  <c r="B16" i="3"/>
  <c r="B12" i="3"/>
  <c r="B8" i="3"/>
  <c r="C34" i="2"/>
  <c r="C26" i="2"/>
  <c r="C22" i="2"/>
  <c r="C18" i="2"/>
  <c r="C14" i="2"/>
  <c r="C10" i="2"/>
  <c r="C6" i="2"/>
  <c r="B19" i="9"/>
  <c r="A14" i="9"/>
  <c r="C47" i="8"/>
  <c r="C31" i="8"/>
  <c r="C23" i="8"/>
  <c r="C15" i="8"/>
  <c r="B10" i="8"/>
  <c r="A3" i="8"/>
  <c r="D21" i="7"/>
  <c r="D13" i="7"/>
  <c r="C8" i="7"/>
  <c r="D5" i="7"/>
  <c r="C38" i="3"/>
  <c r="C25" i="3"/>
  <c r="C21" i="3"/>
  <c r="C19" i="3"/>
  <c r="C13" i="3"/>
  <c r="C9" i="3"/>
  <c r="C7" i="3"/>
  <c r="D33" i="2"/>
  <c r="D21" i="2"/>
  <c r="D15" i="2"/>
  <c r="D11" i="2"/>
  <c r="D7" i="2"/>
</calcChain>
</file>

<file path=xl/sharedStrings.xml><?xml version="1.0" encoding="utf-8"?>
<sst xmlns="http://schemas.openxmlformats.org/spreadsheetml/2006/main" count="673" uniqueCount="495">
  <si>
    <t>Critical Thinking, Decision Making, and Problem Solving</t>
  </si>
  <si>
    <t>Adaptability</t>
  </si>
  <si>
    <t>Writing Skills and Writing Proficiency</t>
  </si>
  <si>
    <t>Leading Others Effectively and Transformational Leadership</t>
  </si>
  <si>
    <t>Values Diversity, Inclusion, and Belonging</t>
  </si>
  <si>
    <t>Building Trust and Collaborating with Others</t>
  </si>
  <si>
    <t>Competency Synonyms</t>
  </si>
  <si>
    <t>Course IDs</t>
  </si>
  <si>
    <t>Levels</t>
  </si>
  <si>
    <t>Courses</t>
  </si>
  <si>
    <t xml:space="preserve"> Learning Paths</t>
  </si>
  <si>
    <t>Competency Collections</t>
  </si>
  <si>
    <t>Descriptions</t>
  </si>
  <si>
    <t>Accountability and Results-Oriented</t>
  </si>
  <si>
    <t>Learn how to take prompt action to accomplish objectives, exceed your goals, and be more proactive. Discover strategies for taking on greater responsibilities and reliably fulfilling your obligations. Explore ways to establish and maintain personally challenging goals, remain persistent when faced with obstacles, and act decisively to implement solutions and resolve crises. Recognize how to more effectively manage your time and resources.</t>
  </si>
  <si>
    <t>Drive for Results, Action Oriented, Personal Accountability, Initiating Action, Initiative, Personal Initiative, Time Management, Perseverance, Drives Results, Being Resilient, Work Standards, Passion for Results</t>
  </si>
  <si>
    <t>Discover how to maintain effectiveness when experiencing major changes in work tasks or environment. Learn how to adjust quickly and effectively to learn and work within new work structures, processes, requirements, or cultures.</t>
  </si>
  <si>
    <t>Flexibility, Manages Ambiguity, Dealing With Paradox, Situational Adaptability, Dealing with Ambiguity, Active Learning, Learning Agility, Applied Learning, Nimble Learning, Learning on the Fly, Continuous Learning, Continuous Improvement</t>
  </si>
  <si>
    <t>Building and Managing Effective Teams</t>
  </si>
  <si>
    <t xml:space="preserve">Review how to effectively help create and manage teams that work well together to meet both short-term and strategic goals. Learn how to encourage and build mutual trust, respect, and cooperation among team members. Discover how to encourage coordination and identification with the work unit. Identify ways to encourage information sharing among individuals, and include others in processes and decisions. </t>
  </si>
  <si>
    <t>Effective Teams,Team Building, Building a Successful Team, Influence Teams, Inspiring Employees</t>
  </si>
  <si>
    <t>Learn how to develop and maintain collaborative, constructive, and cooperative working relationships with others to accomplish work goals. Identify opportunities and take action to build strategic relationships between one’s area and other areas, teams, departments, units, or organizations. Discover how to interact with others in a way that gives them confidence in your intentions and those of your organization. Recognize how to use appropriate interpersonal styles and techniques to gain acceptance of ideas or plans. Learn how to modify your behavior to accommodate the tasks, situations, and individuals involved.</t>
  </si>
  <si>
    <t>Building Trust, Peer Relationships, Collaboration, Approachability, Teamwork, Building Strategic Working Relationships, Gaining Commitment, Compassion, Building Positive Working Relationships, Integrity and Trust, Builds Networks, Instills Trust</t>
  </si>
  <si>
    <t>Communication and Interpersonal Influence</t>
  </si>
  <si>
    <t>Learn how to clearly convey information and ideas through a variety of media to individuals or groups in an engaging manner. Explore how to communicate with people outside your organization, representing the organization to customers, the public, government, and other external sources. Review how to provide information to supervisors, coworkers, and subordinates by telephone, in written form, email, or in person.</t>
  </si>
  <si>
    <t>Communicates Effectively, Communication, Interpersonal Savvy, Influencing Others, Oral Communication, Interpersonal Communication, Organizational Communication, Listening</t>
  </si>
  <si>
    <t>Conflict Management and Conflict Resolution</t>
  </si>
  <si>
    <t>Learn how to deal effectively with others in antagonistic situations. Discover how to use appropriate interpersonal styles and methods to reduce tension or conflict between two or more people. Review how to effectively settle disputes by focusing on solving the problems at hand—without offending egos. Evaluate the feasibility of alternative dispute resolution mechanisms.</t>
  </si>
  <si>
    <t>Conflict Management, Conflict Resolution, Managing Conflict, Confronting Direct Reports</t>
  </si>
  <si>
    <t>Content Marketing, Digital Marketing, and Marketing Strategies</t>
  </si>
  <si>
    <t>Understand and use effective marketing techniques to support your objectives and maximize the return on your marketing dollars. Learn about principles and methods for showing, promoting, and selling products or services, including marketing strategies and tactics, product demonstrations, marketing techniques, and control systems.</t>
  </si>
  <si>
    <t>Marketing, Market Research, Content Marketing, Digital Marketing, Market Analysis, SEO, Social Media Marketing, Marketing Strategies</t>
  </si>
  <si>
    <t>Creative Thinking and Innovation</t>
  </si>
  <si>
    <t>Learn how to generate innovative solutions in work situations. Review how to develop, design, and create new applications, ideas, relationships, systems, and products. Learn how to use creative and alternative thinking to develop new ideas for and answers to work-related problems.</t>
  </si>
  <si>
    <t>Innovation, Creativity, Ingenuity, Cultivates Innovation</t>
  </si>
  <si>
    <t>Learn how to use logic and reasoning to identify the strengths and weaknesses of alternative solutions, conclusions, or approaches to problems. Understand the implications of new information for both current and future problem-solving and decision-making. Identify complex problems and review related information to develop and evaluate options and implement solutions. Discover how to question basic assumptions, apply sound reasoning, break down complex issues into manageable pieces, and grasp the implications of data/information.</t>
  </si>
  <si>
    <t>Decision Quality, Judgement, Timely Decision-Making, Decision-Making, Problem/Opportunity Analysis, Operational Decision Making, Problem Solving, Analytical Thinking, Logical Reasoning, Intellectual Horsepower</t>
  </si>
  <si>
    <t>Customer Focus</t>
  </si>
  <si>
    <t>Discover how to make your customers and their needs a primary focus, as well as how to develop and sustain productive customer relationships. Review principles and processes for providing customer and personal services, including customer needs assessments, meeting quality standards for services, and evaluation of customer satisfaction.</t>
  </si>
  <si>
    <t>Customer Service Orientation, Building Customer Loyalty, Customer Service</t>
  </si>
  <si>
    <t>Data Analysis</t>
  </si>
  <si>
    <t>Explore the practice of data analysis. Learn about the process of applying statistical and graphical techniques to data in order to discover useful information. Identify underlying principles, reasons, or facts by breaking down information or data into separate parts.</t>
  </si>
  <si>
    <t>Insights, analytics, inspecting, cleansing, transforming, and modeling data with the goal of discovering useful information. Informing conclusions and supporting decision-making</t>
  </si>
  <si>
    <t>Discover how to appreciate and leverage the capabilities, insights, and ideas of all individuals. Learn how to work effectively with individuals of diverse styles, abilities, and motivations.</t>
  </si>
  <si>
    <t>Managing Diversity, Leveraging Diversity, Values Differences, Equity, Empathy</t>
  </si>
  <si>
    <t>Financial and Accounting Knowledge</t>
  </si>
  <si>
    <t>Review basic finance concepts, such as financial analysis, accounting, and budgeting. Discover how to use financial data to accurately diagnose business conditions, identify key issues, and develop strategies and plans. Understand processes that determine how money will be spent to get work done, as well as accounting for those expenditures. Examine how to apply critical financial concepts and practices to establish and maintain realistic budgets.</t>
  </si>
  <si>
    <t>Financial Acumen, Financial Decision-Making, Financial Management</t>
  </si>
  <si>
    <t>Human Resources Knowledge and HR Management</t>
  </si>
  <si>
    <t xml:space="preserve">Demonstrate a working knowledge of critical human resources (HR) functions. Develop opportunities and resources that support a company's diversity program. Learn how to prioritize work duties for maximum efficiency. Discover how to deliver customized HR solutions for organizational challenges, seek professional HR development, and utilize core business and HR-specific technologies to solve business challenges. </t>
  </si>
  <si>
    <t>Strategic Positioner, Credible Activist, Paradox Navigator, Culture and Change Champion, Total Reward Steward, Compliance Manager, Business Acumen, Human Resource Expertise, Relationship Management, Consultation, Leadership and Navigation, Global and Cultural Effectiveness, Ethical Practice, Critical Evaluation</t>
  </si>
  <si>
    <t>Leading Change</t>
  </si>
  <si>
    <t>Learn how to encourage others to seek opportunities for innovative approaches to addressing problems and opportunities. Discover how to facilitate the implementation and acceptance of change within the workplace.</t>
  </si>
  <si>
    <t>Change Leadership, Innovation Management, Managing Change, Facilitating Change</t>
  </si>
  <si>
    <t>Learn how to influence and support colleagues and others in the achievement of common organizational goals. Examine how to lead a team or other group and provide inspiration, clarity, and direction through a compelling vision of the future. Discover how to rally others, build morale, and display attributes that make others glad to follow. Explore how to boost productivity in areas needing improvement. Learn how to gain commitment by influencing teams to set objectives and buy in on a process. Discover how to reinforce change by embracing it. Observe how to assess situations quickly and accurately.</t>
  </si>
  <si>
    <t>Leadership, Leading People, Inspiring Others, Leading Through Vision and Values</t>
  </si>
  <si>
    <t>Managing Others Effectively</t>
  </si>
  <si>
    <t>Learn about the business and management principles involved in strategic planning, resource allocation, human resources modeling, leadership techniques, production methods, and coordination of people and resources. Examine how to allocate decision-making authority and/or task responsibility to the appropriate parties to maximize effectiveness.</t>
  </si>
  <si>
    <t xml:space="preserve">Directing Others, Directs Work, Managing Others, Delegation, Delegating Responsibility, Managing Direct Reports, Managerial Courage, Managing and Measuring Work, Command Skills, Follow Up </t>
  </si>
  <si>
    <t>Operational Excellence and Process Improvement</t>
  </si>
  <si>
    <t>Review the essentials of operations. Learn how to optimally implement the execution of business strategy more consistently and reliably over time.</t>
  </si>
  <si>
    <t>Operational Management, Continuous improvement, Process Excellence, Organisation Excellence</t>
  </si>
  <si>
    <t>Presentation Skills</t>
  </si>
  <si>
    <t>Learn how to effectively engage an audience by presenting well‐organized material in an understandable format.</t>
  </si>
  <si>
    <t>Presenting, Presenting Information, Public Speaking, Oral Communication, Communicating Effectively, Training &amp; Presenting Information</t>
  </si>
  <si>
    <t>Project Management</t>
  </si>
  <si>
    <t>Learn how to track critical steps in projects to ensure they are completed on time. Discover how to identify and react to the outside forces that might influence or alter an organization's project goals. Establish a course of action to accomplish a specific goal. Identify, evaluate, and implement measurement systems for current and future projects.</t>
  </si>
  <si>
    <t>Time Management, Plan and Schedule Resources, Risk Management, Team Management, Communication and Leadership Skills, Quality Control</t>
  </si>
  <si>
    <t>Sales Knowledge and Sales Skills</t>
  </si>
  <si>
    <t xml:space="preserve">Understand systems and processes, from prospecting to time management to uncovering new opportunities such as account growth. Develop your people skills and ability to lead and manage a conversation, create emotional engagement, and earn the trust of others. </t>
  </si>
  <si>
    <t>Prospecting, Upselling, Time Management, Build Rapport, Lead Conversations, Drive Buying Decisions, Emotional Intelligence, Maintain Positivity, Build Solutions, Negotiating Prowess, Growth Opportunities, Networking, Influencing, Persuasive Selling</t>
  </si>
  <si>
    <t>Strategic Planning and Strategic Thinking</t>
  </si>
  <si>
    <t>Learn how to anticipate future consequences and trends accurately, as well as paint credible pictures and visions of possibilities and likelihoods. Create competitive and breakthrough strategies and plans. Discover how to obtain information and identify key issues and relationships relevant to achieving a long-term goal or vision. Learn how to commit to a course of action to accomplish a long-term goal or vision after developing alternatives based on logical assumptions, facts, available resources, constraints, and organizational values.</t>
  </si>
  <si>
    <t>Strategic Decision-Making, Establishing Strategic Direction, Strategic Decision Making, Planning, Perspective, Strategic Agility, Strategic Mindset</t>
  </si>
  <si>
    <t>Talent Development</t>
  </si>
  <si>
    <t>Plan and support the development of an individual's skills and abilities so that they can fulfill current or future job responsibilities more effectively. Identify the developmental needs of others and coach, mentor, or otherwise help them improve their knowledge or skills. Recognize that learning happens at every opportunity. Learn how to provide performance feedback, coaching, and career development to teams and individuals to maximize their probability of success.</t>
  </si>
  <si>
    <t>Develops Talent, Developing Direct Reports, Coaching, Developing Direct Reports and Others, Developing Others</t>
  </si>
  <si>
    <t>Talent Management</t>
  </si>
  <si>
    <t>Learn how to provide timely guidance and feedback to help others strengthen specific knowledge or skill areas needed to accomplish a task or solve a problem. Discover how to motivate, develop, and direct people as they work, identifying the best people for a job. Explore how to provide the means to enable employee success and engagement, while achieving your organization's objectives.</t>
  </si>
  <si>
    <t xml:space="preserve">Human Capital Management, Driving Engagement, Performance Management </t>
  </si>
  <si>
    <t xml:space="preserve">Review the fundamentals of correct grammar, punctuation, and spelling. Learn how to communicate information in a succinct, clear, convincing, and organized manner. Discover how to produce written information, which may include technical material, that is appropriate for the intended audience. </t>
  </si>
  <si>
    <t>Writing, Written Communication, Written Expression, Writing Proficiency, Writing Skills, Technical Writing</t>
  </si>
  <si>
    <t>Top 8 NACE Competencies</t>
  </si>
  <si>
    <t>Number</t>
  </si>
  <si>
    <t>Competency</t>
  </si>
  <si>
    <t>Definition</t>
  </si>
  <si>
    <t>Critical Thinking/Problem Solving</t>
  </si>
  <si>
    <t>Exercise sound reasoning to analyze issues, make decisions, and overcome problems. The individual is able to obtain, interpret, and use knowledge, facts, and data in this process, and may demonstrate originality and inventiveness.</t>
  </si>
  <si>
    <t>Oral/Written Communications</t>
  </si>
  <si>
    <t>Articulate thoughts and ideas clearly and effectively in written and oral forms to persons inside and outside of the organization. The individual has public speaking skills; is able to express ideas to others; and can write/edit memos, letters, and complex technical reports clearly and effectively.</t>
  </si>
  <si>
    <t>Teamwork/Collaboration</t>
  </si>
  <si>
    <t>Build collaborative relationships with colleagues and customers representing diverse cultures, races, ages, genders, religions, lifestyles, and viewpoints. The individual is able to work within a team structure, and can negotiate and manage conflict.</t>
  </si>
  <si>
    <t>Digital Technology</t>
  </si>
  <si>
    <t>Leverage existing digital technologies ethically and efficiently to solve problems, complete tasks, and accomplish goals. The individual demonstrates effective adaptability to new and emerging technologies.</t>
  </si>
  <si>
    <t>Leadership</t>
  </si>
  <si>
    <t>Leverage the strengths of others to achieve common goals, and use interpersonal skills to coach and develop others. The individual is able to assess and manage his/her emotions and those of others; use empathetic skills to guide and motivate; and organize, prioritize, and delegate work.</t>
  </si>
  <si>
    <t>Professionalism/Work Ethic</t>
  </si>
  <si>
    <t>Demonstrate personal accountability and effective work habits, e.g., punctuality, working productively with others, and time workload management, and understand the impact of non-verbal communication on professional work image. The individual demonstrates integrity and ethical behavior, acts responsibly with the interests of the larger community in mind, and is able to learn from his/her mistakes.</t>
  </si>
  <si>
    <t>Career Management</t>
  </si>
  <si>
    <t>Identify and articulate one's skills, strengths, knowledge, and experiences relevant to the position desired and career goals, and identify areas necessary for professional growth. The individual is able to navigate and explore job options, understands and can take the steps necessary to pursue opportunities, and understands how to self-advocate for opportunities in the workplace.</t>
  </si>
  <si>
    <t>Global/Intercultural Fluency</t>
  </si>
  <si>
    <t>Value, respect, and learn from diverse cultures, races, ages, genders, sexual orientations, and religions. The individual demonstrates, openness, inclusiveness, sensitivity, and the ability to interact respectfully with all people and understand individuals’ differences</t>
  </si>
  <si>
    <t>Professionalism</t>
  </si>
  <si>
    <t>Advanced</t>
  </si>
  <si>
    <t>Creating a Culture of Service</t>
  </si>
  <si>
    <t>Employer Branding to Attract Talent</t>
  </si>
  <si>
    <t>All</t>
  </si>
  <si>
    <t>Business Ethics</t>
  </si>
  <si>
    <t>Business Ethics (2015)</t>
  </si>
  <si>
    <t>Business Writing Principles</t>
  </si>
  <si>
    <t>Conducting Motivational 1-on-1 Reviews</t>
  </si>
  <si>
    <t>Defining and Achieving Professional Goals</t>
  </si>
  <si>
    <t>Developing Your Professional Image</t>
  </si>
  <si>
    <t>Managing and Working with a Technical Team for Nontechnical Professionals</t>
  </si>
  <si>
    <t xml:space="preserve">Fred Kofman on Accountability </t>
  </si>
  <si>
    <t>Fred Kofman on Making Commitments</t>
  </si>
  <si>
    <t>Creating Personal Connections</t>
  </si>
  <si>
    <t>Beginner</t>
  </si>
  <si>
    <t>Business Ethics for Sales Professionals</t>
  </si>
  <si>
    <t>Collaboration Principles and Process</t>
  </si>
  <si>
    <t>Ethics and Law in Data Analytics</t>
  </si>
  <si>
    <t>Project Management Foundations: Ethics</t>
  </si>
  <si>
    <t>Transitioning from Technical Professional to Manager</t>
  </si>
  <si>
    <t>Business Etiquette: Phone Email and Text</t>
  </si>
  <si>
    <t>Communicating with Empathy</t>
  </si>
  <si>
    <t>Managing Brand Reputation</t>
  </si>
  <si>
    <t xml:space="preserve"> Communication within Teams</t>
  </si>
  <si>
    <t>Holding Yourself Accountable</t>
  </si>
  <si>
    <t>Beginner + Intermediate</t>
  </si>
  <si>
    <t>Administrative Professional Foundations</t>
  </si>
  <si>
    <t>Business Law for Managers</t>
  </si>
  <si>
    <t>Graphic Design for Business Professionals</t>
  </si>
  <si>
    <t>Managing Technical Professionals</t>
  </si>
  <si>
    <t>Performance Management: Conducting Performance Reviews</t>
  </si>
  <si>
    <t>Developing a Service Mindset</t>
  </si>
  <si>
    <t>Managing Teams</t>
  </si>
  <si>
    <t>Building Business Relationships</t>
  </si>
  <si>
    <t>Intermediate</t>
  </si>
  <si>
    <t>Administrative Professional Tips</t>
  </si>
  <si>
    <t>Business Ethics for Managers and Leaders</t>
  </si>
  <si>
    <t>Communicating Values</t>
  </si>
  <si>
    <t>Setting Up Your Small Business as a Legal Entity</t>
  </si>
  <si>
    <t>Building Accountability Into Your Culture</t>
  </si>
  <si>
    <t>Managing a Cross-Functional Team</t>
  </si>
  <si>
    <t>Leading through Relationships</t>
  </si>
  <si>
    <t>Dream Teams: Working Together Without Falling Apart (Blinkist Summary)</t>
  </si>
  <si>
    <t>Employee Experience</t>
  </si>
  <si>
    <t>Disrupting Yourself</t>
  </si>
  <si>
    <t>Writing Recommendations</t>
  </si>
  <si>
    <t>Giving Your Elevator Pitch</t>
  </si>
  <si>
    <t>Learning to Be Assertive</t>
  </si>
  <si>
    <t>Working Remotely (2015)</t>
  </si>
  <si>
    <t>J.T. O'Donnell on Making Recruiters Come to You</t>
  </si>
  <si>
    <t>Job Hunting for College Grads</t>
  </si>
  <si>
    <t>Finding a Remote Job</t>
  </si>
  <si>
    <t>Mastering Common Interview Questions</t>
  </si>
  <si>
    <t>Recovering from a Layoff</t>
  </si>
  <si>
    <t>Repairing Your Reputation</t>
  </si>
  <si>
    <t>Succeeding in a New Job</t>
  </si>
  <si>
    <t>Transitioning Out of Your Job</t>
  </si>
  <si>
    <t>Florent Groberg on Finding Your Purpose after Active Duty</t>
  </si>
  <si>
    <t>Finding a Sponsor</t>
  </si>
  <si>
    <t>Understanding Your Compensation and Benefits</t>
  </si>
  <si>
    <t>Learning to Be Promotable</t>
  </si>
  <si>
    <t>Taking Charge of Your Career</t>
  </si>
  <si>
    <t>Internal Interviewing</t>
  </si>
  <si>
    <t>Making a Career Change</t>
  </si>
  <si>
    <t>Having an Honest Career Conversation with Your Boss</t>
  </si>
  <si>
    <t>Building a Flexible Career</t>
  </si>
  <si>
    <t>Successful Goal Setting</t>
  </si>
  <si>
    <t>How to Quit Your Job the Right Way</t>
  </si>
  <si>
    <t>Working Remotely</t>
  </si>
  <si>
    <t>Asking for a Raise</t>
  </si>
  <si>
    <t>Managing Career Burnout</t>
  </si>
  <si>
    <t>How to Be Promotable</t>
  </si>
  <si>
    <t>How to Give Negative Feedback to Senior Colleagues</t>
  </si>
  <si>
    <t>How to Get a Pay Raise</t>
  </si>
  <si>
    <t>Planning Your Family Leave and Return</t>
  </si>
  <si>
    <t>Employee to Entrepreneur</t>
  </si>
  <si>
    <t>Marci Alboher on Encore Careers</t>
  </si>
  <si>
    <t>Career Advice from Some of the Biggest Names in Business</t>
  </si>
  <si>
    <t>Become a Chief of Staff with Brian Rumao</t>
  </si>
  <si>
    <t>Turning an Internship into a Job</t>
  </si>
  <si>
    <t>Finding a Job</t>
  </si>
  <si>
    <t>Managing Your Career: Early Career</t>
  </si>
  <si>
    <t>How to Develop your Career Plan</t>
  </si>
  <si>
    <t>What to Do in the First 90 Days of Your New Job</t>
  </si>
  <si>
    <t>Women Transforming Tech: Voices from the Field</t>
  </si>
  <si>
    <t>Take a Holistic Approach to Advancing Your Career</t>
  </si>
  <si>
    <t>Preparing for Your Review</t>
  </si>
  <si>
    <t>Rocking Your First Retail Sales Job</t>
  </si>
  <si>
    <t>Managing Your Career as an Introvert</t>
  </si>
  <si>
    <t>Building Professional Relationships</t>
  </si>
  <si>
    <t>Work Stories: Experiences that Influence Careers</t>
  </si>
  <si>
    <t>LinkedIn Learning Highlights: Finding a Job and Managing Your Career</t>
  </si>
  <si>
    <t>Negotiating Your Salary</t>
  </si>
  <si>
    <t>Working as a Contract or Temporary Employee</t>
  </si>
  <si>
    <t>Being Your Own Fierce Self-Advocate</t>
  </si>
  <si>
    <t>Managing Up, Down, and Across the Organization</t>
  </si>
  <si>
    <t>Working with an Executive Coach</t>
  </si>
  <si>
    <t>Women Helping Women Succeed in the Workplace</t>
  </si>
  <si>
    <t>Critical Roles Consultants Play (and the Skills You Need to Fill Them)</t>
  </si>
  <si>
    <t>Leadership Strategies for Women</t>
  </si>
  <si>
    <t>Extreme Productivity (Blinkist Summary)</t>
  </si>
  <si>
    <t>Pivot: The Only Move That Matters Is Your Next One (Blinkist Summary)</t>
  </si>
  <si>
    <t>Become a Successful Job Hunter</t>
  </si>
  <si>
    <t>Transition from Military to Civilian Employment</t>
  </si>
  <si>
    <t>Advance Your Skills as an Individual Contributor</t>
  </si>
  <si>
    <t>Become a Successful Remote Worker</t>
  </si>
  <si>
    <t>Master In-Demand Professional Soft Skills</t>
  </si>
  <si>
    <t>Become an Administrative Professional</t>
  </si>
  <si>
    <t>Master In-Demand Skills for Technology Leadership</t>
  </si>
  <si>
    <t>Digital Transformation for Leaders</t>
  </si>
  <si>
    <t>Become an L&amp;D Professional</t>
  </si>
  <si>
    <t>Improve Your Interoffice Politics Skills</t>
  </si>
  <si>
    <t>Improve Your Problem Solving Skills</t>
  </si>
  <si>
    <t>?u=42275329&amp;auth=true</t>
  </si>
  <si>
    <t>https://www.linkedin.com/learning/counterintuitive-leadership-strategies-for-a-vuca-environment?u=42275329&amp;auth=TRUE</t>
  </si>
  <si>
    <t>https://www.linkedin.com/learning/leading-change-4?u=42275329&amp;auth=TRUE</t>
  </si>
  <si>
    <t>https://www.linkedin.com/learning/leading-with-vision?u=42275329&amp;auth=TRUE</t>
  </si>
  <si>
    <t>https://www.linkedin.com/learning/bill-george-on-self-awareness-authenticity-and-leadership?u=42275329&amp;auth=TRUE</t>
  </si>
  <si>
    <t>https://www.linkedin.com/learning/body-language-for-leaders?u=42275329&amp;auth=TRUE</t>
  </si>
  <si>
    <t>https://www.linkedin.com/learning/developing-credibility-as-a-leader?u=42275329&amp;auth=TRUE</t>
  </si>
  <si>
    <t>https://www.linkedin.com/learning/emerging-leader-foundations/how-to-create-a-culture-of-learning?u=42275329&amp;auth=TRUE</t>
  </si>
  <si>
    <t>https://www.linkedin.com/learning/fred-kofman-on-accountability?u=42275329&amp;auth=TRUE</t>
  </si>
  <si>
    <t>https://www.linkedin.com/learning/jeff-weiner-on-managing-compassionately/what-is-compassionate-management?u=42275329&amp;auth=TRUE</t>
  </si>
  <si>
    <t>https://www.linkedin.com/learning/ken-blanchard-on-servant-leadership?u=42275329&amp;auth=TRUE</t>
  </si>
  <si>
    <t>https://www.linkedin.com/learning/leadership-foundations?u=42275329&amp;auth=TRUE</t>
  </si>
  <si>
    <t>https://www.linkedin.com/learning/leadership-foundations-leadership-styles-and-models?u=42275329&amp;auth=TRUE</t>
  </si>
  <si>
    <t>https://www.linkedin.com/learning/leadership-insights-from-dan-rockwell?u=42275329&amp;auth=TRUE</t>
  </si>
  <si>
    <t>https://www.linkedin.com/learning/leadership-stories-weekly?u=42275329&amp;auth=TRUE</t>
  </si>
  <si>
    <t>https://www.linkedin.com/learning/leadership-practical-skills/welcome?u=42275329&amp;auth=TRUE</t>
  </si>
  <si>
    <t>https://www.linkedin.com/learning/leading-with-stories?u=42275329&amp;auth=TRUE</t>
  </si>
  <si>
    <t>https://www.linkedin.com/learning/leading-yourself?u=42275329&amp;auth=TRUE</t>
  </si>
  <si>
    <t>https://www.linkedin.com/learning/ryan-holmes-on-social-leadership?u=42275329&amp;auth=TRUE</t>
  </si>
  <si>
    <t>https://www.linkedin.com/learning/transitioning-from-manager-to-leader?u=42275329&amp;auth=TRUE</t>
  </si>
  <si>
    <t>https://www.linkedin.com/learning/leading-with-emotional-intelligence-3?u=42275329&amp;auth=TRUE</t>
  </si>
  <si>
    <t>https://www.linkedin.com/learning/leading-with-innovation/welcome?u=42275329&amp;auth=TRUE</t>
  </si>
  <si>
    <t>https://www.linkedin.com/learning/transformational-leadership/being-powerful-in-transformation?u=42275329&amp;auth=TRUE</t>
  </si>
  <si>
    <t>https://www.linkedin.com/learning/building-resilience-as-a-leader?u=42275329&amp;auth=TRUE</t>
  </si>
  <si>
    <t>https://www.linkedin.com/learning/coaching-skills-for-leaders-and-managers?u=42275329&amp;auth=TRUE</t>
  </si>
  <si>
    <t>https://www.linkedin.com/learning/collaborative-leadership?u=42275329&amp;auth=TRUE</t>
  </si>
  <si>
    <t>https://www.linkedin.com/learning/developing-your-leadership-philosophy?u=42275329&amp;auth=TRUE</t>
  </si>
  <si>
    <t>https://www.linkedin.com/learning/executive-decision-making/welcome?u=42275329&amp;auth=TRUE</t>
  </si>
  <si>
    <t>https://www.linkedin.com/learning/executive-leadership/communicate-to-motivate-and-inspire?u=42275329&amp;auth=TRUE</t>
  </si>
  <si>
    <t>https://www.linkedin.com/learning/human-centered-leadership/leading-with-purpose?u=42275329&amp;auth=TRUE</t>
  </si>
  <si>
    <t>https://www.linkedin.com/learning/inclusive-leadership?u=42275329&amp;auth=TRUE</t>
  </si>
  <si>
    <t>https://www.linkedin.com/learning/lead-like-a-boss?u=42275329&amp;auth=TRUE</t>
  </si>
  <si>
    <t>https://www.linkedin.com/learning/leadership-blind-spots?u=42275329&amp;auth=TRUE</t>
  </si>
  <si>
    <t>https://www.linkedin.com/learning/leading-and-working-in-teams?u=42275329&amp;auth=TRUE</t>
  </si>
  <si>
    <t>https://www.linkedin.com/learning/leading-effectively?u=42275329&amp;auth=TRUE</t>
  </si>
  <si>
    <t>https://www.linkedin.com/learning/project-management-foundations-leading-projects?u=42275329&amp;auth=TRUE</t>
  </si>
  <si>
    <t>https://www.linkedin.com/learning/leading-through-relationships?u=42275329&amp;auth=TRUE</t>
  </si>
  <si>
    <t>https://www.linkedin.com/learning/leading-with-kindness-and-strength?u=42275329&amp;auth=TRUE</t>
  </si>
  <si>
    <t>https://www.linkedin.com/learning/leading-with-purpose/employees-crave-purpose?u=42275329&amp;auth=TRUE</t>
  </si>
  <si>
    <t>https://www.linkedin.com/learning/leading-without-formal-authority?u=42275329&amp;auth=TRUE</t>
  </si>
  <si>
    <t>https://www.linkedin.com/learning/learn-the-process-of-effective-leadership?u=42275329&amp;auth=TRUE</t>
  </si>
  <si>
    <t>https://www.linkedin.com/learning/modeling-courageous-leadership-intelligent-disobedience/taking-risks?u=42275329&amp;auth=TRUE</t>
  </si>
  <si>
    <t>https://www.linkedin.com/learning/negotiating-your-leadership-success?u=42275329&amp;auth=TRUE</t>
  </si>
  <si>
    <t>https://www.linkedin.com/learning/powerless-to-powerful-taking-control?u=42275329&amp;auth=TRUE</t>
  </si>
  <si>
    <t>https://www.linkedin.com/learning/risk-taking-for-leaders/welcome?u=42275329&amp;auth=TRUE</t>
  </si>
  <si>
    <t xml:space="preserve"> Learning Paths deep link</t>
  </si>
  <si>
    <t>https://www.linkedin.com/learning/paths/become-a-leader?u=42275329&amp;auth=true</t>
  </si>
  <si>
    <t>https://www.linkedin.com/learning/paths/become-an-inclusive-leader?u=42275329&amp;auth=true</t>
  </si>
  <si>
    <t>https://www.linkedin.com/learning/paths/linkedin-manager-to-leader?u=42275329&amp;auth=true</t>
  </si>
  <si>
    <t>https://www.linkedin.com/learning/paths/master-in-demand-skills-for-technology-leadership?u=42275329&amp;auth=true</t>
  </si>
  <si>
    <t>https://www.linkedin.com/learning/building-resilience?u=42275329&amp;auth=true</t>
  </si>
  <si>
    <t>https://www.linkedin.com/learning/critical-thinking?u=42275329&amp;auth=true</t>
  </si>
  <si>
    <t>https://www.linkedin.com/learning/cultivating-a-growth-mindset?u=42275329&amp;auth=true</t>
  </si>
  <si>
    <t>https://www.linkedin.com/learning/decision-making-strategies?u=42275329&amp;auth=true</t>
  </si>
  <si>
    <t>https://www.linkedin.com/learning/delivering-results-effectively?u=42275329&amp;auth=true</t>
  </si>
  <si>
    <t>https://www.linkedin.com/learning/developing-a-learning-mindset?u=42275329&amp;auth=true</t>
  </si>
  <si>
    <t>https://www.linkedin.com/learning/enhancing-resilience?u=42275329&amp;auth=true</t>
  </si>
  <si>
    <t>https://www.linkedin.com/learning/enhancing-your-productivity?u=42275329&amp;auth=true</t>
  </si>
  <si>
    <t>https://www.linkedin.com/learning/fred-kofman-on-making-commitments?u=42275329&amp;auth=true</t>
  </si>
  <si>
    <t>https://www.linkedin.com/learning/ideas-that-resonate?u=42275329&amp;auth=true</t>
  </si>
  <si>
    <t>https://www.linkedin.com/learning/improving-your-judgment?u=42275329&amp;auth=true</t>
  </si>
  <si>
    <t>https://www.linkedin.com/learning/learning-agility?u=42275329&amp;auth=true</t>
  </si>
  <si>
    <t>https://www.linkedin.com/learning/learning-from-failure?u=42275329&amp;auth=true</t>
  </si>
  <si>
    <t>https://www.linkedin.com/learning/making-decisions?u=42275329&amp;auth=true</t>
  </si>
  <si>
    <t>https://www.linkedin.com/learning/monday-productivity-pointers?u=42275329&amp;auth=true</t>
  </si>
  <si>
    <t>https://www.linkedin.com/learning/prioritizing-your-tasks?u=42275329&amp;auth=true</t>
  </si>
  <si>
    <t>https://www.linkedin.com/learning/problem-solving-techniques?u=42275329&amp;auth=true</t>
  </si>
  <si>
    <t>https://www.linkedin.com/learning/process-improvement-foundations?u=42275329&amp;auth=true</t>
  </si>
  <si>
    <t>https://www.linkedin.com/learning/sheryl-sandberg-and-adam-grant-on-option-b-building-resilience?u=42275329&amp;auth=true</t>
  </si>
  <si>
    <t>https://www.linkedin.com/learning/simplifying-business-processes?u=42275329&amp;auth=true</t>
  </si>
  <si>
    <t>https://www.linkedin.com/learning/solving-business-problems?u=42275329&amp;auth=true</t>
  </si>
  <si>
    <t>https://www.linkedin.com/learning/successful-goal-setting?u=42275329&amp;auth=true</t>
  </si>
  <si>
    <t>https://www.linkedin.com/learning/time-tested-methods-for-making-complex-decisions?u=42275329&amp;auth=true</t>
  </si>
  <si>
    <t>https://www.linkedin.com/learning/powerless-to-powerful-taking-control?u=42275329&amp;auth=true</t>
  </si>
  <si>
    <t>https://www.linkedin.com/learning/cultivating-mental-agility?u=42275329&amp;auth=true</t>
  </si>
  <si>
    <t>https://www.linkedin.com/learning/executive-decision-making?u=42275329&amp;auth=true</t>
  </si>
  <si>
    <t>https://www.linkedin.com/learning/making-quick-decisions?u=42275329&amp;auth=true</t>
  </si>
  <si>
    <t>https://www.linkedin.com/learning/project-management-solving-common-project-problems?u=42275329&amp;auth=true</t>
  </si>
  <si>
    <t>https://www.linkedin.com/learning/using-questions-to-foster-critical-thinking-and-curiosity?u=42275329&amp;auth=true</t>
  </si>
  <si>
    <t>https://www.linkedin.com/learning/paths/improve-your-organizational-skills?u=42275329&amp;auth=true</t>
  </si>
  <si>
    <t>https://www.linkedin.com/learning/paths/improve-your-problem-solving-skills?u=42275329&amp;auth=true</t>
  </si>
  <si>
    <t>Courses URL deep link</t>
  </si>
  <si>
    <t>https://www.linkedin.com/learning/advanced-grammar?u=42275329&amp;auth=true</t>
  </si>
  <si>
    <t>https://www.linkedin.com/learning/editing-mastery-how-to-edit-writing-to-perfection?u=42275329&amp;auth=true</t>
  </si>
  <si>
    <t>https://www.linkedin.com/learning/business-writing-principles?u=42275329&amp;auth=true</t>
  </si>
  <si>
    <t>https://www.linkedin.com/learning/business-writing-strategies?u=42275329&amp;auth=true</t>
  </si>
  <si>
    <t>https://www.linkedin.com/learning/editing-and-proofreading-made-simple/welcome?u=42275329&amp;auth=true</t>
  </si>
  <si>
    <t>https://www.linkedin.com/learning/productivity-hacks-for-writers?u=42275329&amp;auth=true</t>
  </si>
  <si>
    <t>https://www.linkedin.com/learning/writing-a-business-case?u=42275329&amp;auth=true</t>
  </si>
  <si>
    <t>https://www.linkedin.com/learning/writing-a-compelling-blog-post?u=42275329&amp;auth=true</t>
  </si>
  <si>
    <t>https://www.linkedin.com/learning/writing-email?u=42275329&amp;auth=true</t>
  </si>
  <si>
    <t>https://www.linkedin.com/learning/writing-formal-business-letters-and-emails?u=42275329&amp;auth=true</t>
  </si>
  <si>
    <t>https://www.linkedin.com/learning/writing-in-plain-english?u=42275329&amp;auth=true</t>
  </si>
  <si>
    <t>https://www.linkedin.com/learning/writing-recommendations?u=42275329&amp;auth=true</t>
  </si>
  <si>
    <t>https://www.linkedin.com/learning/writing-speeches?u=42275329&amp;auth=true</t>
  </si>
  <si>
    <t>https://www.linkedin.com/learning/writing-under-a-deadline?u=42275329&amp;auth=true</t>
  </si>
  <si>
    <t>https://www.linkedin.com/learning/writing-with-flair-how-to-become-an-exceptional-writer?u=42275329&amp;auth=true</t>
  </si>
  <si>
    <t>https://www.linkedin.com/learning/writing-with-impact?u=42275329&amp;auth=true</t>
  </si>
  <si>
    <t>https://www.linkedin.com/learning/writing-the-craft-of-story?u=42275329&amp;auth=true</t>
  </si>
  <si>
    <t>https://www.linkedin.com/learning/learning-to-write-for-the-web?u=42275329&amp;auth=true</t>
  </si>
  <si>
    <t>https://www.linkedin.com/learning/note-taking-for-business-professionals?u=42275329&amp;auth=true</t>
  </si>
  <si>
    <t>https://www.linkedin.com/learning/technical-writing-reports?u=42275329&amp;auth=true</t>
  </si>
  <si>
    <t>https://www.linkedin.com/learning/writing-a-research-paper?u=42275329&amp;auth=true</t>
  </si>
  <si>
    <t>https://www.linkedin.com/learning/writing-articles?u=42275329&amp;auth=true</t>
  </si>
  <si>
    <t>https://www.linkedin.com/learning/writing-case-studies?u=42275329&amp;auth=true</t>
  </si>
  <si>
    <t>https://www.linkedin.com/learning/writing-white-papers?u=42275329&amp;auth=true</t>
  </si>
  <si>
    <t>https://www.linkedin.com/learning/technical-writing-quick-start-guides?u=42275329&amp;auth=true</t>
  </si>
  <si>
    <t>https://www.linkedin.com/learning/writing-a-business-report?u=42275329&amp;auth=true</t>
  </si>
  <si>
    <t>https://www.linkedin.com/learning/writing-a-proposal?u=42275329&amp;auth=true</t>
  </si>
  <si>
    <t>https://www.linkedin.com/learning/ninja-writing-the-four-levels-of-writing-mastery?u=42275329&amp;auth=true</t>
  </si>
  <si>
    <t>https://www.linkedin.com/learning/writing-headlines?u=42275329&amp;auth=true</t>
  </si>
  <si>
    <t>https://www.linkedin.com/learning/collaboration-principles-and-process?u=42275329&amp;auth=true</t>
  </si>
  <si>
    <t>https://www.linkedin.com/learning/communicating-with-empathy?u=42275329&amp;auth=true</t>
  </si>
  <si>
    <t>https://www.linkedin.com/learning/communication-within-teams?u=42275329&amp;auth=true</t>
  </si>
  <si>
    <t>https://www.linkedin.com/learning/developing-self-awareness?u=42275329&amp;auth=true</t>
  </si>
  <si>
    <t>https://www.linkedin.com/learning/developing-your-emotional-intelligence?u=42275329&amp;auth=true</t>
  </si>
  <si>
    <t>https://www.linkedin.com/learning/developing-your-professional-image/the-resilience-mindset?u=42275329&amp;auth=true</t>
  </si>
  <si>
    <t>https://www.linkedin.com/learning/effective-listening?u=42275329&amp;auth=true</t>
  </si>
  <si>
    <t>https://www.linkedin.com/learning/interpersonal-communication/welcome?u=42275329&amp;auth=true</t>
  </si>
  <si>
    <t>https://www.linkedin.com/learning/leading-inclusive-teams?u=42275329&amp;auth=true</t>
  </si>
  <si>
    <t>https://www.linkedin.com/learning/professional-networking?u=42275329&amp;auth=true</t>
  </si>
  <si>
    <t>https://www.linkedin.com/learning/teamwork-foundations?u=42275329&amp;auth=true</t>
  </si>
  <si>
    <t>https://www.linkedin.com/learning/working-on-a-cross-functional-team/welcome?u=42275329&amp;auth=true</t>
  </si>
  <si>
    <t>https://www.linkedin.com/learning/being-an-effective-team-member?u=42275329&amp;auth=true</t>
  </si>
  <si>
    <t>https://www.linkedin.com/learning/building-trust-6?u=42275329&amp;auth=true</t>
  </si>
  <si>
    <t>https://www.linkedin.com/learning/collaborative-design-managing-a-team?u=42275329&amp;auth=true</t>
  </si>
  <si>
    <t>https://www.linkedin.com/learning/giving-and-receiving-feedback?u=42275329&amp;auth=true</t>
  </si>
  <si>
    <t>https://www.linkedin.com/learning/improving-your-listening-skills?u=42275329&amp;auth=true</t>
  </si>
  <si>
    <t>https://www.linkedin.com/learning/business-collaboration-in-the-modern-workplace/conversational-tools-email-and-chat?u=42275329&amp;auth=true</t>
  </si>
  <si>
    <t>https://www.linkedin.com/learning/communicating-with-diplomacy-and-tact?u=42275329&amp;auth=true</t>
  </si>
  <si>
    <t>https://www.linkedin.com/learning/employee-experience?u=42275329&amp;auth=true</t>
  </si>
  <si>
    <t>https://www.linkedin.com/learning/facilitation-skills-for-managers-and-leaders?u=42275329&amp;auth=true</t>
  </si>
  <si>
    <t>https://www.linkedin.com/learning/inclusive-leadership?u=42275329&amp;auth=true</t>
  </si>
  <si>
    <t>https://www.linkedin.com/learning/paths/fostering-collaboration?u=42275329&amp;auth=true</t>
  </si>
  <si>
    <t>https://www.linkedin.com/learning/paths/improve-your-teamwork-skills?u=42275329&amp;auth=true</t>
  </si>
  <si>
    <t>https://www.linkedin.com/learning/creating-a-culture-of-change?u=42275329&amp;auth=true</t>
  </si>
  <si>
    <t>https://www.linkedin.com/learning/aaron-dignan-on-transformational-change?u=42275329&amp;auth=true</t>
  </si>
  <si>
    <t>https://www.linkedin.com/learning/business-innovation-foundations?u=42275329&amp;auth=true</t>
  </si>
  <si>
    <t>https://www.linkedin.com/learning/embracing-unexpected-change?u=42275329&amp;auth=true</t>
  </si>
  <si>
    <t>https://www.linkedin.com/learning/gary-hamel-on-busting-bureaucracy?u=42275329&amp;auth=true</t>
  </si>
  <si>
    <t>https://www.linkedin.com/learning/performing-under-pressure?u=42275329&amp;auth=true</t>
  </si>
  <si>
    <t>https://www.linkedin.com/learning/unlock-your-team-s-creativity?u=42275329&amp;auth=true</t>
  </si>
  <si>
    <t>https://www.linkedin.com/learning/developing-adaptable-employees?u=42275329&amp;auth=true</t>
  </si>
  <si>
    <t>https://www.linkedin.com/learning/handling-workplace-change-as-an-employee?u=42275329&amp;auth=true</t>
  </si>
  <si>
    <t>https://www.linkedin.com/learning/managing-stress-for-positive-change/how-to-use-this-course?u=42275329&amp;auth=true</t>
  </si>
  <si>
    <t>https://www.linkedin.com/learning/adaptive-project-leadership/adaptive-thinking-in-practice?u=42275329&amp;auth=true</t>
  </si>
  <si>
    <t>https://www.linkedin.com/learning/change-management-foundations/welcome?u=42275329&amp;auth=true</t>
  </si>
  <si>
    <t>https://www.linkedin.com/learning/communicating-in-times-of-change/welcome?u=42275329&amp;auth=true</t>
  </si>
  <si>
    <t>https://www.linkedin.com/learning/creating-a-culture-of-learning?u=42275329&amp;auth=true</t>
  </si>
  <si>
    <t>https://www.linkedin.com/learning/developing-adaptability-as-a-manager/predicting-and-planning-amidst-uncertainty?u=42275329&amp;auth=true</t>
  </si>
  <si>
    <t>https://www.linkedin.com/learning/developing-adaptable-managers?u=42275329&amp;auth=true</t>
  </si>
  <si>
    <t>https://www.linkedin.com/learning/embracing-change?u=42275329&amp;auth=true</t>
  </si>
  <si>
    <t>https://www.linkedin.com/learning/leaders-make-your-teams-more-agile-creative-and-united?u=42275329&amp;auth=true</t>
  </si>
  <si>
    <t>https://www.linkedin.com/learning/leading-your-team-through-change?u=42275329&amp;auth=true</t>
  </si>
  <si>
    <t>https://www.linkedin.com/learning/managing-organizational-change-for-managers?u=42275329&amp;auth=true</t>
  </si>
  <si>
    <t>https://www.linkedin.com/learning/organizational-learning-and-development?u=42275329&amp;auth=true</t>
  </si>
  <si>
    <t>https://www.linkedin.com/learning/taking-charge-of-technology-for-maximum-productivity/creativity?u=42275329&amp;auth=true</t>
  </si>
  <si>
    <t>https://www.linkedin.com/learning/your-l-d-organization-as-a-competitive-advantage/flexibility-and-adaptability?u=42275329&amp;auth=true</t>
  </si>
  <si>
    <t>https://www.linkedin.com/learning/paths/linkedin-managing-change?u=42275329&amp;auth=true</t>
  </si>
  <si>
    <t>https://www.linkedin.com/learning/creating-a-culture-of-service?u=42275329&amp;auth=true</t>
  </si>
  <si>
    <t>https://www.linkedin.com/learning/employer-branding-to-attract-talent?u=42275329&amp;auth=true</t>
  </si>
  <si>
    <t>https://www.linkedin.com/learning/business-ethics-2019?u=42275329&amp;auth=true</t>
  </si>
  <si>
    <t>https://www.linkedin.com/learning/business-ethics?u=42275329&amp;auth=true</t>
  </si>
  <si>
    <t>https://www.linkedin.com/learning/conducting-motivational-1-on-1-reviews?u=42275329&amp;auth=true</t>
  </si>
  <si>
    <t>https://www.linkedin.com/learning/defining-and-achieving-professional-goals?u=42275329&amp;auth=true</t>
  </si>
  <si>
    <t>https://www.linkedin.com/learning/developing-your-professional-image?u=42275329&amp;auth=true</t>
  </si>
  <si>
    <t>https://www.linkedin.com/learning/managing-and-working-with-a-technical-team-for-nontechnical-professionals?u=42275329&amp;auth=true</t>
  </si>
  <si>
    <t>https://www.linkedin.com/learning/fred-kofman-on-accountability?u=42275329&amp;auth=true</t>
  </si>
  <si>
    <t>https://www.linkedin.com/learning/creating-personal-connections?u=42275329&amp;auth=true</t>
  </si>
  <si>
    <t>https://www.linkedin.com/learning/business-ethics-for-sales-professionals?u=42275329&amp;auth=true</t>
  </si>
  <si>
    <t>https://www.linkedin.com/learning/ethics-and-law-in-data-analytics?u=42275329&amp;auth=true</t>
  </si>
  <si>
    <t>https://www.linkedin.com/learning/project-management-foundations-ethics-2019?u=42275329&amp;auth=true</t>
  </si>
  <si>
    <t>https://www.linkedin.com/learning/transitioning-from-technical-professional-to-manager?u=42275329&amp;auth=true</t>
  </si>
  <si>
    <t>https://www.linkedin.com/learning/business-etiquette-phone-email-and-text?u=42275329&amp;auth=true</t>
  </si>
  <si>
    <t>https://www.linkedin.com/learning/managing-brand-reputation?u=42275329&amp;auth=true</t>
  </si>
  <si>
    <t>https://www.linkedin.com/learning/holding-yourself-accountable?u=42275329&amp;auth=true</t>
  </si>
  <si>
    <t>https://www.linkedin.com/learning/administrative-professional-foundations?u=42275329&amp;auth=true</t>
  </si>
  <si>
    <t>https://www.linkedin.com/learning/business-law-for-managers?u=42275329&amp;auth=true</t>
  </si>
  <si>
    <t>https://www.linkedin.com/learning/graphic-design-for-business-professionals?u=42275329&amp;auth=true</t>
  </si>
  <si>
    <t>https://www.linkedin.com/learning/managing-technical-professionals?u=42275329&amp;auth=true</t>
  </si>
  <si>
    <t>https://www.linkedin.com/learning/performance-management-conducting-performance-reviews?u=42275329&amp;auth=true</t>
  </si>
  <si>
    <t>https://www.linkedin.com/learning/developing-a-service-mindset?u=42275329&amp;auth=true</t>
  </si>
  <si>
    <t>https://www.linkedin.com/learning/managing-teams-3?u=42275329&amp;auth=true</t>
  </si>
  <si>
    <t>https://www.linkedin.com/learning/building-business-relationships-2?u=42275329&amp;auth=true</t>
  </si>
  <si>
    <t>https://www.linkedin.com/learning/administrative-professional-weekly-tips?u=42275329&amp;auth=true</t>
  </si>
  <si>
    <t>https://www.linkedin.com/learning/business-ethics-for-managers-and-leaders-2019?u=42275329&amp;auth=true</t>
  </si>
  <si>
    <t>https://www.linkedin.com/learning/communicating-values?u=42275329&amp;auth=true</t>
  </si>
  <si>
    <t>https://www.linkedin.com/learning/setting-up-your-small-business-as-a-legal-entity?u=42275329&amp;auth=true</t>
  </si>
  <si>
    <t>https://www.linkedin.com/learning/building-accountability-into-your-culture?u=42275329&amp;auth=true</t>
  </si>
  <si>
    <t>https://www.linkedin.com/learning/managing-a-cross-functional-team?u=42275329&amp;auth=true</t>
  </si>
  <si>
    <t>https://www.linkedin.com/learning/leading-through-relationships?u=42275329&amp;auth=true</t>
  </si>
  <si>
    <t>https://www.linkedin.com/learning/dream-teams-working-together-without-falling-apart-blinkist?u=42275329&amp;auth=true</t>
  </si>
  <si>
    <t>https://www.linkedin.com/learning/paths/master-in-demand-professional-soft-skills?u=42275329&amp;auth=true</t>
  </si>
  <si>
    <t>https://www.linkedin.com/learning/paths/become-an-administrative-professional?u=42275329&amp;auth=true</t>
  </si>
  <si>
    <t>https://www.linkedin.com/learning/paths/digital-transformation-for-leaders?u=42275329&amp;auth=true</t>
  </si>
  <si>
    <t>https://www.linkedin.com/learning/paths/become-an-ld-professional?u=42275329&amp;auth=true</t>
  </si>
  <si>
    <t>https://www.linkedin.com/learning/paths/improve-your-interoffice-politics-skills?u=42275329&amp;auth=true</t>
  </si>
  <si>
    <t>https://www.linkedin.com/learning/disrupting-yourself?u=42275329&amp;auth=true</t>
  </si>
  <si>
    <t>https://www.linkedin.com/learning/giving-your-elevator-pitch?u=42275329&amp;auth=true</t>
  </si>
  <si>
    <t>https://www.linkedin.com/learning/learning-to-be-assertive?u=42275329&amp;auth=true</t>
  </si>
  <si>
    <t>https://www.linkedin.com/learning/working-remotely-2015?u=42275329&amp;auth=true</t>
  </si>
  <si>
    <t>https://www.linkedin.com/learning/j-t-o-donnell-on-making-recruiters-come-to-you?u=42275329&amp;auth=true</t>
  </si>
  <si>
    <t>https://www.linkedin.com/learning/job-hunting-for-college-grads?u=42275329&amp;auth=true</t>
  </si>
  <si>
    <t>https://www.linkedin.com/learning/finding-a-remote-job?u=42275329&amp;auth=true</t>
  </si>
  <si>
    <t>https://www.linkedin.com/learning/mastering-common-interview-questions?u=42275329&amp;auth=true</t>
  </si>
  <si>
    <t>https://www.linkedin.com/learning/recovering-from-a-layoff?u=42275329&amp;auth=true</t>
  </si>
  <si>
    <t>https://www.linkedin.com/learning/repairing-your-reputation?u=42275329&amp;auth=true</t>
  </si>
  <si>
    <t>https://www.linkedin.com/learning/succeeding-in-a-new-job?u=42275329&amp;auth=true</t>
  </si>
  <si>
    <t>https://www.linkedin.com/learning/transitioning-out-of-your-job?u=42275329&amp;auth=true</t>
  </si>
  <si>
    <t>https://www.linkedin.com/learning/florent-groberg-on-finding-your-purpose-after-active-duty?u=42275329&amp;auth=true</t>
  </si>
  <si>
    <t>https://www.linkedin.com/learning/finding-a-sponsor?u=42275329&amp;auth=true</t>
  </si>
  <si>
    <t>https://www.linkedin.com/learning/understanding-your-compensation-and-benefits?u=42275329&amp;auth=true</t>
  </si>
  <si>
    <t>https://www.linkedin.com/learning/learning-to-be-promotable?u=42275329&amp;auth=true</t>
  </si>
  <si>
    <t>https://www.linkedin.com/learning/taking-charge-of-your-career?u=42275329&amp;auth=true</t>
  </si>
  <si>
    <t>https://www.linkedin.com/learning/internal-interviewing?u=42275329&amp;auth=true</t>
  </si>
  <si>
    <t>https://www.linkedin.com/learning/making-a-career-change?u=42275329&amp;auth=true</t>
  </si>
  <si>
    <t>https://www.linkedin.com/learning/having-an-honest-career-conversation-with-your-boss?u=42275329&amp;auth=true</t>
  </si>
  <si>
    <t>https://www.linkedin.com/learning/building-a-flexible-career?u=42275329&amp;auth=true</t>
  </si>
  <si>
    <t>https://www.linkedin.com/learning/how-to-quit-your-job-the-right-way?u=42275329&amp;auth=true</t>
  </si>
  <si>
    <t>https://www.linkedin.com/learning/working-remotely-2?u=42275329&amp;auth=true</t>
  </si>
  <si>
    <t>https://www.linkedin.com/learning/asking-for-a-raise?u=42275329&amp;auth=true</t>
  </si>
  <si>
    <t>https://www.linkedin.com/learning/managing-career-burnout?u=42275329&amp;auth=true</t>
  </si>
  <si>
    <t>https://www.linkedin.com/learning/how-to-be-promotable?u=42275329&amp;auth=true</t>
  </si>
  <si>
    <t>https://www.linkedin.com/learning/how-to-give-negative-feedback-to-senior-colleagues?u=42275329&amp;auth=true</t>
  </si>
  <si>
    <t>https://www.linkedin.com/learning/how-to-get-a-pay-raise?u=42275329&amp;auth=true</t>
  </si>
  <si>
    <t>https://www.linkedin.com/learning/returning-to-work-after-family-leave?u=42275329&amp;auth=true</t>
  </si>
  <si>
    <t>https://www.linkedin.com/learning/employee-to-entrepreneur?u=42275329&amp;auth=true</t>
  </si>
  <si>
    <t>https://www.linkedin.com/learning/marci-alboher-on-encore-careers?u=42275329&amp;auth=true</t>
  </si>
  <si>
    <t>https://www.linkedin.com/learning/career-advice-from-some-of-the-biggest-names-in-business?u=42275329&amp;auth=true</t>
  </si>
  <si>
    <t>https://www.linkedin.com/learning/become-a-chief-of-staff-with-brian-rumao?u=42275329&amp;auth=true</t>
  </si>
  <si>
    <t>https://www.linkedin.com/learning/turning-an-internship-into-a-job?u=42275329&amp;auth=true</t>
  </si>
  <si>
    <t>https://www.linkedin.com/learning/finding-a-job?u=42275329&amp;auth=true</t>
  </si>
  <si>
    <t>https://www.linkedin.com/learning/managing-your-career-early-career?u=42275329&amp;auth=true</t>
  </si>
  <si>
    <t>https://www.linkedin.com/learning/how-to-develop-your-career-plan?u=42275329&amp;auth=true</t>
  </si>
  <si>
    <t>https://www.linkedin.com/learning/what-to-do-in-the-first-90-days-of-your-new-job?u=42275329&amp;auth=true</t>
  </si>
  <si>
    <t>https://www.linkedin.com/learning/women-transforming-tech-voices-from-the-field?u=42275329&amp;auth=true</t>
  </si>
  <si>
    <t>https://www.linkedin.com/learning/take-a-holistic-approach-to-advancing-your-career?u=42275329&amp;auth=true</t>
  </si>
  <si>
    <t>https://www.linkedin.com/learning/preparing-for-your-review-2?u=42275329&amp;auth=true</t>
  </si>
  <si>
    <t>https://www.linkedin.com/learning/rocking-your-first-retail-sales-job?u=42275329&amp;auth=true</t>
  </si>
  <si>
    <t>https://www.linkedin.com/learning/managing-your-career-as-an-introvert?u=42275329&amp;auth=true</t>
  </si>
  <si>
    <t>https://www.linkedin.com/learning/building-professional-relationships?u=42275329&amp;auth=true</t>
  </si>
  <si>
    <t>https://www.linkedin.com/learning/work-stories-experiences-that-influence-careers?u=42275329&amp;auth=true</t>
  </si>
  <si>
    <t>https://www.linkedin.com/learning/linkedin-learning-highlights-finding-a-job-and-managing-your-career?u=42275329&amp;auth=true</t>
  </si>
  <si>
    <t>https://www.linkedin.com/learning/negotiating-your-salary-2?u=42275329&amp;auth=true</t>
  </si>
  <si>
    <t>https://www.linkedin.com/learning/working-as-a-contract-or-temporary-employee?u=42275329&amp;auth=true</t>
  </si>
  <si>
    <t>https://www.linkedin.com/learning/being-your-own-fierce-self-advocate?u=42275329&amp;auth=true</t>
  </si>
  <si>
    <t>https://www.linkedin.com/learning/managing-up-down-and-across-the-organization?u=42275329&amp;auth=true</t>
  </si>
  <si>
    <t>https://www.linkedin.com/learning/working-with-an-executive-coach?u=42275329&amp;auth=true</t>
  </si>
  <si>
    <t>https://www.linkedin.com/learning/women-helping-women-succeed-in-the-workplace?u=42275329&amp;auth=true</t>
  </si>
  <si>
    <t>https://www.linkedin.com/learning/critical-roles-consultants-play-and-the-skills-you-need-to-fill-them?u=42275329&amp;auth=true</t>
  </si>
  <si>
    <t>https://www.linkedin.com/learning/leadership-strategies-for-women?u=42275329&amp;auth=true</t>
  </si>
  <si>
    <t>https://www.linkedin.com/learning/extreme-productivity-blinkist?u=42275329&amp;auth=true</t>
  </si>
  <si>
    <t>https://www.linkedin.com/learning/pivot-the-only-move-that-matters-is-your-next-one-blinkist?u=42275329&amp;auth=true</t>
  </si>
  <si>
    <t>https://www.linkedin.com/learning/paths/become-a-successful-job-hunter?u=42275329&amp;auth=true</t>
  </si>
  <si>
    <t>https://www.linkedin.com/learning/paths/transition-from-military-to-civilian-employment?u=42275329&amp;auth=true</t>
  </si>
  <si>
    <t>https://www.linkedin.com/learning/paths/advance-your-skills-as-an-individual-contributor?u=42275329&amp;auth=true</t>
  </si>
  <si>
    <t>https://www.linkedin.com/learning/paths/become-a-successful-remote-worker?u=42275329&amp;auth=true</t>
  </si>
  <si>
    <t>https://www.linkedin.com/learning/global-strategy?u=42275329&amp;auth=true</t>
  </si>
  <si>
    <t>https://www.linkedin.com/learning/leading-globally?u=42275329&amp;auth=true</t>
  </si>
  <si>
    <t>https://www.linkedin.com/learning/bystander-training-from-bystander-to-upstander?u=42275329&amp;auth=true</t>
  </si>
  <si>
    <t>https://www.linkedin.com/learning/cultivating-cultural-competence-and-inclusion?u=42275329&amp;auth=true</t>
  </si>
  <si>
    <t>https://www.linkedin.com/learning/fighting-gender-bias-at-work?u=42275329&amp;auth=true</t>
  </si>
  <si>
    <t>https://www.linkedin.com/learning/preventing-harassment-in-the-workplace?u=42275329&amp;auth=true</t>
  </si>
  <si>
    <t>https://www.linkedin.com/learning/skills-for-inclusive-conversations?u=42275329&amp;auth=true</t>
  </si>
  <si>
    <t>https://www.linkedin.com/learning/communicating-across-cultures-2?u=42275329&amp;auth=true</t>
  </si>
  <si>
    <t>https://www.linkedin.com/learning/confronting-bias-thriving-across-our-differences?u=42275329&amp;auth=true</t>
  </si>
  <si>
    <t>https://www.linkedin.com/learning/creating-change-diversity-and-inclusion-in-the-tech-industry?u=42275329&amp;auth=true</t>
  </si>
  <si>
    <t>https://www.linkedin.com/learning/developing-cross-cultural-intelligence?u=42275329&amp;auth=true</t>
  </si>
  <si>
    <t>https://www.linkedin.com/learning/diversity-and-inclusion-in-a-global-enterprise?u=42275329&amp;auth=true</t>
  </si>
  <si>
    <t>https://www.linkedin.com/learning/diversity-inclusion-and-belonging/welcome?u=42275329&amp;auth=true</t>
  </si>
  <si>
    <t>https://www.linkedin.com/learning/diversity-the-best-resource-for-achieving-business-goals?u=42275329&amp;auth=true</t>
  </si>
  <si>
    <t>https://www.linkedin.com/learning/teaching-civility-in-the-workplace?u=42275329&amp;auth=true</t>
  </si>
  <si>
    <t>https://www.linkedin.com/learning/multinational-communication-in-the-workplace?u=42275329&amp;auth=true</t>
  </si>
  <si>
    <t>https://www.linkedin.com/learning/communicating-about-culturally-sensitive-issues?u=42275329&amp;auth=true</t>
  </si>
  <si>
    <t>https://www.linkedin.com/learning/managing-a-multigenerational-workforce?u=42275329&amp;auth=true</t>
  </si>
  <si>
    <t>https://www.linkedin.com/learning/managing-diversity-2?u=42275329&amp;auth=true</t>
  </si>
  <si>
    <t>https://www.linkedin.com/learning/managing-multiple-generations?u=42275329&amp;auth=true</t>
  </si>
  <si>
    <t>https://www.linkedin.com/learning/unconscious-bias?u=42275329&amp;auth=true</t>
  </si>
  <si>
    <t>https://www.linkedin.com/learning/managing-a-diverse-team?u=42275329&amp;auth=true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</si>
</sst>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20" x14ac:knownFonts="1">
    <font>
      <sz val="10"/>
      <color rgb="FF000000"/>
      <name val="Arial"/>
    </font>
    <font>
      <b/>
      <sz val="15"/>
      <color rgb="FFFFFFFF"/>
      <name val="Trebuchet MS"/>
      <family val="2"/>
    </font>
    <font>
      <sz val="10"/>
      <name val="Arial"/>
      <family val="2"/>
    </font>
    <font>
      <b/>
      <sz val="13"/>
      <color rgb="FF434343"/>
      <name val="Trebuchet MS"/>
      <family val="2"/>
    </font>
    <font>
      <sz val="12"/>
      <color rgb="FF666666"/>
      <name val="Trebuchet MS"/>
      <family val="2"/>
    </font>
    <font>
      <b/>
      <sz val="11"/>
      <color rgb="FF0563C1"/>
      <name val="Arial"/>
      <family val="2"/>
    </font>
    <font>
      <sz val="11"/>
      <color rgb="FF434343"/>
      <name val="Trebuchet MS"/>
      <family val="2"/>
    </font>
    <font>
      <u/>
      <sz val="11"/>
      <color rgb="FF434343"/>
      <name val="Trebuchet MS"/>
      <family val="2"/>
    </font>
    <font>
      <u/>
      <sz val="11"/>
      <color rgb="FF434343"/>
      <name val="Trebuchet MS"/>
      <family val="2"/>
    </font>
    <font>
      <b/>
      <sz val="11"/>
      <color rgb="FF434343"/>
      <name val="Trebuchet MS"/>
      <family val="2"/>
    </font>
    <font>
      <sz val="10"/>
      <color rgb="FFF3F3F3"/>
      <name val="Trebuchet MS"/>
      <family val="2"/>
    </font>
    <font>
      <u/>
      <sz val="13"/>
      <color rgb="FF434343"/>
      <name val="Trebuchet MS"/>
      <family val="2"/>
    </font>
    <font>
      <u/>
      <sz val="13"/>
      <color rgb="FF434343"/>
      <name val="Trebuchet MS"/>
      <family val="2"/>
    </font>
    <font>
      <sz val="11"/>
      <color rgb="FF000000"/>
      <name val="Calibri"/>
      <family val="2"/>
    </font>
    <font>
      <b/>
      <sz val="18"/>
      <color theme="0"/>
      <name val="Arial"/>
      <family val="2"/>
    </font>
    <font>
      <sz val="12"/>
      <color rgb="FF666666"/>
      <name val="Trebuchet MS"/>
      <family val="2"/>
    </font>
    <font>
      <b/>
      <sz val="11"/>
      <color rgb="FF0563C1"/>
      <name val="Trebuchet MS"/>
      <family val="2"/>
    </font>
    <font>
      <b/>
      <sz val="11"/>
      <color rgb="FFFFFFFF"/>
      <name val="Trebuchet MS"/>
      <family val="2"/>
    </font>
    <font>
      <sz val="11"/>
      <color rgb="FF000000"/>
      <name val="Trebuchet MS"/>
      <family val="2"/>
    </font>
    <font>
      <sz val="11"/>
      <color rgb="FF666666"/>
      <name val="Trebuchet MS"/>
      <family val="2"/>
    </font>
  </fonts>
  <fills count="8">
    <fill>
      <patternFill patternType="none"/>
    </fill>
    <fill>
      <patternFill patternType="gray125"/>
    </fill>
    <fill>
      <patternFill patternType="solid">
        <fgColor rgb="FFB7B7B7"/>
        <bgColor rgb="FFB7B7B7"/>
      </patternFill>
    </fill>
    <fill>
      <patternFill patternType="solid">
        <fgColor rgb="FFD9D9D9"/>
        <bgColor rgb="FFD9D9D9"/>
      </patternFill>
    </fill>
    <fill>
      <patternFill patternType="solid">
        <fgColor rgb="FF9FC5E8"/>
        <bgColor rgb="FF9FC5E8"/>
      </patternFill>
    </fill>
    <fill>
      <patternFill patternType="solid">
        <fgColor rgb="FFEFEFEF"/>
        <bgColor rgb="FFEFEFEF"/>
      </patternFill>
    </fill>
    <fill>
      <patternFill patternType="solid">
        <fgColor rgb="FF6AA84F"/>
        <bgColor rgb="FF6AA84F"/>
      </patternFill>
    </fill>
    <fill>
      <patternFill patternType="solid">
        <fgColor theme="2" tint="-9.9978637043366805E-2"/>
        <bgColor indexed="64"/>
      </patternFill>
    </fill>
  </fills>
  <borders count="10">
    <border>
      <left/>
      <right/>
      <top/>
      <bottom/>
      <diagonal/>
    </border>
    <border>
      <left style="thin">
        <color rgb="FFD9D9D9"/>
      </left>
      <right style="thin">
        <color rgb="FFD9D9D9"/>
      </right>
      <top style="thin">
        <color rgb="FFD9D9D9"/>
      </top>
      <bottom style="thin">
        <color rgb="FFD9D9D9"/>
      </bottom>
      <diagonal/>
    </border>
    <border>
      <left/>
      <right/>
      <top style="thin">
        <color rgb="FFD9D9D9"/>
      </top>
      <bottom style="thin">
        <color rgb="FFD9D9D9"/>
      </bottom>
      <diagonal/>
    </border>
    <border>
      <left/>
      <right/>
      <top style="thin">
        <color rgb="FFD9D9D9"/>
      </top>
      <bottom/>
      <diagonal/>
    </border>
    <border>
      <left/>
      <right/>
      <top/>
      <bottom style="thin">
        <color rgb="FFD9D9D9"/>
      </bottom>
      <diagonal/>
    </border>
    <border>
      <left/>
      <right style="thin">
        <color rgb="FFD9D9D9"/>
      </right>
      <top/>
      <bottom style="thin">
        <color rgb="FFD9D9D9"/>
      </bottom>
      <diagonal/>
    </border>
    <border>
      <left/>
      <right style="thick">
        <color rgb="FFD9D9D9"/>
      </right>
      <top/>
      <bottom/>
      <diagonal/>
    </border>
    <border>
      <left style="thin">
        <color rgb="FFD9D9D9"/>
      </left>
      <right/>
      <top style="thin">
        <color rgb="FFD9D9D9"/>
      </top>
      <bottom style="thin">
        <color rgb="FFD9D9D9"/>
      </bottom>
      <diagonal/>
    </border>
    <border>
      <left/>
      <right style="thin">
        <color rgb="FFD9D9D9"/>
      </right>
      <top style="thin">
        <color rgb="FFD9D9D9"/>
      </top>
      <bottom style="thin">
        <color rgb="FFD9D9D9"/>
      </bottom>
      <diagonal/>
    </border>
    <border>
      <left style="thin">
        <color rgb="FFD9D9D9"/>
      </left>
      <right/>
      <top/>
      <bottom style="thin">
        <color rgb="FFD9D9D9"/>
      </bottom>
      <diagonal/>
    </border>
  </borders>
  <cellStyleXfs count="1">
    <xf numFmtId="0" fontId="0" fillId="0" borderId="0"/>
  </cellStyleXfs>
  <cellXfs count="68">
    <xf numFmtId="0" fontId="0" fillId="0" borderId="0" xfId="0" applyFont="1" applyAlignment="1"/>
    <xf numFmtId="0" fontId="1" fillId="2" borderId="0" xfId="0" applyFont="1" applyFill="1" applyAlignment="1">
      <alignment horizontal="center" vertical="center" wrapText="1"/>
    </xf>
    <xf numFmtId="0" fontId="5" fillId="5" borderId="1" xfId="0" applyFont="1" applyFill="1" applyBorder="1" applyAlignment="1">
      <alignment horizontal="center" vertical="center"/>
    </xf>
    <xf numFmtId="0" fontId="6" fillId="0" borderId="1" xfId="0" applyFont="1" applyBorder="1" applyAlignment="1">
      <alignment horizontal="center" vertical="center" wrapText="1"/>
    </xf>
    <xf numFmtId="0" fontId="7" fillId="0" borderId="1" xfId="0" applyFont="1" applyBorder="1" applyAlignment="1">
      <alignment horizontal="left" vertical="center" wrapText="1"/>
    </xf>
    <xf numFmtId="0" fontId="8" fillId="0" borderId="1" xfId="0" applyFont="1" applyBorder="1" applyAlignment="1">
      <alignment vertical="center" wrapText="1"/>
    </xf>
    <xf numFmtId="0" fontId="6" fillId="3" borderId="1" xfId="0" applyFont="1" applyFill="1" applyBorder="1" applyAlignment="1">
      <alignment vertical="center" wrapText="1"/>
    </xf>
    <xf numFmtId="0" fontId="6" fillId="0" borderId="1" xfId="0" applyFont="1" applyBorder="1" applyAlignment="1">
      <alignment vertical="center" wrapText="1"/>
    </xf>
    <xf numFmtId="0" fontId="9" fillId="6" borderId="0" xfId="0" applyFont="1" applyFill="1" applyAlignment="1">
      <alignment horizontal="center" vertical="center" wrapText="1"/>
    </xf>
    <xf numFmtId="0" fontId="6" fillId="6" borderId="1" xfId="0" applyFont="1" applyFill="1" applyBorder="1" applyAlignment="1">
      <alignment vertical="center" wrapText="1"/>
    </xf>
    <xf numFmtId="0" fontId="9" fillId="6" borderId="0" xfId="0" applyFont="1" applyFill="1" applyAlignment="1">
      <alignment horizontal="left" vertical="center" wrapText="1"/>
    </xf>
    <xf numFmtId="0" fontId="9" fillId="6" borderId="6" xfId="0" applyFont="1" applyFill="1" applyBorder="1" applyAlignment="1">
      <alignment horizontal="left" vertical="center" wrapText="1"/>
    </xf>
    <xf numFmtId="0" fontId="10" fillId="0" borderId="0" xfId="0" applyFont="1" applyAlignment="1">
      <alignment horizontal="left" vertical="center" wrapText="1"/>
    </xf>
    <xf numFmtId="0" fontId="6" fillId="0" borderId="1" xfId="0" applyFont="1" applyBorder="1" applyAlignment="1">
      <alignment vertical="center" wrapText="1"/>
    </xf>
    <xf numFmtId="0" fontId="10" fillId="0" borderId="0" xfId="0" applyFont="1" applyAlignment="1">
      <alignment horizontal="left" vertical="center" wrapText="1"/>
    </xf>
    <xf numFmtId="0" fontId="10" fillId="0" borderId="0" xfId="0" applyFont="1" applyAlignment="1">
      <alignment horizontal="left" vertical="center" wrapText="1"/>
    </xf>
    <xf numFmtId="0" fontId="6" fillId="0" borderId="1" xfId="0" applyFont="1" applyBorder="1" applyAlignment="1">
      <alignment horizontal="left" vertical="center" wrapText="1"/>
    </xf>
    <xf numFmtId="164" fontId="6" fillId="0" borderId="1" xfId="0" applyNumberFormat="1" applyFont="1" applyBorder="1" applyAlignment="1">
      <alignment horizontal="center" vertical="center" wrapText="1"/>
    </xf>
    <xf numFmtId="49" fontId="6" fillId="0" borderId="1" xfId="0" applyNumberFormat="1" applyFont="1" applyBorder="1" applyAlignment="1">
      <alignment horizontal="center" vertical="center" wrapText="1"/>
    </xf>
    <xf numFmtId="0" fontId="0" fillId="0" borderId="0" xfId="0" applyFont="1" applyAlignment="1"/>
    <xf numFmtId="0" fontId="0" fillId="0" borderId="0" xfId="0" applyFont="1" applyAlignment="1">
      <alignment vertical="center"/>
    </xf>
    <xf numFmtId="0" fontId="13" fillId="0" borderId="0" xfId="0" applyFont="1" applyAlignment="1">
      <alignment vertical="center"/>
    </xf>
    <xf numFmtId="0" fontId="13" fillId="0" borderId="3" xfId="0" applyFont="1" applyBorder="1" applyAlignment="1">
      <alignment horizontal="left" vertical="center" wrapText="1"/>
    </xf>
    <xf numFmtId="0" fontId="0" fillId="0" borderId="0" xfId="0" applyFont="1" applyAlignment="1">
      <alignment horizontal="left" vertical="center" wrapText="1"/>
    </xf>
    <xf numFmtId="0" fontId="5" fillId="5" borderId="7" xfId="0" applyFont="1" applyFill="1" applyBorder="1" applyAlignment="1">
      <alignment horizontal="left" vertical="center"/>
    </xf>
    <xf numFmtId="0" fontId="13" fillId="0" borderId="0" xfId="0" applyFont="1" applyAlignment="1">
      <alignment horizontal="left" vertical="center" wrapText="1"/>
    </xf>
    <xf numFmtId="0" fontId="0" fillId="0" borderId="0" xfId="0" applyFont="1" applyAlignment="1">
      <alignment horizontal="left" vertical="center"/>
    </xf>
    <xf numFmtId="0" fontId="0" fillId="0" borderId="0" xfId="0" applyFont="1" applyAlignment="1">
      <alignment horizontal="center" vertical="center"/>
    </xf>
    <xf numFmtId="0" fontId="0" fillId="0" borderId="0" xfId="0" applyFont="1" applyAlignment="1"/>
    <xf numFmtId="0" fontId="0" fillId="0" borderId="0" xfId="0" applyFont="1" applyAlignment="1">
      <alignment wrapText="1"/>
    </xf>
    <xf numFmtId="0" fontId="5" fillId="5" borderId="1" xfId="0" applyFont="1" applyFill="1" applyBorder="1" applyAlignment="1">
      <alignment horizontal="center" vertical="center" wrapText="1"/>
    </xf>
    <xf numFmtId="0" fontId="8" fillId="0" borderId="1" xfId="0" applyFont="1" applyBorder="1" applyAlignment="1">
      <alignment vertical="center"/>
    </xf>
    <xf numFmtId="0" fontId="8" fillId="0" borderId="7" xfId="0" applyFont="1" applyBorder="1" applyAlignment="1">
      <alignment vertical="center" wrapText="1"/>
    </xf>
    <xf numFmtId="0" fontId="7" fillId="0" borderId="7" xfId="0" applyFont="1" applyBorder="1" applyAlignment="1">
      <alignment vertical="center" wrapText="1"/>
    </xf>
    <xf numFmtId="0" fontId="8" fillId="0" borderId="2" xfId="0" applyFont="1" applyBorder="1" applyAlignment="1">
      <alignment vertical="center" wrapText="1"/>
    </xf>
    <xf numFmtId="0" fontId="7" fillId="0" borderId="1" xfId="0" applyFont="1" applyBorder="1" applyAlignment="1">
      <alignment vertical="center" wrapText="1"/>
    </xf>
    <xf numFmtId="0" fontId="16" fillId="5" borderId="1" xfId="0" applyFont="1" applyFill="1" applyBorder="1" applyAlignment="1">
      <alignment horizontal="center" vertical="center"/>
    </xf>
    <xf numFmtId="0" fontId="18" fillId="0" borderId="0" xfId="0" applyFont="1" applyAlignment="1"/>
    <xf numFmtId="0" fontId="18" fillId="0" borderId="0" xfId="0" applyFont="1" applyFill="1"/>
    <xf numFmtId="0" fontId="0" fillId="0" borderId="0" xfId="0" applyFont="1" applyAlignment="1"/>
    <xf numFmtId="0" fontId="3" fillId="4" borderId="0" xfId="0" applyFont="1" applyFill="1" applyAlignment="1">
      <alignment horizontal="center" vertical="center" wrapText="1"/>
    </xf>
    <xf numFmtId="0" fontId="0" fillId="0" borderId="0" xfId="0" applyFont="1" applyAlignment="1"/>
    <xf numFmtId="0" fontId="9" fillId="4" borderId="0" xfId="0" applyFont="1" applyFill="1" applyAlignment="1">
      <alignment horizontal="center" vertical="center" wrapText="1"/>
    </xf>
    <xf numFmtId="0" fontId="18" fillId="0" borderId="0" xfId="0" applyFont="1" applyAlignment="1"/>
    <xf numFmtId="0" fontId="19" fillId="0" borderId="0" xfId="0" applyFont="1" applyAlignment="1">
      <alignment horizontal="left" vertical="center" wrapText="1"/>
    </xf>
    <xf numFmtId="0" fontId="18" fillId="0" borderId="0" xfId="0" applyFont="1" applyAlignment="1">
      <alignment wrapText="1"/>
    </xf>
    <xf numFmtId="0" fontId="17" fillId="2" borderId="0" xfId="0" applyFont="1" applyFill="1" applyAlignment="1">
      <alignment horizontal="center" vertical="center" wrapText="1"/>
    </xf>
    <xf numFmtId="0" fontId="1" fillId="2" borderId="0" xfId="0" applyFont="1" applyFill="1" applyAlignment="1">
      <alignment horizontal="center" vertical="center" wrapText="1"/>
    </xf>
    <xf numFmtId="0" fontId="4" fillId="0" borderId="0" xfId="0" applyFont="1" applyAlignment="1">
      <alignment horizontal="left" vertical="center" wrapText="1"/>
    </xf>
    <xf numFmtId="0" fontId="14" fillId="7" borderId="0" xfId="0" applyFont="1" applyFill="1" applyAlignment="1">
      <alignment horizontal="center" vertical="center"/>
    </xf>
    <xf numFmtId="0" fontId="0" fillId="7" borderId="0" xfId="0" applyFont="1" applyFill="1" applyAlignment="1">
      <alignment horizontal="center" vertical="center"/>
    </xf>
    <xf numFmtId="0" fontId="15" fillId="0" borderId="0" xfId="0" applyFont="1" applyAlignment="1">
      <alignment horizontal="left" vertical="center" wrapText="1"/>
    </xf>
    <xf numFmtId="0" fontId="11" fillId="0" borderId="7" xfId="0" applyFont="1" applyBorder="1" applyAlignment="1">
      <alignment horizontal="left" vertical="center" wrapText="1"/>
    </xf>
    <xf numFmtId="0" fontId="2" fillId="0" borderId="2" xfId="0" applyFont="1" applyBorder="1"/>
    <xf numFmtId="0" fontId="2" fillId="0" borderId="8" xfId="0" applyFont="1" applyBorder="1"/>
    <xf numFmtId="0" fontId="6" fillId="0" borderId="9" xfId="0" applyFont="1" applyBorder="1" applyAlignment="1">
      <alignment wrapText="1"/>
    </xf>
    <xf numFmtId="0" fontId="2" fillId="0" borderId="4" xfId="0" applyFont="1" applyBorder="1"/>
    <xf numFmtId="0" fontId="2" fillId="0" borderId="5" xfId="0" applyFont="1" applyBorder="1"/>
    <xf numFmtId="0" fontId="6" fillId="0" borderId="9" xfId="0" applyFont="1" applyBorder="1" applyAlignment="1">
      <alignment vertical="center" wrapText="1"/>
    </xf>
    <xf numFmtId="0" fontId="12" fillId="0" borderId="7" xfId="0" applyFont="1" applyBorder="1" applyAlignment="1">
      <alignment horizontal="left" vertical="center" wrapText="1"/>
    </xf>
    <xf numFmtId="0" fontId="9" fillId="6" borderId="0" xfId="0" applyFont="1" applyFill="1" applyAlignment="1">
      <alignment horizontal="center" vertical="center" wrapText="1"/>
    </xf>
    <xf numFmtId="0" fontId="6" fillId="0" borderId="7" xfId="0" applyFont="1" applyBorder="1" applyAlignment="1">
      <alignment vertical="center" wrapText="1"/>
    </xf>
    <xf numFmtId="0" fontId="9" fillId="6" borderId="4" xfId="0" applyFont="1" applyFill="1" applyBorder="1" applyAlignment="1">
      <alignment horizontal="left" vertical="center" wrapText="1"/>
    </xf>
    <xf numFmtId="0" fontId="6" fillId="0" borderId="7" xfId="0" applyFont="1" applyBorder="1" applyAlignment="1">
      <alignment wrapText="1"/>
    </xf>
    <xf numFmtId="0" fontId="0" fillId="0" borderId="0" xfId="0" applyFont="1" applyAlignment="1">
      <alignment wrapText="1"/>
    </xf>
    <xf numFmtId="0" fontId="16" fillId="5" borderId="1" xfId="0" applyFont="1" applyFill="1" applyBorder="1" applyAlignment="1">
      <alignment horizontal="center" vertical="center" wrapText="1"/>
    </xf>
    <xf numFmtId="0" fontId="14" fillId="7" borderId="0" xfId="0" applyFont="1" applyFill="1" applyAlignment="1">
      <alignment horizontal="center" vertical="center" wrapText="1"/>
    </xf>
    <xf numFmtId="0" fontId="0" fillId="7" borderId="0" xfId="0" applyFont="1" applyFill="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https://www.linkedin.com/learning/enhancing-your-productivity" TargetMode="External"/><Relationship Id="rId13" Type="http://schemas.openxmlformats.org/officeDocument/2006/relationships/hyperlink" Target="https://www.linkedin.com/learning/learning-from-failure" TargetMode="External"/><Relationship Id="rId18" Type="http://schemas.openxmlformats.org/officeDocument/2006/relationships/hyperlink" Target="https://www.linkedin.com/learning/process-improvement-foundations" TargetMode="External"/><Relationship Id="rId26" Type="http://schemas.openxmlformats.org/officeDocument/2006/relationships/hyperlink" Target="https://www.linkedin.com/learning/executive-decision-making" TargetMode="External"/><Relationship Id="rId3" Type="http://schemas.openxmlformats.org/officeDocument/2006/relationships/hyperlink" Target="https://www.linkedin.com/learning/cultivating-a-growth-mindset" TargetMode="External"/><Relationship Id="rId21" Type="http://schemas.openxmlformats.org/officeDocument/2006/relationships/hyperlink" Target="https://www.linkedin.com/learning/solving-business-problems" TargetMode="External"/><Relationship Id="rId7" Type="http://schemas.openxmlformats.org/officeDocument/2006/relationships/hyperlink" Target="https://www.linkedin.com/learning/enhancing-resilience" TargetMode="External"/><Relationship Id="rId12" Type="http://schemas.openxmlformats.org/officeDocument/2006/relationships/hyperlink" Target="https://www.linkedin.com/learning/learning-agility" TargetMode="External"/><Relationship Id="rId17" Type="http://schemas.openxmlformats.org/officeDocument/2006/relationships/hyperlink" Target="https://www.linkedin.com/learning/problem-solving-techniques" TargetMode="External"/><Relationship Id="rId25" Type="http://schemas.openxmlformats.org/officeDocument/2006/relationships/hyperlink" Target="https://www.linkedin.com/learning/cultivating-mental-agility" TargetMode="External"/><Relationship Id="rId2" Type="http://schemas.openxmlformats.org/officeDocument/2006/relationships/hyperlink" Target="https://www.linkedin.com/learning/paths/improve-your-problem-solving-skills" TargetMode="External"/><Relationship Id="rId16" Type="http://schemas.openxmlformats.org/officeDocument/2006/relationships/hyperlink" Target="https://www.linkedin.com/learning/prioritizing-your-tasks" TargetMode="External"/><Relationship Id="rId20" Type="http://schemas.openxmlformats.org/officeDocument/2006/relationships/hyperlink" Target="https://www.linkedin.com/learning/simplifying-business-processes" TargetMode="External"/><Relationship Id="rId29" Type="http://schemas.openxmlformats.org/officeDocument/2006/relationships/hyperlink" Target="https://www.linkedin.com/learning/project-management-solving-common-project-problems" TargetMode="External"/><Relationship Id="rId1" Type="http://schemas.openxmlformats.org/officeDocument/2006/relationships/hyperlink" Target="https://www.linkedin.com/learning/critical-thinking" TargetMode="External"/><Relationship Id="rId6" Type="http://schemas.openxmlformats.org/officeDocument/2006/relationships/hyperlink" Target="https://www.linkedin.com/learning/developing-a-learning-mindset" TargetMode="External"/><Relationship Id="rId11" Type="http://schemas.openxmlformats.org/officeDocument/2006/relationships/hyperlink" Target="https://www.linkedin.com/learning/improving-your-judgment" TargetMode="External"/><Relationship Id="rId24" Type="http://schemas.openxmlformats.org/officeDocument/2006/relationships/hyperlink" Target="https://www.linkedin.com/learning/powerless-to-powerful-taking-control" TargetMode="External"/><Relationship Id="rId5" Type="http://schemas.openxmlformats.org/officeDocument/2006/relationships/hyperlink" Target="https://www.linkedin.com/learning/delivering-results-effectively" TargetMode="External"/><Relationship Id="rId15" Type="http://schemas.openxmlformats.org/officeDocument/2006/relationships/hyperlink" Target="https://www.linkedin.com/learning/monday-productivity-pointers" TargetMode="External"/><Relationship Id="rId23" Type="http://schemas.openxmlformats.org/officeDocument/2006/relationships/hyperlink" Target="https://www.linkedin.com/learning/time-tested-methods-for-making-complex-decisions" TargetMode="External"/><Relationship Id="rId28" Type="http://schemas.openxmlformats.org/officeDocument/2006/relationships/hyperlink" Target="https://www.linkedin.com/learning/project-management-solving-common-project-problems" TargetMode="External"/><Relationship Id="rId10" Type="http://schemas.openxmlformats.org/officeDocument/2006/relationships/hyperlink" Target="https://www.linkedin.com/learning/ideas-that-resonate" TargetMode="External"/><Relationship Id="rId19" Type="http://schemas.openxmlformats.org/officeDocument/2006/relationships/hyperlink" Target="https://www.linkedin.com/learning/sheryl-sandberg-and-adam-grant-on-option-b-building-resilience" TargetMode="External"/><Relationship Id="rId31" Type="http://schemas.openxmlformats.org/officeDocument/2006/relationships/hyperlink" Target="https://www.linkedin.com/learning/building-resilience" TargetMode="External"/><Relationship Id="rId4" Type="http://schemas.openxmlformats.org/officeDocument/2006/relationships/hyperlink" Target="https://www.linkedin.com/learning/decision-making-strategies" TargetMode="External"/><Relationship Id="rId9" Type="http://schemas.openxmlformats.org/officeDocument/2006/relationships/hyperlink" Target="https://www.linkedin.com/learning/fred-kofman-on-making-commitments" TargetMode="External"/><Relationship Id="rId14" Type="http://schemas.openxmlformats.org/officeDocument/2006/relationships/hyperlink" Target="https://www.linkedin.com/learning/making-decisions" TargetMode="External"/><Relationship Id="rId22" Type="http://schemas.openxmlformats.org/officeDocument/2006/relationships/hyperlink" Target="https://www.linkedin.com/learning/successful-goal-setting" TargetMode="External"/><Relationship Id="rId27" Type="http://schemas.openxmlformats.org/officeDocument/2006/relationships/hyperlink" Target="https://www.linkedin.com/learning/making-quick-decisions" TargetMode="External"/><Relationship Id="rId30" Type="http://schemas.openxmlformats.org/officeDocument/2006/relationships/hyperlink" Target="https://www.linkedin.com/learning/using-questions-to-foster-critical-thinking-and-curiosity"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s://www.linkedin.com/learning/writing-email" TargetMode="External"/><Relationship Id="rId13" Type="http://schemas.openxmlformats.org/officeDocument/2006/relationships/hyperlink" Target="https://www.linkedin.com/learning/writing-under-a-deadline" TargetMode="External"/><Relationship Id="rId18" Type="http://schemas.openxmlformats.org/officeDocument/2006/relationships/hyperlink" Target="https://www.linkedin.com/learning/learning-to-write-for-the-web" TargetMode="External"/><Relationship Id="rId26" Type="http://schemas.openxmlformats.org/officeDocument/2006/relationships/hyperlink" Target="https://www.linkedin.com/learning/writing-a-business-report" TargetMode="External"/><Relationship Id="rId3" Type="http://schemas.openxmlformats.org/officeDocument/2006/relationships/hyperlink" Target="https://www.linkedin.com/learning/business-writing-strategies" TargetMode="External"/><Relationship Id="rId21" Type="http://schemas.openxmlformats.org/officeDocument/2006/relationships/hyperlink" Target="https://www.linkedin.com/learning/writing-a-research-paper" TargetMode="External"/><Relationship Id="rId7" Type="http://schemas.openxmlformats.org/officeDocument/2006/relationships/hyperlink" Target="https://www.linkedin.com/learning/writing-a-compelling-blog-post" TargetMode="External"/><Relationship Id="rId12" Type="http://schemas.openxmlformats.org/officeDocument/2006/relationships/hyperlink" Target="https://www.linkedin.com/learning/writing-speeches" TargetMode="External"/><Relationship Id="rId17" Type="http://schemas.openxmlformats.org/officeDocument/2006/relationships/hyperlink" Target="https://www.linkedin.com/learning/learning-to-write-for-the-web" TargetMode="External"/><Relationship Id="rId25" Type="http://schemas.openxmlformats.org/officeDocument/2006/relationships/hyperlink" Target="https://www.linkedin.com/learning/technical-writing-quick-start-guides" TargetMode="External"/><Relationship Id="rId2" Type="http://schemas.openxmlformats.org/officeDocument/2006/relationships/hyperlink" Target="https://www.linkedin.com/learning/business-writing-principles" TargetMode="External"/><Relationship Id="rId16" Type="http://schemas.openxmlformats.org/officeDocument/2006/relationships/hyperlink" Target="https://www.linkedin.com/learning/writing-the-craft-of-story" TargetMode="External"/><Relationship Id="rId20" Type="http://schemas.openxmlformats.org/officeDocument/2006/relationships/hyperlink" Target="https://www.linkedin.com/learning/technical-writing-reports" TargetMode="External"/><Relationship Id="rId29" Type="http://schemas.openxmlformats.org/officeDocument/2006/relationships/hyperlink" Target="https://www.linkedin.com/learning/writing-headlines" TargetMode="External"/><Relationship Id="rId1" Type="http://schemas.openxmlformats.org/officeDocument/2006/relationships/hyperlink" Target="https://www.linkedin.com/learning/editing-mastery-how-to-edit-writing-to-perfection" TargetMode="External"/><Relationship Id="rId6" Type="http://schemas.openxmlformats.org/officeDocument/2006/relationships/hyperlink" Target="https://www.linkedin.com/learning/writing-a-business-case" TargetMode="External"/><Relationship Id="rId11" Type="http://schemas.openxmlformats.org/officeDocument/2006/relationships/hyperlink" Target="https://www.linkedin.com/learning/writing-recommendations" TargetMode="External"/><Relationship Id="rId24" Type="http://schemas.openxmlformats.org/officeDocument/2006/relationships/hyperlink" Target="https://www.linkedin.com/learning/writing-white-papers" TargetMode="External"/><Relationship Id="rId5" Type="http://schemas.openxmlformats.org/officeDocument/2006/relationships/hyperlink" Target="https://www.linkedin.com/learning/productivity-hacks-for-writers" TargetMode="External"/><Relationship Id="rId15" Type="http://schemas.openxmlformats.org/officeDocument/2006/relationships/hyperlink" Target="https://www.linkedin.com/learning/writing-with-impact" TargetMode="External"/><Relationship Id="rId23" Type="http://schemas.openxmlformats.org/officeDocument/2006/relationships/hyperlink" Target="https://www.linkedin.com/learning/writing-case-studies" TargetMode="External"/><Relationship Id="rId28" Type="http://schemas.openxmlformats.org/officeDocument/2006/relationships/hyperlink" Target="https://www.linkedin.com/learning/ninja-writing-the-four-levels-of-writing-mastery" TargetMode="External"/><Relationship Id="rId10" Type="http://schemas.openxmlformats.org/officeDocument/2006/relationships/hyperlink" Target="https://www.linkedin.com/learning/writing-in-plain-english" TargetMode="External"/><Relationship Id="rId19" Type="http://schemas.openxmlformats.org/officeDocument/2006/relationships/hyperlink" Target="https://www.linkedin.com/learning/note-taking-for-business-professionals" TargetMode="External"/><Relationship Id="rId4" Type="http://schemas.openxmlformats.org/officeDocument/2006/relationships/hyperlink" Target="https://www.linkedin.com/learning/editing-and-proofreading-made-simple/welcome" TargetMode="External"/><Relationship Id="rId9" Type="http://schemas.openxmlformats.org/officeDocument/2006/relationships/hyperlink" Target="https://www.linkedin.com/learning/writing-formal-business-letters-and-emails" TargetMode="External"/><Relationship Id="rId14" Type="http://schemas.openxmlformats.org/officeDocument/2006/relationships/hyperlink" Target="https://www.linkedin.com/learning/writing-with-flair-how-to-become-an-exceptional-writer" TargetMode="External"/><Relationship Id="rId22" Type="http://schemas.openxmlformats.org/officeDocument/2006/relationships/hyperlink" Target="https://www.linkedin.com/learning/writing-articles" TargetMode="External"/><Relationship Id="rId27" Type="http://schemas.openxmlformats.org/officeDocument/2006/relationships/hyperlink" Target="https://www.linkedin.com/learning/writing-a-proposal" TargetMode="External"/><Relationship Id="rId30" Type="http://schemas.openxmlformats.org/officeDocument/2006/relationships/hyperlink" Target="https://www.linkedin.com/learning/advanced-grammar"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https://www.linkedin.com/learning/effective-listening" TargetMode="External"/><Relationship Id="rId13" Type="http://schemas.openxmlformats.org/officeDocument/2006/relationships/hyperlink" Target="https://www.linkedin.com/learning/working-on-a-cross-functional-team/welcome" TargetMode="External"/><Relationship Id="rId18" Type="http://schemas.openxmlformats.org/officeDocument/2006/relationships/hyperlink" Target="https://www.linkedin.com/learning/improving-your-listening-skills" TargetMode="External"/><Relationship Id="rId3" Type="http://schemas.openxmlformats.org/officeDocument/2006/relationships/hyperlink" Target="https://www.linkedin.com/learning/communication-within-teams" TargetMode="External"/><Relationship Id="rId21" Type="http://schemas.openxmlformats.org/officeDocument/2006/relationships/hyperlink" Target="https://www.linkedin.com/learning/employee-experience" TargetMode="External"/><Relationship Id="rId7" Type="http://schemas.openxmlformats.org/officeDocument/2006/relationships/hyperlink" Target="https://www.linkedin.com/learning/developing-your-professional-image/the-resilience-mindset" TargetMode="External"/><Relationship Id="rId12" Type="http://schemas.openxmlformats.org/officeDocument/2006/relationships/hyperlink" Target="https://www.linkedin.com/learning/teamwork-foundations" TargetMode="External"/><Relationship Id="rId17" Type="http://schemas.openxmlformats.org/officeDocument/2006/relationships/hyperlink" Target="https://www.linkedin.com/learning/giving-and-receiving-feedback" TargetMode="External"/><Relationship Id="rId2" Type="http://schemas.openxmlformats.org/officeDocument/2006/relationships/hyperlink" Target="https://www.linkedin.com/learning/paths/fostering-collaboration" TargetMode="External"/><Relationship Id="rId16" Type="http://schemas.openxmlformats.org/officeDocument/2006/relationships/hyperlink" Target="https://www.linkedin.com/learning/collaborative-design-managing-a-team" TargetMode="External"/><Relationship Id="rId20" Type="http://schemas.openxmlformats.org/officeDocument/2006/relationships/hyperlink" Target="https://www.linkedin.com/learning/communicating-with-diplomacy-and-tact" TargetMode="External"/><Relationship Id="rId1" Type="http://schemas.openxmlformats.org/officeDocument/2006/relationships/hyperlink" Target="https://www.linkedin.com/learning/communicating-with-empathy" TargetMode="External"/><Relationship Id="rId6" Type="http://schemas.openxmlformats.org/officeDocument/2006/relationships/hyperlink" Target="https://www.linkedin.com/learning/developing-your-emotional-intelligence" TargetMode="External"/><Relationship Id="rId11" Type="http://schemas.openxmlformats.org/officeDocument/2006/relationships/hyperlink" Target="https://www.linkedin.com/learning/professional-networking" TargetMode="External"/><Relationship Id="rId24" Type="http://schemas.openxmlformats.org/officeDocument/2006/relationships/hyperlink" Target="https://www.linkedin.com/learning/collaboration-principles-and-process" TargetMode="External"/><Relationship Id="rId5" Type="http://schemas.openxmlformats.org/officeDocument/2006/relationships/hyperlink" Target="https://www.linkedin.com/learning/developing-self-awareness" TargetMode="External"/><Relationship Id="rId15" Type="http://schemas.openxmlformats.org/officeDocument/2006/relationships/hyperlink" Target="https://www.linkedin.com/learning/building-trust-6" TargetMode="External"/><Relationship Id="rId23" Type="http://schemas.openxmlformats.org/officeDocument/2006/relationships/hyperlink" Target="https://www.linkedin.com/learning/inclusive-leadership" TargetMode="External"/><Relationship Id="rId10" Type="http://schemas.openxmlformats.org/officeDocument/2006/relationships/hyperlink" Target="https://www.linkedin.com/learning/leading-inclusive-teams" TargetMode="External"/><Relationship Id="rId19" Type="http://schemas.openxmlformats.org/officeDocument/2006/relationships/hyperlink" Target="https://www.linkedin.com/learning/business-collaboration-in-the-modern-workplace/conversational-tools-email-and-chat" TargetMode="External"/><Relationship Id="rId4" Type="http://schemas.openxmlformats.org/officeDocument/2006/relationships/hyperlink" Target="https://www.linkedin.com/learning/paths/improve-your-teamwork-skills" TargetMode="External"/><Relationship Id="rId9" Type="http://schemas.openxmlformats.org/officeDocument/2006/relationships/hyperlink" Target="https://www.linkedin.com/learning/interpersonal-communication/welcome" TargetMode="External"/><Relationship Id="rId14" Type="http://schemas.openxmlformats.org/officeDocument/2006/relationships/hyperlink" Target="https://www.linkedin.com/learning/being-an-effective-team-member" TargetMode="External"/><Relationship Id="rId22" Type="http://schemas.openxmlformats.org/officeDocument/2006/relationships/hyperlink" Target="https://www.linkedin.com/learning/facilitation-skills-for-managers-and-leaders" TargetMode="External"/></Relationships>
</file>

<file path=xl/worksheets/_rels/sheet5.xml.rels><?xml version="1.0" encoding="UTF-8" standalone="yes"?>
<Relationships xmlns="http://schemas.openxmlformats.org/package/2006/relationships"><Relationship Id="rId13" Type="http://schemas.openxmlformats.org/officeDocument/2006/relationships/hyperlink" Target="https://www.linkedin.com/learning/performing-under-pressure" TargetMode="External"/><Relationship Id="rId18" Type="http://schemas.openxmlformats.org/officeDocument/2006/relationships/hyperlink" Target="https://www.linkedin.com/learning/managing-stress-for-positive-change/how-to-use-this-course" TargetMode="External"/><Relationship Id="rId26" Type="http://schemas.openxmlformats.org/officeDocument/2006/relationships/hyperlink" Target="https://www.linkedin.com/learning/developing-adaptable-managers" TargetMode="External"/><Relationship Id="rId3" Type="http://schemas.openxmlformats.org/officeDocument/2006/relationships/hyperlink" Target="https://www.linkedin.com/learning/business-innovation-foundations" TargetMode="External"/><Relationship Id="rId21" Type="http://schemas.openxmlformats.org/officeDocument/2006/relationships/hyperlink" Target="https://www.linkedin.com/learning/change-management-foundations/welcome" TargetMode="External"/><Relationship Id="rId34" Type="http://schemas.openxmlformats.org/officeDocument/2006/relationships/hyperlink" Target="https://www.linkedin.com/learning/creating-a-culture-of-change" TargetMode="External"/><Relationship Id="rId7" Type="http://schemas.openxmlformats.org/officeDocument/2006/relationships/hyperlink" Target="https://www.linkedin.com/learning/developing-a-learning-mindset" TargetMode="External"/><Relationship Id="rId12" Type="http://schemas.openxmlformats.org/officeDocument/2006/relationships/hyperlink" Target="https://www.linkedin.com/learning/learning-from-failure" TargetMode="External"/><Relationship Id="rId17" Type="http://schemas.openxmlformats.org/officeDocument/2006/relationships/hyperlink" Target="https://www.linkedin.com/learning/handling-workplace-change-as-an-employee" TargetMode="External"/><Relationship Id="rId25" Type="http://schemas.openxmlformats.org/officeDocument/2006/relationships/hyperlink" Target="https://www.linkedin.com/learning/developing-adaptability-as-a-manager/predicting-and-planning-amidst-uncertainty" TargetMode="External"/><Relationship Id="rId33" Type="http://schemas.openxmlformats.org/officeDocument/2006/relationships/hyperlink" Target="https://www.linkedin.com/learning/your-l-d-organization-as-a-competitive-advantage/flexibility-and-adaptability" TargetMode="External"/><Relationship Id="rId2" Type="http://schemas.openxmlformats.org/officeDocument/2006/relationships/hyperlink" Target="https://www.linkedin.com/learning/building-resilience" TargetMode="External"/><Relationship Id="rId16" Type="http://schemas.openxmlformats.org/officeDocument/2006/relationships/hyperlink" Target="https://www.linkedin.com/learning/developing-adaptable-employees" TargetMode="External"/><Relationship Id="rId20" Type="http://schemas.openxmlformats.org/officeDocument/2006/relationships/hyperlink" Target="https://www.linkedin.com/learning/adaptive-project-leadership/adaptive-thinking-in-practice" TargetMode="External"/><Relationship Id="rId29" Type="http://schemas.openxmlformats.org/officeDocument/2006/relationships/hyperlink" Target="https://www.linkedin.com/learning/leading-your-team-through-change" TargetMode="External"/><Relationship Id="rId1" Type="http://schemas.openxmlformats.org/officeDocument/2006/relationships/hyperlink" Target="https://www.linkedin.com/learning/aaron-dignan-on-transformational-change" TargetMode="External"/><Relationship Id="rId6" Type="http://schemas.openxmlformats.org/officeDocument/2006/relationships/hyperlink" Target="https://www.linkedin.com/learning/delivering-results-effectively" TargetMode="External"/><Relationship Id="rId11" Type="http://schemas.openxmlformats.org/officeDocument/2006/relationships/hyperlink" Target="https://www.linkedin.com/learning/learning-agility" TargetMode="External"/><Relationship Id="rId24" Type="http://schemas.openxmlformats.org/officeDocument/2006/relationships/hyperlink" Target="https://www.linkedin.com/learning/cultivating-mental-agility" TargetMode="External"/><Relationship Id="rId32" Type="http://schemas.openxmlformats.org/officeDocument/2006/relationships/hyperlink" Target="https://www.linkedin.com/learning/taking-charge-of-technology-for-maximum-productivity/creativity" TargetMode="External"/><Relationship Id="rId5" Type="http://schemas.openxmlformats.org/officeDocument/2006/relationships/hyperlink" Target="https://www.linkedin.com/learning/cultivating-a-growth-mindset" TargetMode="External"/><Relationship Id="rId15" Type="http://schemas.openxmlformats.org/officeDocument/2006/relationships/hyperlink" Target="https://www.linkedin.com/learning/unlock-your-team-s-creativity" TargetMode="External"/><Relationship Id="rId23" Type="http://schemas.openxmlformats.org/officeDocument/2006/relationships/hyperlink" Target="https://www.linkedin.com/learning/creating-a-culture-of-learning" TargetMode="External"/><Relationship Id="rId28" Type="http://schemas.openxmlformats.org/officeDocument/2006/relationships/hyperlink" Target="https://www.linkedin.com/learning/leaders-make-your-teams-more-agile-creative-and-united" TargetMode="External"/><Relationship Id="rId10" Type="http://schemas.openxmlformats.org/officeDocument/2006/relationships/hyperlink" Target="https://www.linkedin.com/learning/gary-hamel-on-busting-bureaucracy" TargetMode="External"/><Relationship Id="rId19" Type="http://schemas.openxmlformats.org/officeDocument/2006/relationships/hyperlink" Target="https://www.linkedin.com/learning/powerless-to-powerful-taking-control" TargetMode="External"/><Relationship Id="rId31" Type="http://schemas.openxmlformats.org/officeDocument/2006/relationships/hyperlink" Target="https://www.linkedin.com/learning/organizational-learning-and-development" TargetMode="External"/><Relationship Id="rId4" Type="http://schemas.openxmlformats.org/officeDocument/2006/relationships/hyperlink" Target="https://www.linkedin.com/learning/critical-thinking" TargetMode="External"/><Relationship Id="rId9" Type="http://schemas.openxmlformats.org/officeDocument/2006/relationships/hyperlink" Target="https://www.linkedin.com/learning/enhancing-resilience" TargetMode="External"/><Relationship Id="rId14" Type="http://schemas.openxmlformats.org/officeDocument/2006/relationships/hyperlink" Target="https://www.linkedin.com/learning/sheryl-sandberg-and-adam-grant-on-option-b-building-resilience" TargetMode="External"/><Relationship Id="rId22" Type="http://schemas.openxmlformats.org/officeDocument/2006/relationships/hyperlink" Target="https://www.linkedin.com/learning/communicating-in-times-of-change/welcome" TargetMode="External"/><Relationship Id="rId27" Type="http://schemas.openxmlformats.org/officeDocument/2006/relationships/hyperlink" Target="https://www.linkedin.com/learning/embracing-change" TargetMode="External"/><Relationship Id="rId30" Type="http://schemas.openxmlformats.org/officeDocument/2006/relationships/hyperlink" Target="https://www.linkedin.com/learning/managing-organizational-change-for-managers" TargetMode="External"/><Relationship Id="rId35" Type="http://schemas.openxmlformats.org/officeDocument/2006/relationships/hyperlink" Target="https://www.linkedin.com/learning/paths/linkedin-managing-change" TargetMode="External"/><Relationship Id="rId8" Type="http://schemas.openxmlformats.org/officeDocument/2006/relationships/hyperlink" Target="https://www.linkedin.com/learning/embracing-unexpected-change" TargetMode="External"/></Relationships>
</file>

<file path=xl/worksheets/_rels/sheet6.xml.rels><?xml version="1.0" encoding="UTF-8" standalone="yes"?>
<Relationships xmlns="http://schemas.openxmlformats.org/package/2006/relationships"><Relationship Id="rId13" Type="http://schemas.openxmlformats.org/officeDocument/2006/relationships/hyperlink" Target="https://www.linkedin.com/learning/leadership-foundations" TargetMode="External"/><Relationship Id="rId18" Type="http://schemas.openxmlformats.org/officeDocument/2006/relationships/hyperlink" Target="https://www.linkedin.com/learning/leading-with-stories" TargetMode="External"/><Relationship Id="rId26" Type="http://schemas.openxmlformats.org/officeDocument/2006/relationships/hyperlink" Target="https://www.linkedin.com/learning/coaching-skills-for-leaders-and-managers" TargetMode="External"/><Relationship Id="rId39" Type="http://schemas.openxmlformats.org/officeDocument/2006/relationships/hyperlink" Target="https://www.linkedin.com/learning/leading-with-kindness-and-strength" TargetMode="External"/><Relationship Id="rId21" Type="http://schemas.openxmlformats.org/officeDocument/2006/relationships/hyperlink" Target="https://www.linkedin.com/learning/transitioning-from-manager-to-leader" TargetMode="External"/><Relationship Id="rId34" Type="http://schemas.openxmlformats.org/officeDocument/2006/relationships/hyperlink" Target="https://www.linkedin.com/learning/leadership-blind-spots" TargetMode="External"/><Relationship Id="rId42" Type="http://schemas.openxmlformats.org/officeDocument/2006/relationships/hyperlink" Target="https://www.linkedin.com/learning/learn-the-process-of-effective-leadership" TargetMode="External"/><Relationship Id="rId47" Type="http://schemas.openxmlformats.org/officeDocument/2006/relationships/hyperlink" Target="https://www.linkedin.com/learning/counterintuitive-leadership-strategies-for-a-vuca-environment" TargetMode="External"/><Relationship Id="rId7" Type="http://schemas.openxmlformats.org/officeDocument/2006/relationships/hyperlink" Target="https://www.linkedin.com/learning/body-language-for-leaders" TargetMode="External"/><Relationship Id="rId2" Type="http://schemas.openxmlformats.org/officeDocument/2006/relationships/hyperlink" Target="https://www.linkedin.com/learning/paths/become-an-inclusive-leader" TargetMode="External"/><Relationship Id="rId16" Type="http://schemas.openxmlformats.org/officeDocument/2006/relationships/hyperlink" Target="https://www.linkedin.com/learning/leadership-stories-weekly" TargetMode="External"/><Relationship Id="rId29" Type="http://schemas.openxmlformats.org/officeDocument/2006/relationships/hyperlink" Target="https://www.linkedin.com/learning/executive-decision-making/welcome" TargetMode="External"/><Relationship Id="rId1" Type="http://schemas.openxmlformats.org/officeDocument/2006/relationships/hyperlink" Target="https://www.linkedin.com/learning/leading-change-4" TargetMode="External"/><Relationship Id="rId6" Type="http://schemas.openxmlformats.org/officeDocument/2006/relationships/hyperlink" Target="https://www.linkedin.com/learning/paths/master-in-demand-skills-for-technology-leadership" TargetMode="External"/><Relationship Id="rId11" Type="http://schemas.openxmlformats.org/officeDocument/2006/relationships/hyperlink" Target="https://www.linkedin.com/learning/jeff-weiner-on-managing-compassionately/what-is-compassionate-management" TargetMode="External"/><Relationship Id="rId24" Type="http://schemas.openxmlformats.org/officeDocument/2006/relationships/hyperlink" Target="https://www.linkedin.com/learning/transformational-leadership/being-powerful-in-transformation" TargetMode="External"/><Relationship Id="rId32" Type="http://schemas.openxmlformats.org/officeDocument/2006/relationships/hyperlink" Target="https://www.linkedin.com/learning/inclusive-leadership" TargetMode="External"/><Relationship Id="rId37" Type="http://schemas.openxmlformats.org/officeDocument/2006/relationships/hyperlink" Target="https://www.linkedin.com/learning/project-management-foundations-leading-projects" TargetMode="External"/><Relationship Id="rId40" Type="http://schemas.openxmlformats.org/officeDocument/2006/relationships/hyperlink" Target="https://www.linkedin.com/learning/leading-with-purpose/employees-crave-purpose" TargetMode="External"/><Relationship Id="rId45" Type="http://schemas.openxmlformats.org/officeDocument/2006/relationships/hyperlink" Target="https://www.linkedin.com/learning/powerless-to-powerful-taking-control" TargetMode="External"/><Relationship Id="rId5" Type="http://schemas.openxmlformats.org/officeDocument/2006/relationships/hyperlink" Target="https://www.linkedin.com/learning/bill-george-on-self-awareness-authenticity-and-leadership" TargetMode="External"/><Relationship Id="rId15" Type="http://schemas.openxmlformats.org/officeDocument/2006/relationships/hyperlink" Target="https://www.linkedin.com/learning/leadership-insights-from-dan-rockwell" TargetMode="External"/><Relationship Id="rId23" Type="http://schemas.openxmlformats.org/officeDocument/2006/relationships/hyperlink" Target="https://www.linkedin.com/learning/leading-with-innovation/welcome" TargetMode="External"/><Relationship Id="rId28" Type="http://schemas.openxmlformats.org/officeDocument/2006/relationships/hyperlink" Target="https://www.linkedin.com/learning/developing-your-leadership-philosophy" TargetMode="External"/><Relationship Id="rId36" Type="http://schemas.openxmlformats.org/officeDocument/2006/relationships/hyperlink" Target="https://www.linkedin.com/learning/leading-effectively" TargetMode="External"/><Relationship Id="rId10" Type="http://schemas.openxmlformats.org/officeDocument/2006/relationships/hyperlink" Target="https://www.linkedin.com/learning/fred-kofman-on-accountability" TargetMode="External"/><Relationship Id="rId19" Type="http://schemas.openxmlformats.org/officeDocument/2006/relationships/hyperlink" Target="https://www.linkedin.com/learning/leading-yourself" TargetMode="External"/><Relationship Id="rId31" Type="http://schemas.openxmlformats.org/officeDocument/2006/relationships/hyperlink" Target="https://www.linkedin.com/learning/human-centered-leadership/leading-with-purpose" TargetMode="External"/><Relationship Id="rId44" Type="http://schemas.openxmlformats.org/officeDocument/2006/relationships/hyperlink" Target="https://www.linkedin.com/learning/negotiating-your-leadership-success" TargetMode="External"/><Relationship Id="rId4" Type="http://schemas.openxmlformats.org/officeDocument/2006/relationships/hyperlink" Target="https://www.linkedin.com/learning/paths/linkedin-manager-to-leader" TargetMode="External"/><Relationship Id="rId9" Type="http://schemas.openxmlformats.org/officeDocument/2006/relationships/hyperlink" Target="https://www.linkedin.com/learning/emerging-leader-foundations/how-to-create-a-culture-of-learning" TargetMode="External"/><Relationship Id="rId14" Type="http://schemas.openxmlformats.org/officeDocument/2006/relationships/hyperlink" Target="https://www.linkedin.com/learning/leadership-foundations-leadership-styles-and-models" TargetMode="External"/><Relationship Id="rId22" Type="http://schemas.openxmlformats.org/officeDocument/2006/relationships/hyperlink" Target="https://www.linkedin.com/learning/leading-with-emotional-intelligence-3" TargetMode="External"/><Relationship Id="rId27" Type="http://schemas.openxmlformats.org/officeDocument/2006/relationships/hyperlink" Target="https://www.linkedin.com/learning/collaborative-leadership" TargetMode="External"/><Relationship Id="rId30" Type="http://schemas.openxmlformats.org/officeDocument/2006/relationships/hyperlink" Target="https://www.linkedin.com/learning/executive-leadership/communicate-to-motivate-and-inspire" TargetMode="External"/><Relationship Id="rId35" Type="http://schemas.openxmlformats.org/officeDocument/2006/relationships/hyperlink" Target="https://www.linkedin.com/learning/leading-and-working-in-teams" TargetMode="External"/><Relationship Id="rId43" Type="http://schemas.openxmlformats.org/officeDocument/2006/relationships/hyperlink" Target="https://www.linkedin.com/learning/modeling-courageous-leadership-intelligent-disobedience/taking-risks" TargetMode="External"/><Relationship Id="rId48" Type="http://schemas.openxmlformats.org/officeDocument/2006/relationships/hyperlink" Target="https://www.linkedin.com/learning/paths/become-a-leader" TargetMode="External"/><Relationship Id="rId8" Type="http://schemas.openxmlformats.org/officeDocument/2006/relationships/hyperlink" Target="https://www.linkedin.com/learning/developing-credibility-as-a-leader" TargetMode="External"/><Relationship Id="rId3" Type="http://schemas.openxmlformats.org/officeDocument/2006/relationships/hyperlink" Target="https://www.linkedin.com/learning/leading-with-vision" TargetMode="External"/><Relationship Id="rId12" Type="http://schemas.openxmlformats.org/officeDocument/2006/relationships/hyperlink" Target="https://www.linkedin.com/learning/ken-blanchard-on-servant-leadership" TargetMode="External"/><Relationship Id="rId17" Type="http://schemas.openxmlformats.org/officeDocument/2006/relationships/hyperlink" Target="https://www.linkedin.com/learning/leadership-practical-skills/welcome" TargetMode="External"/><Relationship Id="rId25" Type="http://schemas.openxmlformats.org/officeDocument/2006/relationships/hyperlink" Target="https://www.linkedin.com/learning/building-resilience-as-a-leader" TargetMode="External"/><Relationship Id="rId33" Type="http://schemas.openxmlformats.org/officeDocument/2006/relationships/hyperlink" Target="https://www.linkedin.com/learning/lead-like-a-boss" TargetMode="External"/><Relationship Id="rId38" Type="http://schemas.openxmlformats.org/officeDocument/2006/relationships/hyperlink" Target="https://www.linkedin.com/learning/leading-through-relationships" TargetMode="External"/><Relationship Id="rId46" Type="http://schemas.openxmlformats.org/officeDocument/2006/relationships/hyperlink" Target="https://www.linkedin.com/learning/risk-taking-for-leaders/welcome" TargetMode="External"/><Relationship Id="rId20" Type="http://schemas.openxmlformats.org/officeDocument/2006/relationships/hyperlink" Target="https://www.linkedin.com/learning/ryan-holmes-on-social-leadership" TargetMode="External"/><Relationship Id="rId41" Type="http://schemas.openxmlformats.org/officeDocument/2006/relationships/hyperlink" Target="https://www.linkedin.com/learning/leading-without-formal-authority" TargetMode="External"/></Relationships>
</file>

<file path=xl/worksheets/_rels/sheet7.xml.rels><?xml version="1.0" encoding="UTF-8" standalone="yes"?>
<Relationships xmlns="http://schemas.openxmlformats.org/package/2006/relationships"><Relationship Id="rId13" Type="http://schemas.openxmlformats.org/officeDocument/2006/relationships/hyperlink" Target="https://www.linkedin.com/learning/developing-your-professional-image" TargetMode="External"/><Relationship Id="rId18" Type="http://schemas.openxmlformats.org/officeDocument/2006/relationships/hyperlink" Target="https://www.linkedin.com/learning/performance-management-conducting-performance-reviews" TargetMode="External"/><Relationship Id="rId26" Type="http://schemas.openxmlformats.org/officeDocument/2006/relationships/hyperlink" Target="https://www.linkedin.com/learning/communicating-with-empathy" TargetMode="External"/><Relationship Id="rId39" Type="http://schemas.openxmlformats.org/officeDocument/2006/relationships/hyperlink" Target="https://www.linkedin.com/learning/employee-experience" TargetMode="External"/><Relationship Id="rId21" Type="http://schemas.openxmlformats.org/officeDocument/2006/relationships/hyperlink" Target="https://www.linkedin.com/learning/transitioning-from-technical-professional-to-manager" TargetMode="External"/><Relationship Id="rId34" Type="http://schemas.openxmlformats.org/officeDocument/2006/relationships/hyperlink" Target="https://www.linkedin.com/learning/creating-personal-connections" TargetMode="External"/><Relationship Id="rId42" Type="http://schemas.openxmlformats.org/officeDocument/2006/relationships/hyperlink" Target="https://www.linkedin.com/learning/paths/master-in-demand-skills-for-technology-leadership" TargetMode="External"/><Relationship Id="rId7" Type="http://schemas.openxmlformats.org/officeDocument/2006/relationships/hyperlink" Target="https://www.linkedin.com/learning/business-law-for-managers" TargetMode="External"/><Relationship Id="rId2" Type="http://schemas.openxmlformats.org/officeDocument/2006/relationships/hyperlink" Target="https://www.linkedin.com/learning/administrative-professional-weekly-tips" TargetMode="External"/><Relationship Id="rId16" Type="http://schemas.openxmlformats.org/officeDocument/2006/relationships/hyperlink" Target="https://www.linkedin.com/learning/managing-and-working-with-a-technical-team-for-nontechnical-professionals" TargetMode="External"/><Relationship Id="rId29" Type="http://schemas.openxmlformats.org/officeDocument/2006/relationships/hyperlink" Target="https://www.linkedin.com/learning/communication-within-teams" TargetMode="External"/><Relationship Id="rId1" Type="http://schemas.openxmlformats.org/officeDocument/2006/relationships/hyperlink" Target="https://www.linkedin.com/learning/administrative-professional-foundations" TargetMode="External"/><Relationship Id="rId6" Type="http://schemas.openxmlformats.org/officeDocument/2006/relationships/hyperlink" Target="https://www.linkedin.com/learning/business-ethics-for-sales-professionals" TargetMode="External"/><Relationship Id="rId11" Type="http://schemas.openxmlformats.org/officeDocument/2006/relationships/hyperlink" Target="https://www.linkedin.com/learning/conducting-motivational-1-on-1-reviews" TargetMode="External"/><Relationship Id="rId24" Type="http://schemas.openxmlformats.org/officeDocument/2006/relationships/hyperlink" Target="https://www.linkedin.com/learning/business-etiquette-phone-email-and-text" TargetMode="External"/><Relationship Id="rId32" Type="http://schemas.openxmlformats.org/officeDocument/2006/relationships/hyperlink" Target="https://www.linkedin.com/learning/fred-kofman-on-making-commitments" TargetMode="External"/><Relationship Id="rId37" Type="http://schemas.openxmlformats.org/officeDocument/2006/relationships/hyperlink" Target="https://www.linkedin.com/learning/leading-through-relationships" TargetMode="External"/><Relationship Id="rId40" Type="http://schemas.openxmlformats.org/officeDocument/2006/relationships/hyperlink" Target="https://www.linkedin.com/learning/paths/master-in-demand-professional-soft-skills" TargetMode="External"/><Relationship Id="rId45" Type="http://schemas.openxmlformats.org/officeDocument/2006/relationships/hyperlink" Target="https://www.linkedin.com/learning/paths/improve-your-interoffice-politics-skills" TargetMode="External"/><Relationship Id="rId5" Type="http://schemas.openxmlformats.org/officeDocument/2006/relationships/hyperlink" Target="https://www.linkedin.com/learning/business-ethics-for-managers-and-leaders-2019" TargetMode="External"/><Relationship Id="rId15" Type="http://schemas.openxmlformats.org/officeDocument/2006/relationships/hyperlink" Target="https://www.linkedin.com/learning/graphic-design-for-business-professionals" TargetMode="External"/><Relationship Id="rId23" Type="http://schemas.openxmlformats.org/officeDocument/2006/relationships/hyperlink" Target="https://www.linkedin.com/learning/developing-a-service-mindset" TargetMode="External"/><Relationship Id="rId28" Type="http://schemas.openxmlformats.org/officeDocument/2006/relationships/hyperlink" Target="https://www.linkedin.com/learning/fred-kofman-on-accountability" TargetMode="External"/><Relationship Id="rId36" Type="http://schemas.openxmlformats.org/officeDocument/2006/relationships/hyperlink" Target="https://www.linkedin.com/learning/building-business-relationships-2" TargetMode="External"/><Relationship Id="rId10" Type="http://schemas.openxmlformats.org/officeDocument/2006/relationships/hyperlink" Target="https://www.linkedin.com/learning/communicating-values" TargetMode="External"/><Relationship Id="rId19" Type="http://schemas.openxmlformats.org/officeDocument/2006/relationships/hyperlink" Target="https://www.linkedin.com/learning/project-management-foundations-ethics-2019" TargetMode="External"/><Relationship Id="rId31" Type="http://schemas.openxmlformats.org/officeDocument/2006/relationships/hyperlink" Target="https://www.linkedin.com/learning/building-accountability-into-your-culture" TargetMode="External"/><Relationship Id="rId44" Type="http://schemas.openxmlformats.org/officeDocument/2006/relationships/hyperlink" Target="https://www.linkedin.com/learning/paths/become-an-ld-professional" TargetMode="External"/><Relationship Id="rId4" Type="http://schemas.openxmlformats.org/officeDocument/2006/relationships/hyperlink" Target="https://www.linkedin.com/learning/business-ethics" TargetMode="External"/><Relationship Id="rId9" Type="http://schemas.openxmlformats.org/officeDocument/2006/relationships/hyperlink" Target="https://www.linkedin.com/learning/collaboration-principles-and-process" TargetMode="External"/><Relationship Id="rId14" Type="http://schemas.openxmlformats.org/officeDocument/2006/relationships/hyperlink" Target="https://www.linkedin.com/learning/ethics-and-law-in-data-analytics" TargetMode="External"/><Relationship Id="rId22" Type="http://schemas.openxmlformats.org/officeDocument/2006/relationships/hyperlink" Target="https://www.linkedin.com/learning/creating-a-culture-of-service" TargetMode="External"/><Relationship Id="rId27" Type="http://schemas.openxmlformats.org/officeDocument/2006/relationships/hyperlink" Target="https://www.linkedin.com/learning/managing-brand-reputation" TargetMode="External"/><Relationship Id="rId30" Type="http://schemas.openxmlformats.org/officeDocument/2006/relationships/hyperlink" Target="https://www.linkedin.com/learning/holding-yourself-accountable" TargetMode="External"/><Relationship Id="rId35" Type="http://schemas.openxmlformats.org/officeDocument/2006/relationships/hyperlink" Target="https://www.linkedin.com/learning/managing-a-cross-functional-team" TargetMode="External"/><Relationship Id="rId43" Type="http://schemas.openxmlformats.org/officeDocument/2006/relationships/hyperlink" Target="https://www.linkedin.com/learning/paths/digital-transformation-for-leaders" TargetMode="External"/><Relationship Id="rId8" Type="http://schemas.openxmlformats.org/officeDocument/2006/relationships/hyperlink" Target="https://www.linkedin.com/learning/business-writing-principles" TargetMode="External"/><Relationship Id="rId3" Type="http://schemas.openxmlformats.org/officeDocument/2006/relationships/hyperlink" Target="https://www.linkedin.com/learning/business-ethics-2019" TargetMode="External"/><Relationship Id="rId12" Type="http://schemas.openxmlformats.org/officeDocument/2006/relationships/hyperlink" Target="https://www.linkedin.com/learning/defining-and-achieving-professional-goals" TargetMode="External"/><Relationship Id="rId17" Type="http://schemas.openxmlformats.org/officeDocument/2006/relationships/hyperlink" Target="https://www.linkedin.com/learning/managing-technical-professionals" TargetMode="External"/><Relationship Id="rId25" Type="http://schemas.openxmlformats.org/officeDocument/2006/relationships/hyperlink" Target="https://www.linkedin.com/learning/employer-branding-to-attract-talent" TargetMode="External"/><Relationship Id="rId33" Type="http://schemas.openxmlformats.org/officeDocument/2006/relationships/hyperlink" Target="https://www.linkedin.com/learning/managing-teams-3" TargetMode="External"/><Relationship Id="rId38" Type="http://schemas.openxmlformats.org/officeDocument/2006/relationships/hyperlink" Target="https://www.linkedin.com/learning/dream-teams-working-together-without-falling-apart-blinkist" TargetMode="External"/><Relationship Id="rId46" Type="http://schemas.openxmlformats.org/officeDocument/2006/relationships/hyperlink" Target="https://www.linkedin.com/learning/paths/improve-your-problem-solving-skills" TargetMode="External"/><Relationship Id="rId20" Type="http://schemas.openxmlformats.org/officeDocument/2006/relationships/hyperlink" Target="https://www.linkedin.com/learning/setting-up-your-small-business-as-a-legal-entity" TargetMode="External"/><Relationship Id="rId41" Type="http://schemas.openxmlformats.org/officeDocument/2006/relationships/hyperlink" Target="https://www.linkedin.com/learning/paths/become-an-administrative-professional" TargetMode="External"/></Relationships>
</file>

<file path=xl/worksheets/_rels/sheet8.xml.rels><?xml version="1.0" encoding="UTF-8" standalone="yes"?>
<Relationships xmlns="http://schemas.openxmlformats.org/package/2006/relationships"><Relationship Id="rId13" Type="http://schemas.openxmlformats.org/officeDocument/2006/relationships/hyperlink" Target="https://www.linkedin.com/learning/succeeding-in-a-new-job" TargetMode="External"/><Relationship Id="rId18" Type="http://schemas.openxmlformats.org/officeDocument/2006/relationships/hyperlink" Target="https://www.linkedin.com/learning/understanding-your-compensation-and-benefits" TargetMode="External"/><Relationship Id="rId26" Type="http://schemas.openxmlformats.org/officeDocument/2006/relationships/hyperlink" Target="https://www.linkedin.com/learning/managing-your-career-early-career" TargetMode="External"/><Relationship Id="rId39" Type="http://schemas.openxmlformats.org/officeDocument/2006/relationships/hyperlink" Target="https://www.linkedin.com/learning/how-to-be-promotable" TargetMode="External"/><Relationship Id="rId21" Type="http://schemas.openxmlformats.org/officeDocument/2006/relationships/hyperlink" Target="https://www.linkedin.com/learning/internal-interviewing" TargetMode="External"/><Relationship Id="rId34" Type="http://schemas.openxmlformats.org/officeDocument/2006/relationships/hyperlink" Target="https://www.linkedin.com/learning/working-as-a-contract-or-temporary-employee" TargetMode="External"/><Relationship Id="rId42" Type="http://schemas.openxmlformats.org/officeDocument/2006/relationships/hyperlink" Target="https://www.linkedin.com/learning/being-your-own-fierce-self-advocate" TargetMode="External"/><Relationship Id="rId47" Type="http://schemas.openxmlformats.org/officeDocument/2006/relationships/hyperlink" Target="https://www.linkedin.com/learning/take-a-holistic-approach-to-advancing-your-career" TargetMode="External"/><Relationship Id="rId50" Type="http://schemas.openxmlformats.org/officeDocument/2006/relationships/hyperlink" Target="https://www.linkedin.com/learning/marci-alboher-on-encore-careers" TargetMode="External"/><Relationship Id="rId55" Type="http://schemas.openxmlformats.org/officeDocument/2006/relationships/hyperlink" Target="https://www.linkedin.com/learning/become-a-chief-of-staff-with-brian-rumao" TargetMode="External"/><Relationship Id="rId7" Type="http://schemas.openxmlformats.org/officeDocument/2006/relationships/hyperlink" Target="https://www.linkedin.com/learning/job-hunting-for-college-grads" TargetMode="External"/><Relationship Id="rId2" Type="http://schemas.openxmlformats.org/officeDocument/2006/relationships/hyperlink" Target="https://www.linkedin.com/learning/writing-recommendations" TargetMode="External"/><Relationship Id="rId16" Type="http://schemas.openxmlformats.org/officeDocument/2006/relationships/hyperlink" Target="https://www.linkedin.com/learning/finding-a-sponsor" TargetMode="External"/><Relationship Id="rId29" Type="http://schemas.openxmlformats.org/officeDocument/2006/relationships/hyperlink" Target="https://www.linkedin.com/learning/successful-goal-setting" TargetMode="External"/><Relationship Id="rId11" Type="http://schemas.openxmlformats.org/officeDocument/2006/relationships/hyperlink" Target="https://www.linkedin.com/learning/recovering-from-a-layoff" TargetMode="External"/><Relationship Id="rId24" Type="http://schemas.openxmlformats.org/officeDocument/2006/relationships/hyperlink" Target="https://www.linkedin.com/learning/having-an-honest-career-conversation-with-your-boss" TargetMode="External"/><Relationship Id="rId32" Type="http://schemas.openxmlformats.org/officeDocument/2006/relationships/hyperlink" Target="https://www.linkedin.com/learning/linkedin-learning-highlights-finding-a-job-and-managing-your-career" TargetMode="External"/><Relationship Id="rId37" Type="http://schemas.openxmlformats.org/officeDocument/2006/relationships/hyperlink" Target="https://www.linkedin.com/learning/asking-for-a-raise" TargetMode="External"/><Relationship Id="rId40" Type="http://schemas.openxmlformats.org/officeDocument/2006/relationships/hyperlink" Target="https://www.linkedin.com/learning/how-to-give-negative-feedback-to-senior-colleagues" TargetMode="External"/><Relationship Id="rId45" Type="http://schemas.openxmlformats.org/officeDocument/2006/relationships/hyperlink" Target="https://www.linkedin.com/learning/employee-to-entrepreneur" TargetMode="External"/><Relationship Id="rId53" Type="http://schemas.openxmlformats.org/officeDocument/2006/relationships/hyperlink" Target="https://www.linkedin.com/learning/career-advice-from-some-of-the-biggest-names-in-business" TargetMode="External"/><Relationship Id="rId58" Type="http://schemas.openxmlformats.org/officeDocument/2006/relationships/hyperlink" Target="https://www.linkedin.com/learning/pivot-the-only-move-that-matters-is-your-next-one-blinkist" TargetMode="External"/><Relationship Id="rId5" Type="http://schemas.openxmlformats.org/officeDocument/2006/relationships/hyperlink" Target="https://www.linkedin.com/learning/working-remotely-2015" TargetMode="External"/><Relationship Id="rId61" Type="http://schemas.openxmlformats.org/officeDocument/2006/relationships/hyperlink" Target="https://www.linkedin.com/learning/paths/advance-your-skills-as-an-individual-contributor" TargetMode="External"/><Relationship Id="rId19" Type="http://schemas.openxmlformats.org/officeDocument/2006/relationships/hyperlink" Target="https://www.linkedin.com/learning/learning-to-be-promotable" TargetMode="External"/><Relationship Id="rId14" Type="http://schemas.openxmlformats.org/officeDocument/2006/relationships/hyperlink" Target="https://www.linkedin.com/learning/transitioning-out-of-your-job" TargetMode="External"/><Relationship Id="rId22" Type="http://schemas.openxmlformats.org/officeDocument/2006/relationships/hyperlink" Target="https://www.linkedin.com/learning/making-a-career-change" TargetMode="External"/><Relationship Id="rId27" Type="http://schemas.openxmlformats.org/officeDocument/2006/relationships/hyperlink" Target="https://www.linkedin.com/learning/building-a-flexible-career" TargetMode="External"/><Relationship Id="rId30" Type="http://schemas.openxmlformats.org/officeDocument/2006/relationships/hyperlink" Target="https://www.linkedin.com/learning/what-to-do-in-the-first-90-days-of-your-new-job" TargetMode="External"/><Relationship Id="rId35" Type="http://schemas.openxmlformats.org/officeDocument/2006/relationships/hyperlink" Target="https://www.linkedin.com/learning/working-with-an-executive-coach" TargetMode="External"/><Relationship Id="rId43" Type="http://schemas.openxmlformats.org/officeDocument/2006/relationships/hyperlink" Target="https://www.linkedin.com/learning/women-transforming-tech-voices-from-the-field" TargetMode="External"/><Relationship Id="rId48" Type="http://schemas.openxmlformats.org/officeDocument/2006/relationships/hyperlink" Target="https://www.linkedin.com/learning/critical-roles-consultants-play-and-the-skills-you-need-to-fill-them" TargetMode="External"/><Relationship Id="rId56" Type="http://schemas.openxmlformats.org/officeDocument/2006/relationships/hyperlink" Target="https://www.linkedin.com/learning/leadership-strategies-for-women" TargetMode="External"/><Relationship Id="rId8" Type="http://schemas.openxmlformats.org/officeDocument/2006/relationships/hyperlink" Target="https://www.linkedin.com/learning/finding-a-remote-job" TargetMode="External"/><Relationship Id="rId51" Type="http://schemas.openxmlformats.org/officeDocument/2006/relationships/hyperlink" Target="https://www.linkedin.com/learning/rocking-your-first-retail-sales-job" TargetMode="External"/><Relationship Id="rId3" Type="http://schemas.openxmlformats.org/officeDocument/2006/relationships/hyperlink" Target="https://www.linkedin.com/learning/giving-your-elevator-pitch" TargetMode="External"/><Relationship Id="rId12" Type="http://schemas.openxmlformats.org/officeDocument/2006/relationships/hyperlink" Target="https://www.linkedin.com/learning/repairing-your-reputation" TargetMode="External"/><Relationship Id="rId17" Type="http://schemas.openxmlformats.org/officeDocument/2006/relationships/hyperlink" Target="https://www.linkedin.com/learning/managing-up-down-and-across-the-organization" TargetMode="External"/><Relationship Id="rId25" Type="http://schemas.openxmlformats.org/officeDocument/2006/relationships/hyperlink" Target="https://www.linkedin.com/learning/finding-a-job" TargetMode="External"/><Relationship Id="rId33" Type="http://schemas.openxmlformats.org/officeDocument/2006/relationships/hyperlink" Target="https://www.linkedin.com/learning/negotiating-your-salary-2" TargetMode="External"/><Relationship Id="rId38" Type="http://schemas.openxmlformats.org/officeDocument/2006/relationships/hyperlink" Target="https://www.linkedin.com/learning/managing-career-burnout" TargetMode="External"/><Relationship Id="rId46" Type="http://schemas.openxmlformats.org/officeDocument/2006/relationships/hyperlink" Target="https://www.linkedin.com/learning/women-helping-women-succeed-in-the-workplace" TargetMode="External"/><Relationship Id="rId59" Type="http://schemas.openxmlformats.org/officeDocument/2006/relationships/hyperlink" Target="https://www.linkedin.com/learning/paths/become-a-successful-job-hunter" TargetMode="External"/><Relationship Id="rId20" Type="http://schemas.openxmlformats.org/officeDocument/2006/relationships/hyperlink" Target="https://www.linkedin.com/learning/taking-charge-of-your-career" TargetMode="External"/><Relationship Id="rId41" Type="http://schemas.openxmlformats.org/officeDocument/2006/relationships/hyperlink" Target="https://www.linkedin.com/learning/how-to-get-a-pay-raise" TargetMode="External"/><Relationship Id="rId54" Type="http://schemas.openxmlformats.org/officeDocument/2006/relationships/hyperlink" Target="https://www.linkedin.com/learning/building-professional-relationships" TargetMode="External"/><Relationship Id="rId62" Type="http://schemas.openxmlformats.org/officeDocument/2006/relationships/hyperlink" Target="https://www.linkedin.com/learning/paths/become-a-successful-remote-worker" TargetMode="External"/><Relationship Id="rId1" Type="http://schemas.openxmlformats.org/officeDocument/2006/relationships/hyperlink" Target="https://www.linkedin.com/learning/disrupting-yourself" TargetMode="External"/><Relationship Id="rId6" Type="http://schemas.openxmlformats.org/officeDocument/2006/relationships/hyperlink" Target="https://www.linkedin.com/learning/j-t-o-donnell-on-making-recruiters-come-to-you" TargetMode="External"/><Relationship Id="rId15" Type="http://schemas.openxmlformats.org/officeDocument/2006/relationships/hyperlink" Target="https://www.linkedin.com/learning/florent-groberg-on-finding-your-purpose-after-active-duty" TargetMode="External"/><Relationship Id="rId23" Type="http://schemas.openxmlformats.org/officeDocument/2006/relationships/hyperlink" Target="https://www.linkedin.com/learning/work-stories-experiences-that-influence-careers" TargetMode="External"/><Relationship Id="rId28" Type="http://schemas.openxmlformats.org/officeDocument/2006/relationships/hyperlink" Target="https://www.linkedin.com/learning/how-to-develop-your-career-plan" TargetMode="External"/><Relationship Id="rId36" Type="http://schemas.openxmlformats.org/officeDocument/2006/relationships/hyperlink" Target="https://www.linkedin.com/learning/working-remotely-2" TargetMode="External"/><Relationship Id="rId49" Type="http://schemas.openxmlformats.org/officeDocument/2006/relationships/hyperlink" Target="https://www.linkedin.com/learning/preparing-for-your-review-2" TargetMode="External"/><Relationship Id="rId57" Type="http://schemas.openxmlformats.org/officeDocument/2006/relationships/hyperlink" Target="https://www.linkedin.com/learning/extreme-productivity-blinkist" TargetMode="External"/><Relationship Id="rId10" Type="http://schemas.openxmlformats.org/officeDocument/2006/relationships/hyperlink" Target="https://www.linkedin.com/learning/turning-an-internship-into-a-job" TargetMode="External"/><Relationship Id="rId31" Type="http://schemas.openxmlformats.org/officeDocument/2006/relationships/hyperlink" Target="https://www.linkedin.com/learning/how-to-quit-your-job-the-right-way" TargetMode="External"/><Relationship Id="rId44" Type="http://schemas.openxmlformats.org/officeDocument/2006/relationships/hyperlink" Target="https://www.linkedin.com/learning/returning-to-work-after-family-leave" TargetMode="External"/><Relationship Id="rId52" Type="http://schemas.openxmlformats.org/officeDocument/2006/relationships/hyperlink" Target="https://www.linkedin.com/learning/managing-your-career-as-an-introvert" TargetMode="External"/><Relationship Id="rId60" Type="http://schemas.openxmlformats.org/officeDocument/2006/relationships/hyperlink" Target="https://www.linkedin.com/learning/paths/transition-from-military-to-civilian-employment" TargetMode="External"/><Relationship Id="rId4" Type="http://schemas.openxmlformats.org/officeDocument/2006/relationships/hyperlink" Target="https://www.linkedin.com/learning/learning-to-be-assertive" TargetMode="External"/><Relationship Id="rId9" Type="http://schemas.openxmlformats.org/officeDocument/2006/relationships/hyperlink" Target="https://www.linkedin.com/learning/mastering-common-interview-questions" TargetMode="External"/></Relationships>
</file>

<file path=xl/worksheets/_rels/sheet9.xml.rels><?xml version="1.0" encoding="UTF-8" standalone="yes"?>
<Relationships xmlns="http://schemas.openxmlformats.org/package/2006/relationships"><Relationship Id="rId8" Type="http://schemas.openxmlformats.org/officeDocument/2006/relationships/hyperlink" Target="https://www.linkedin.com/learning/communicating-across-cultures-2" TargetMode="External"/><Relationship Id="rId13" Type="http://schemas.openxmlformats.org/officeDocument/2006/relationships/hyperlink" Target="https://www.linkedin.com/learning/diversity-and-inclusion-in-a-global-enterprise" TargetMode="External"/><Relationship Id="rId18" Type="http://schemas.openxmlformats.org/officeDocument/2006/relationships/hyperlink" Target="https://www.linkedin.com/learning/communicating-about-culturally-sensitive-issues" TargetMode="External"/><Relationship Id="rId3" Type="http://schemas.openxmlformats.org/officeDocument/2006/relationships/hyperlink" Target="https://www.linkedin.com/learning/bystander-training-from-bystander-to-upstander" TargetMode="External"/><Relationship Id="rId21" Type="http://schemas.openxmlformats.org/officeDocument/2006/relationships/hyperlink" Target="https://www.linkedin.com/learning/managing-diversity-2" TargetMode="External"/><Relationship Id="rId7" Type="http://schemas.openxmlformats.org/officeDocument/2006/relationships/hyperlink" Target="https://www.linkedin.com/learning/skills-for-inclusive-conversations" TargetMode="External"/><Relationship Id="rId12" Type="http://schemas.openxmlformats.org/officeDocument/2006/relationships/hyperlink" Target="https://www.linkedin.com/learning/developing-cross-cultural-intelligence" TargetMode="External"/><Relationship Id="rId17" Type="http://schemas.openxmlformats.org/officeDocument/2006/relationships/hyperlink" Target="https://www.linkedin.com/learning/multinational-communication-in-the-workplace" TargetMode="External"/><Relationship Id="rId2" Type="http://schemas.openxmlformats.org/officeDocument/2006/relationships/hyperlink" Target="https://www.linkedin.com/learning/leading-globally" TargetMode="External"/><Relationship Id="rId16" Type="http://schemas.openxmlformats.org/officeDocument/2006/relationships/hyperlink" Target="https://www.linkedin.com/learning/teaching-civility-in-the-workplace" TargetMode="External"/><Relationship Id="rId20" Type="http://schemas.openxmlformats.org/officeDocument/2006/relationships/hyperlink" Target="https://www.linkedin.com/learning/managing-a-multigenerational-workforce" TargetMode="External"/><Relationship Id="rId1" Type="http://schemas.openxmlformats.org/officeDocument/2006/relationships/hyperlink" Target="https://www.linkedin.com/learning/inclusive-leadership" TargetMode="External"/><Relationship Id="rId6" Type="http://schemas.openxmlformats.org/officeDocument/2006/relationships/hyperlink" Target="https://www.linkedin.com/learning/preventing-harassment-in-the-workplace" TargetMode="External"/><Relationship Id="rId11" Type="http://schemas.openxmlformats.org/officeDocument/2006/relationships/hyperlink" Target="https://www.linkedin.com/learning/cultivating-cultural-competence-and-inclusion" TargetMode="External"/><Relationship Id="rId24" Type="http://schemas.openxmlformats.org/officeDocument/2006/relationships/hyperlink" Target="https://www.linkedin.com/learning/managing-a-diverse-team" TargetMode="External"/><Relationship Id="rId5" Type="http://schemas.openxmlformats.org/officeDocument/2006/relationships/hyperlink" Target="https://www.linkedin.com/learning/fighting-gender-bias-at-work" TargetMode="External"/><Relationship Id="rId15" Type="http://schemas.openxmlformats.org/officeDocument/2006/relationships/hyperlink" Target="https://www.linkedin.com/learning/diversity-the-best-resource-for-achieving-business-goals" TargetMode="External"/><Relationship Id="rId23" Type="http://schemas.openxmlformats.org/officeDocument/2006/relationships/hyperlink" Target="https://www.linkedin.com/learning/unconscious-bias" TargetMode="External"/><Relationship Id="rId10" Type="http://schemas.openxmlformats.org/officeDocument/2006/relationships/hyperlink" Target="https://www.linkedin.com/learning/creating-change-diversity-and-inclusion-in-the-tech-industry" TargetMode="External"/><Relationship Id="rId19" Type="http://schemas.openxmlformats.org/officeDocument/2006/relationships/hyperlink" Target="https://www.linkedin.com/learning/leading-inclusive-teams" TargetMode="External"/><Relationship Id="rId4" Type="http://schemas.openxmlformats.org/officeDocument/2006/relationships/hyperlink" Target="https://www.linkedin.com/learning/cultivating-cultural-competence-and-inclusion" TargetMode="External"/><Relationship Id="rId9" Type="http://schemas.openxmlformats.org/officeDocument/2006/relationships/hyperlink" Target="https://www.linkedin.com/learning/confronting-bias-thriving-across-our-differences" TargetMode="External"/><Relationship Id="rId14" Type="http://schemas.openxmlformats.org/officeDocument/2006/relationships/hyperlink" Target="https://www.linkedin.com/learning/diversity-inclusion-and-belonging/welcome" TargetMode="External"/><Relationship Id="rId22" Type="http://schemas.openxmlformats.org/officeDocument/2006/relationships/hyperlink" Target="https://www.linkedin.com/learning/managing-multiple-generation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D10"/>
  <sheetViews>
    <sheetView tabSelected="1" workbookViewId="0">
      <selection sqref="A1:C1"/>
    </sheetView>
  </sheetViews>
  <sheetFormatPr baseColWidth="10" defaultColWidth="8.83203125" defaultRowHeight="13" x14ac:dyDescent="0.15"/>
  <cols>
    <col min="1" max="1" width="19.83203125" style="27" customWidth="1"/>
    <col min="2" max="2" width="28.5" style="20" bestFit="1" customWidth="1"/>
    <col min="3" max="3" width="75.1640625" style="26" customWidth="1"/>
  </cols>
  <sheetData>
    <row r="1" spans="1:4" ht="60.5" customHeight="1" x14ac:dyDescent="0.15">
      <c r="A1" s="40" t="s">
        <v>82</v>
      </c>
      <c r="B1" s="41"/>
      <c r="C1" s="41"/>
    </row>
    <row r="2" spans="1:4" ht="14" x14ac:dyDescent="0.15">
      <c r="A2" s="2" t="s">
        <v>83</v>
      </c>
      <c r="B2" s="2" t="s">
        <v>84</v>
      </c>
      <c r="C2" s="24" t="s">
        <v>85</v>
      </c>
    </row>
    <row r="3" spans="1:4" ht="58" customHeight="1" x14ac:dyDescent="0.15">
      <c r="A3" s="27">
        <v>1</v>
      </c>
      <c r="B3" s="21" t="s">
        <v>86</v>
      </c>
      <c r="C3" s="22" t="s">
        <v>87</v>
      </c>
    </row>
    <row r="4" spans="1:4" ht="64" x14ac:dyDescent="0.15">
      <c r="A4" s="27">
        <v>2</v>
      </c>
      <c r="B4" s="21" t="s">
        <v>88</v>
      </c>
      <c r="C4" s="25" t="s">
        <v>89</v>
      </c>
      <c r="D4" s="21"/>
    </row>
    <row r="5" spans="1:4" ht="42" x14ac:dyDescent="0.15">
      <c r="A5" s="27">
        <v>3</v>
      </c>
      <c r="B5" s="21" t="s">
        <v>90</v>
      </c>
      <c r="C5" s="23" t="s">
        <v>91</v>
      </c>
    </row>
    <row r="6" spans="1:4" ht="42" x14ac:dyDescent="0.15">
      <c r="A6" s="27">
        <v>4</v>
      </c>
      <c r="B6" s="21" t="s">
        <v>92</v>
      </c>
      <c r="C6" s="23" t="s">
        <v>93</v>
      </c>
    </row>
    <row r="7" spans="1:4" ht="56" x14ac:dyDescent="0.15">
      <c r="A7" s="27">
        <v>5</v>
      </c>
      <c r="B7" s="21" t="s">
        <v>94</v>
      </c>
      <c r="C7" s="23" t="s">
        <v>95</v>
      </c>
    </row>
    <row r="8" spans="1:4" ht="70" x14ac:dyDescent="0.15">
      <c r="A8" s="27">
        <v>6</v>
      </c>
      <c r="B8" s="21" t="s">
        <v>96</v>
      </c>
      <c r="C8" s="23" t="s">
        <v>97</v>
      </c>
    </row>
    <row r="9" spans="1:4" ht="70" x14ac:dyDescent="0.15">
      <c r="A9" s="27">
        <v>7</v>
      </c>
      <c r="B9" s="21" t="s">
        <v>98</v>
      </c>
      <c r="C9" s="23" t="s">
        <v>99</v>
      </c>
    </row>
    <row r="10" spans="1:4" ht="42" x14ac:dyDescent="0.15">
      <c r="A10" s="27">
        <v>8</v>
      </c>
      <c r="B10" s="21" t="s">
        <v>100</v>
      </c>
      <c r="C10" s="23" t="s">
        <v>101</v>
      </c>
    </row>
  </sheetData>
  <mergeCells count="1">
    <mergeCell ref="A1:C1"/>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rgb="FF38761D"/>
    <outlinePr summaryBelow="0" summaryRight="0"/>
  </sheetPr>
  <dimension ref="A1:Q27"/>
  <sheetViews>
    <sheetView showGridLines="0" topLeftCell="B1" workbookViewId="0">
      <pane ySplit="2" topLeftCell="A20" activePane="bottomLeft" state="frozen"/>
      <selection pane="bottomLeft" activeCell="B29" sqref="B29"/>
    </sheetView>
  </sheetViews>
  <sheetFormatPr baseColWidth="10" defaultColWidth="14.5" defaultRowHeight="15.75" customHeight="1" x14ac:dyDescent="0.15"/>
  <cols>
    <col min="1" max="1" width="6.5" hidden="1" customWidth="1"/>
    <col min="2" max="2" width="6.5" customWidth="1"/>
    <col min="3" max="4" width="13.5" customWidth="1"/>
    <col min="5" max="5" width="18" customWidth="1"/>
    <col min="6" max="6" width="20.5" customWidth="1"/>
    <col min="7" max="7" width="0.5" customWidth="1"/>
    <col min="8" max="8" width="13.5" customWidth="1"/>
    <col min="9" max="9" width="18" customWidth="1"/>
    <col min="10" max="10" width="0.5" customWidth="1"/>
    <col min="11" max="11" width="52.5" customWidth="1"/>
    <col min="12" max="12" width="0.5" customWidth="1"/>
    <col min="13" max="13" width="13.5" customWidth="1"/>
    <col min="14" max="14" width="0.5" customWidth="1"/>
    <col min="15" max="15" width="18" customWidth="1"/>
    <col min="16" max="16" width="36.83203125" customWidth="1"/>
    <col min="17" max="17" width="32.5" customWidth="1"/>
  </cols>
  <sheetData>
    <row r="1" spans="1:17" ht="27.75" customHeight="1" x14ac:dyDescent="0.15">
      <c r="A1" s="1"/>
      <c r="B1" s="1"/>
      <c r="C1" s="47" t="s">
        <v>11</v>
      </c>
      <c r="D1" s="41"/>
      <c r="E1" s="41"/>
      <c r="F1" s="41"/>
      <c r="G1" s="6"/>
      <c r="H1" s="47" t="s">
        <v>12</v>
      </c>
      <c r="I1" s="41"/>
      <c r="J1" s="41"/>
      <c r="K1" s="41"/>
      <c r="L1" s="41"/>
      <c r="M1" s="41"/>
      <c r="N1" s="6"/>
      <c r="O1" s="47" t="s">
        <v>6</v>
      </c>
      <c r="P1" s="41"/>
      <c r="Q1" s="41"/>
    </row>
    <row r="2" spans="1:17" ht="15.75" customHeight="1" x14ac:dyDescent="0.15">
      <c r="A2" s="8"/>
      <c r="B2" s="8"/>
      <c r="C2" s="8"/>
      <c r="D2" s="60"/>
      <c r="E2" s="41"/>
      <c r="F2" s="41"/>
      <c r="G2" s="9"/>
      <c r="H2" s="62"/>
      <c r="I2" s="56"/>
      <c r="J2" s="56"/>
      <c r="K2" s="56"/>
      <c r="L2" s="56"/>
      <c r="M2" s="57"/>
      <c r="N2" s="9"/>
      <c r="O2" s="10"/>
      <c r="P2" s="10"/>
      <c r="Q2" s="11"/>
    </row>
    <row r="3" spans="1:17" ht="84" x14ac:dyDescent="0.15">
      <c r="A3" s="12" t="s">
        <v>13</v>
      </c>
      <c r="B3" s="52" t="str">
        <f>HYPERLINK("https://www.linkedin.com/learning/collections/6572757565430657024","Accountability and Results-Oriented")</f>
        <v>Accountability and Results-Oriented</v>
      </c>
      <c r="C3" s="53"/>
      <c r="D3" s="53"/>
      <c r="E3" s="53"/>
      <c r="F3" s="54"/>
      <c r="G3" s="6"/>
      <c r="H3" s="63" t="s">
        <v>14</v>
      </c>
      <c r="I3" s="53"/>
      <c r="J3" s="53"/>
      <c r="K3" s="53"/>
      <c r="L3" s="53"/>
      <c r="M3" s="54"/>
      <c r="N3" s="6"/>
      <c r="O3" s="61" t="s">
        <v>15</v>
      </c>
      <c r="P3" s="53"/>
      <c r="Q3" s="54"/>
    </row>
    <row r="4" spans="1:17" ht="28" x14ac:dyDescent="0.15">
      <c r="A4" s="12" t="s">
        <v>1</v>
      </c>
      <c r="B4" s="52" t="str">
        <f>HYPERLINK("https://www.linkedin.com/learning/collections/6572758806621667328","Adaptability")</f>
        <v>Adaptability</v>
      </c>
      <c r="C4" s="53"/>
      <c r="D4" s="53"/>
      <c r="E4" s="53"/>
      <c r="F4" s="54"/>
      <c r="G4" s="6"/>
      <c r="H4" s="55" t="s">
        <v>16</v>
      </c>
      <c r="I4" s="56"/>
      <c r="J4" s="56"/>
      <c r="K4" s="56"/>
      <c r="L4" s="56"/>
      <c r="M4" s="57"/>
      <c r="N4" s="6"/>
      <c r="O4" s="58" t="s">
        <v>17</v>
      </c>
      <c r="P4" s="56"/>
      <c r="Q4" s="57"/>
    </row>
    <row r="5" spans="1:17" ht="98" x14ac:dyDescent="0.15">
      <c r="A5" s="12" t="s">
        <v>18</v>
      </c>
      <c r="B5" s="52" t="str">
        <f>HYPERLINK("https://www.linkedin.com/learning/collections/6572759023114866688","Building and Managing Effective Teams")</f>
        <v>Building and Managing Effective Teams</v>
      </c>
      <c r="C5" s="53"/>
      <c r="D5" s="53"/>
      <c r="E5" s="53"/>
      <c r="F5" s="54"/>
      <c r="G5" s="6"/>
      <c r="H5" s="55" t="s">
        <v>19</v>
      </c>
      <c r="I5" s="56"/>
      <c r="J5" s="56"/>
      <c r="K5" s="56"/>
      <c r="L5" s="56"/>
      <c r="M5" s="57"/>
      <c r="N5" s="6"/>
      <c r="O5" s="58" t="s">
        <v>20</v>
      </c>
      <c r="P5" s="56"/>
      <c r="Q5" s="57"/>
    </row>
    <row r="6" spans="1:17" ht="98" x14ac:dyDescent="0.15">
      <c r="A6" s="12" t="s">
        <v>5</v>
      </c>
      <c r="B6" s="52" t="str">
        <f>HYPERLINK("https://www.linkedin.com/learning/collections/6572759275326758912","Building Trust and Collaborating with Others")</f>
        <v>Building Trust and Collaborating with Others</v>
      </c>
      <c r="C6" s="53"/>
      <c r="D6" s="53"/>
      <c r="E6" s="53"/>
      <c r="F6" s="54"/>
      <c r="G6" s="6"/>
      <c r="H6" s="55" t="s">
        <v>21</v>
      </c>
      <c r="I6" s="56"/>
      <c r="J6" s="56"/>
      <c r="K6" s="56"/>
      <c r="L6" s="56"/>
      <c r="M6" s="57"/>
      <c r="N6" s="6"/>
      <c r="O6" s="58" t="s">
        <v>22</v>
      </c>
      <c r="P6" s="56"/>
      <c r="Q6" s="57"/>
    </row>
    <row r="7" spans="1:17" ht="98" x14ac:dyDescent="0.15">
      <c r="A7" s="12" t="s">
        <v>23</v>
      </c>
      <c r="B7" s="52" t="str">
        <f>HYPERLINK("https://www.linkedin.com/learning/collections/6572759702382399488","Communication and Interpersonal Influence")</f>
        <v>Communication and Interpersonal Influence</v>
      </c>
      <c r="C7" s="53"/>
      <c r="D7" s="53"/>
      <c r="E7" s="53"/>
      <c r="F7" s="54"/>
      <c r="G7" s="6"/>
      <c r="H7" s="55" t="s">
        <v>24</v>
      </c>
      <c r="I7" s="56"/>
      <c r="J7" s="56"/>
      <c r="K7" s="56"/>
      <c r="L7" s="56"/>
      <c r="M7" s="57"/>
      <c r="N7" s="6"/>
      <c r="O7" s="58" t="s">
        <v>25</v>
      </c>
      <c r="P7" s="56"/>
      <c r="Q7" s="57"/>
    </row>
    <row r="8" spans="1:17" ht="126" x14ac:dyDescent="0.15">
      <c r="A8" s="12" t="s">
        <v>26</v>
      </c>
      <c r="B8" s="52" t="str">
        <f>HYPERLINK("https://www.linkedin.com/learning/collections/6572759796569694208","Conflict Management and Conflict Resolution")</f>
        <v>Conflict Management and Conflict Resolution</v>
      </c>
      <c r="C8" s="53"/>
      <c r="D8" s="53"/>
      <c r="E8" s="53"/>
      <c r="F8" s="54"/>
      <c r="G8" s="6"/>
      <c r="H8" s="55" t="s">
        <v>27</v>
      </c>
      <c r="I8" s="56"/>
      <c r="J8" s="56"/>
      <c r="K8" s="56"/>
      <c r="L8" s="56"/>
      <c r="M8" s="57"/>
      <c r="N8" s="6"/>
      <c r="O8" s="58" t="s">
        <v>28</v>
      </c>
      <c r="P8" s="56"/>
      <c r="Q8" s="57"/>
    </row>
    <row r="9" spans="1:17" ht="168" x14ac:dyDescent="0.15">
      <c r="A9" s="12" t="s">
        <v>29</v>
      </c>
      <c r="B9" s="52" t="str">
        <f>HYPERLINK("https://www.linkedin.com/learning/collections/6572759851817066496","Content Marketing, Digital Marketing, and Marketing Strategies")</f>
        <v>Content Marketing, Digital Marketing, and Marketing Strategies</v>
      </c>
      <c r="C9" s="53"/>
      <c r="D9" s="53"/>
      <c r="E9" s="53"/>
      <c r="F9" s="54"/>
      <c r="G9" s="6"/>
      <c r="H9" s="55" t="s">
        <v>30</v>
      </c>
      <c r="I9" s="56"/>
      <c r="J9" s="56"/>
      <c r="K9" s="56"/>
      <c r="L9" s="56"/>
      <c r="M9" s="57"/>
      <c r="N9" s="6"/>
      <c r="O9" s="58" t="s">
        <v>31</v>
      </c>
      <c r="P9" s="56"/>
      <c r="Q9" s="57"/>
    </row>
    <row r="10" spans="1:17" ht="84" x14ac:dyDescent="0.15">
      <c r="A10" s="12" t="s">
        <v>32</v>
      </c>
      <c r="B10" s="52" t="str">
        <f>HYPERLINK("https://www.linkedin.com/learning/collections/6572759900135452672","Creative Thinking and Innovation")</f>
        <v>Creative Thinking and Innovation</v>
      </c>
      <c r="C10" s="53"/>
      <c r="D10" s="53"/>
      <c r="E10" s="53"/>
      <c r="F10" s="54"/>
      <c r="G10" s="6"/>
      <c r="H10" s="55" t="s">
        <v>33</v>
      </c>
      <c r="I10" s="56"/>
      <c r="J10" s="56"/>
      <c r="K10" s="56"/>
      <c r="L10" s="56"/>
      <c r="M10" s="57"/>
      <c r="N10" s="6"/>
      <c r="O10" s="58" t="s">
        <v>34</v>
      </c>
      <c r="P10" s="56"/>
      <c r="Q10" s="57"/>
    </row>
    <row r="11" spans="1:17" ht="154" x14ac:dyDescent="0.15">
      <c r="A11" s="12" t="s">
        <v>0</v>
      </c>
      <c r="B11" s="52" t="str">
        <f>HYPERLINK("https://www.linkedin.com/learning/collections/6572760119430438912","Critical Thinking, Decision Making, and Problem Solving")</f>
        <v>Critical Thinking, Decision Making, and Problem Solving</v>
      </c>
      <c r="C11" s="53"/>
      <c r="D11" s="53"/>
      <c r="E11" s="53"/>
      <c r="F11" s="54"/>
      <c r="G11" s="6"/>
      <c r="H11" s="55" t="s">
        <v>35</v>
      </c>
      <c r="I11" s="56"/>
      <c r="J11" s="56"/>
      <c r="K11" s="56"/>
      <c r="L11" s="56"/>
      <c r="M11" s="57"/>
      <c r="N11" s="6"/>
      <c r="O11" s="58" t="s">
        <v>36</v>
      </c>
      <c r="P11" s="56"/>
      <c r="Q11" s="57"/>
    </row>
    <row r="12" spans="1:17" ht="42" x14ac:dyDescent="0.15">
      <c r="A12" s="12" t="s">
        <v>37</v>
      </c>
      <c r="B12" s="52" t="str">
        <f>HYPERLINK("https://www.linkedin.com/learning/collections/6572760223625334784","Customer Focus")</f>
        <v>Customer Focus</v>
      </c>
      <c r="C12" s="53"/>
      <c r="D12" s="53"/>
      <c r="E12" s="53"/>
      <c r="F12" s="54"/>
      <c r="G12" s="6"/>
      <c r="H12" s="55" t="s">
        <v>38</v>
      </c>
      <c r="I12" s="56"/>
      <c r="J12" s="56"/>
      <c r="K12" s="56"/>
      <c r="L12" s="56"/>
      <c r="M12" s="57"/>
      <c r="N12" s="6"/>
      <c r="O12" s="58" t="s">
        <v>39</v>
      </c>
      <c r="P12" s="56"/>
      <c r="Q12" s="57"/>
    </row>
    <row r="13" spans="1:17" ht="42" x14ac:dyDescent="0.15">
      <c r="A13" s="12" t="s">
        <v>40</v>
      </c>
      <c r="B13" s="52" t="str">
        <f>HYPERLINK("https://www.linkedin.com/learning/collections/6572760314943729664","Data Analysis")</f>
        <v>Data Analysis</v>
      </c>
      <c r="C13" s="53"/>
      <c r="D13" s="53"/>
      <c r="E13" s="53"/>
      <c r="F13" s="54"/>
      <c r="G13" s="6"/>
      <c r="H13" s="55" t="s">
        <v>41</v>
      </c>
      <c r="I13" s="56"/>
      <c r="J13" s="56"/>
      <c r="K13" s="56"/>
      <c r="L13" s="56"/>
      <c r="M13" s="57"/>
      <c r="N13" s="6"/>
      <c r="O13" s="58" t="s">
        <v>42</v>
      </c>
      <c r="P13" s="56"/>
      <c r="Q13" s="57"/>
    </row>
    <row r="14" spans="1:17" ht="112" x14ac:dyDescent="0.15">
      <c r="A14" s="14" t="s">
        <v>4</v>
      </c>
      <c r="B14" s="52" t="str">
        <f>HYPERLINK("https://www.linkedin.com/learning/collections/6572761463264464897","Values Diversity, Inclusion, and Belonging")</f>
        <v>Values Diversity, Inclusion, and Belonging</v>
      </c>
      <c r="C14" s="53"/>
      <c r="D14" s="53"/>
      <c r="E14" s="53"/>
      <c r="F14" s="54"/>
      <c r="G14" s="6"/>
      <c r="H14" s="55" t="s">
        <v>43</v>
      </c>
      <c r="I14" s="56"/>
      <c r="J14" s="56"/>
      <c r="K14" s="56"/>
      <c r="L14" s="56"/>
      <c r="M14" s="57"/>
      <c r="N14" s="6"/>
      <c r="O14" s="58" t="s">
        <v>44</v>
      </c>
      <c r="P14" s="56"/>
      <c r="Q14" s="57"/>
    </row>
    <row r="15" spans="1:17" ht="84" x14ac:dyDescent="0.15">
      <c r="A15" s="12" t="s">
        <v>45</v>
      </c>
      <c r="B15" s="52" t="str">
        <f>HYPERLINK("https://www.linkedin.com/learning/collections/6572760418857611264","Financial and Accounting Knowledge")</f>
        <v>Financial and Accounting Knowledge</v>
      </c>
      <c r="C15" s="53"/>
      <c r="D15" s="53"/>
      <c r="E15" s="53"/>
      <c r="F15" s="54"/>
      <c r="G15" s="6"/>
      <c r="H15" s="55" t="s">
        <v>46</v>
      </c>
      <c r="I15" s="56"/>
      <c r="J15" s="56"/>
      <c r="K15" s="56"/>
      <c r="L15" s="56"/>
      <c r="M15" s="57"/>
      <c r="N15" s="6"/>
      <c r="O15" s="58" t="s">
        <v>47</v>
      </c>
      <c r="P15" s="56"/>
      <c r="Q15" s="57"/>
    </row>
    <row r="16" spans="1:17" ht="112" x14ac:dyDescent="0.15">
      <c r="A16" s="12" t="s">
        <v>48</v>
      </c>
      <c r="B16" s="52" t="str">
        <f>HYPERLINK("https://www.linkedin.com/learning/collections/6572761727996358656","Human Resources Knowledge and HR Management")</f>
        <v>Human Resources Knowledge and HR Management</v>
      </c>
      <c r="C16" s="53"/>
      <c r="D16" s="53"/>
      <c r="E16" s="53"/>
      <c r="F16" s="54"/>
      <c r="G16" s="6"/>
      <c r="H16" s="55" t="s">
        <v>49</v>
      </c>
      <c r="I16" s="56"/>
      <c r="J16" s="56"/>
      <c r="K16" s="56"/>
      <c r="L16" s="56"/>
      <c r="M16" s="57"/>
      <c r="N16" s="6"/>
      <c r="O16" s="58" t="s">
        <v>50</v>
      </c>
      <c r="P16" s="56"/>
      <c r="Q16" s="57"/>
    </row>
    <row r="17" spans="1:17" ht="42" x14ac:dyDescent="0.15">
      <c r="A17" s="12" t="s">
        <v>51</v>
      </c>
      <c r="B17" s="52" t="str">
        <f>HYPERLINK("https://www.linkedin.com/learning/collections/6572760498348056576","Leading Change")</f>
        <v>Leading Change</v>
      </c>
      <c r="C17" s="53"/>
      <c r="D17" s="53"/>
      <c r="E17" s="53"/>
      <c r="F17" s="54"/>
      <c r="G17" s="6"/>
      <c r="H17" s="55" t="s">
        <v>52</v>
      </c>
      <c r="I17" s="56"/>
      <c r="J17" s="56"/>
      <c r="K17" s="56"/>
      <c r="L17" s="56"/>
      <c r="M17" s="57"/>
      <c r="N17" s="6"/>
      <c r="O17" s="58" t="s">
        <v>53</v>
      </c>
      <c r="P17" s="56"/>
      <c r="Q17" s="57"/>
    </row>
    <row r="18" spans="1:17" ht="154" x14ac:dyDescent="0.15">
      <c r="A18" s="12" t="s">
        <v>3</v>
      </c>
      <c r="B18" s="52" t="str">
        <f>HYPERLINK("https://www.linkedin.com/learning/collections/6572760880012935168","Leading Others Effectively and Transformational Leadership")</f>
        <v>Leading Others Effectively and Transformational Leadership</v>
      </c>
      <c r="C18" s="53"/>
      <c r="D18" s="53"/>
      <c r="E18" s="53"/>
      <c r="F18" s="54"/>
      <c r="G18" s="6"/>
      <c r="H18" s="55" t="s">
        <v>54</v>
      </c>
      <c r="I18" s="56"/>
      <c r="J18" s="56"/>
      <c r="K18" s="56"/>
      <c r="L18" s="56"/>
      <c r="M18" s="57"/>
      <c r="N18" s="6"/>
      <c r="O18" s="58" t="s">
        <v>55</v>
      </c>
      <c r="P18" s="56"/>
      <c r="Q18" s="57"/>
    </row>
    <row r="19" spans="1:17" ht="70" x14ac:dyDescent="0.15">
      <c r="A19" s="12" t="s">
        <v>56</v>
      </c>
      <c r="B19" s="52" t="str">
        <f>HYPERLINK("https://www.linkedin.com/learning/collections/6572760956672237568","Managing Others Effectively")</f>
        <v>Managing Others Effectively</v>
      </c>
      <c r="C19" s="53"/>
      <c r="D19" s="53"/>
      <c r="E19" s="53"/>
      <c r="F19" s="54"/>
      <c r="G19" s="6"/>
      <c r="H19" s="55" t="s">
        <v>57</v>
      </c>
      <c r="I19" s="56"/>
      <c r="J19" s="56"/>
      <c r="K19" s="56"/>
      <c r="L19" s="56"/>
      <c r="M19" s="57"/>
      <c r="N19" s="6"/>
      <c r="O19" s="58" t="s">
        <v>58</v>
      </c>
      <c r="P19" s="56"/>
      <c r="Q19" s="57"/>
    </row>
    <row r="20" spans="1:17" ht="126" x14ac:dyDescent="0.15">
      <c r="A20" s="12" t="s">
        <v>59</v>
      </c>
      <c r="B20" s="52" t="str">
        <f>HYPERLINK("https://www.linkedin.com/learning/collections/6572761504758714368","Operational Excellence and Process Improvement")</f>
        <v>Operational Excellence and Process Improvement</v>
      </c>
      <c r="C20" s="53"/>
      <c r="D20" s="53"/>
      <c r="E20" s="53"/>
      <c r="F20" s="54"/>
      <c r="G20" s="6"/>
      <c r="H20" s="55" t="s">
        <v>60</v>
      </c>
      <c r="I20" s="56"/>
      <c r="J20" s="56"/>
      <c r="K20" s="56"/>
      <c r="L20" s="56"/>
      <c r="M20" s="57"/>
      <c r="N20" s="6"/>
      <c r="O20" s="58" t="s">
        <v>61</v>
      </c>
      <c r="P20" s="56"/>
      <c r="Q20" s="57"/>
    </row>
    <row r="21" spans="1:17" ht="42" x14ac:dyDescent="0.15">
      <c r="A21" s="12" t="s">
        <v>62</v>
      </c>
      <c r="B21" s="52" t="str">
        <f>HYPERLINK("https://www.linkedin.com/learning/collections/6572761575814422528","Presentation Skills")</f>
        <v>Presentation Skills</v>
      </c>
      <c r="C21" s="53"/>
      <c r="D21" s="53"/>
      <c r="E21" s="53"/>
      <c r="F21" s="54"/>
      <c r="G21" s="6"/>
      <c r="H21" s="55" t="s">
        <v>63</v>
      </c>
      <c r="I21" s="56"/>
      <c r="J21" s="56"/>
      <c r="K21" s="56"/>
      <c r="L21" s="56"/>
      <c r="M21" s="57"/>
      <c r="N21" s="6"/>
      <c r="O21" s="58" t="s">
        <v>64</v>
      </c>
      <c r="P21" s="56"/>
      <c r="Q21" s="57"/>
    </row>
    <row r="22" spans="1:17" ht="56" x14ac:dyDescent="0.15">
      <c r="A22" s="12" t="s">
        <v>65</v>
      </c>
      <c r="B22" s="52" t="str">
        <f>HYPERLINK("https://www.linkedin.com/learning/collections/6572761021679755264","Project Management")</f>
        <v>Project Management</v>
      </c>
      <c r="C22" s="53"/>
      <c r="D22" s="53"/>
      <c r="E22" s="53"/>
      <c r="F22" s="54"/>
      <c r="G22" s="6"/>
      <c r="H22" s="55" t="s">
        <v>66</v>
      </c>
      <c r="I22" s="56"/>
      <c r="J22" s="56"/>
      <c r="K22" s="56"/>
      <c r="L22" s="56"/>
      <c r="M22" s="57"/>
      <c r="N22" s="6"/>
      <c r="O22" s="58" t="s">
        <v>67</v>
      </c>
      <c r="P22" s="56"/>
      <c r="Q22" s="57"/>
    </row>
    <row r="23" spans="1:17" ht="84" x14ac:dyDescent="0.15">
      <c r="A23" s="14" t="s">
        <v>68</v>
      </c>
      <c r="B23" s="59" t="str">
        <f>HYPERLINK("https://www.linkedin.com/learning/collections/6575233100555567104","Sales Knowledge and Sales Skills")</f>
        <v>Sales Knowledge and Sales Skills</v>
      </c>
      <c r="C23" s="53"/>
      <c r="D23" s="53"/>
      <c r="E23" s="53"/>
      <c r="F23" s="54"/>
      <c r="G23" s="6"/>
      <c r="H23" s="55" t="s">
        <v>69</v>
      </c>
      <c r="I23" s="56"/>
      <c r="J23" s="56"/>
      <c r="K23" s="56"/>
      <c r="L23" s="56"/>
      <c r="M23" s="57"/>
      <c r="N23" s="6"/>
      <c r="O23" s="58" t="s">
        <v>70</v>
      </c>
      <c r="P23" s="56"/>
      <c r="Q23" s="57"/>
    </row>
    <row r="24" spans="1:17" ht="112" x14ac:dyDescent="0.15">
      <c r="A24" s="15" t="s">
        <v>71</v>
      </c>
      <c r="B24" s="52" t="str">
        <f>HYPERLINK("https://www.linkedin.com/learning/collections/6572761233437581312","Strategic Planning and Strategic Thinking")</f>
        <v>Strategic Planning and Strategic Thinking</v>
      </c>
      <c r="C24" s="53"/>
      <c r="D24" s="53"/>
      <c r="E24" s="53"/>
      <c r="F24" s="54"/>
      <c r="G24" s="6"/>
      <c r="H24" s="55" t="s">
        <v>72</v>
      </c>
      <c r="I24" s="56"/>
      <c r="J24" s="56"/>
      <c r="K24" s="56"/>
      <c r="L24" s="56"/>
      <c r="M24" s="57"/>
      <c r="N24" s="6"/>
      <c r="O24" s="58" t="s">
        <v>73</v>
      </c>
      <c r="P24" s="56"/>
      <c r="Q24" s="57"/>
    </row>
    <row r="25" spans="1:17" ht="42" x14ac:dyDescent="0.15">
      <c r="A25" s="12" t="s">
        <v>74</v>
      </c>
      <c r="B25" s="52" t="str">
        <f>HYPERLINK("https://www.linkedin.com/learning/collections/6572761357295378432","Talent Development")</f>
        <v>Talent Development</v>
      </c>
      <c r="C25" s="53"/>
      <c r="D25" s="53"/>
      <c r="E25" s="53"/>
      <c r="F25" s="54"/>
      <c r="G25" s="6"/>
      <c r="H25" s="55" t="s">
        <v>75</v>
      </c>
      <c r="I25" s="56"/>
      <c r="J25" s="56"/>
      <c r="K25" s="56"/>
      <c r="L25" s="56"/>
      <c r="M25" s="57"/>
      <c r="N25" s="6"/>
      <c r="O25" s="58" t="s">
        <v>76</v>
      </c>
      <c r="P25" s="56"/>
      <c r="Q25" s="57"/>
    </row>
    <row r="26" spans="1:17" ht="42" x14ac:dyDescent="0.15">
      <c r="A26" s="12" t="s">
        <v>77</v>
      </c>
      <c r="B26" s="52" t="str">
        <f>HYPERLINK("https://www.linkedin.com/learning/collections/6572761413834592256","Talent Management")</f>
        <v>Talent Management</v>
      </c>
      <c r="C26" s="53"/>
      <c r="D26" s="53"/>
      <c r="E26" s="53"/>
      <c r="F26" s="54"/>
      <c r="G26" s="6"/>
      <c r="H26" s="55" t="s">
        <v>78</v>
      </c>
      <c r="I26" s="56"/>
      <c r="J26" s="56"/>
      <c r="K26" s="56"/>
      <c r="L26" s="56"/>
      <c r="M26" s="57"/>
      <c r="N26" s="6"/>
      <c r="O26" s="58" t="s">
        <v>79</v>
      </c>
      <c r="P26" s="56"/>
      <c r="Q26" s="57"/>
    </row>
    <row r="27" spans="1:17" ht="98" x14ac:dyDescent="0.15">
      <c r="A27" s="12" t="s">
        <v>2</v>
      </c>
      <c r="B27" s="52" t="str">
        <f>HYPERLINK("https://www.linkedin.com/learning/collections/6572761624418021376","Writing Skills and Writing Proficiency")</f>
        <v>Writing Skills and Writing Proficiency</v>
      </c>
      <c r="C27" s="53"/>
      <c r="D27" s="53"/>
      <c r="E27" s="53"/>
      <c r="F27" s="54"/>
      <c r="G27" s="6"/>
      <c r="H27" s="55" t="s">
        <v>80</v>
      </c>
      <c r="I27" s="56"/>
      <c r="J27" s="56"/>
      <c r="K27" s="56"/>
      <c r="L27" s="56"/>
      <c r="M27" s="57"/>
      <c r="N27" s="6"/>
      <c r="O27" s="58" t="s">
        <v>81</v>
      </c>
      <c r="P27" s="56"/>
      <c r="Q27" s="57"/>
    </row>
  </sheetData>
  <mergeCells count="80">
    <mergeCell ref="H11:M11"/>
    <mergeCell ref="B9:F9"/>
    <mergeCell ref="B10:F10"/>
    <mergeCell ref="B11:F11"/>
    <mergeCell ref="B6:F6"/>
    <mergeCell ref="B7:F7"/>
    <mergeCell ref="B8:F8"/>
    <mergeCell ref="B5:F5"/>
    <mergeCell ref="B4:F4"/>
    <mergeCell ref="B3:F3"/>
    <mergeCell ref="H4:M4"/>
    <mergeCell ref="H3:M3"/>
    <mergeCell ref="H1:M1"/>
    <mergeCell ref="O1:Q1"/>
    <mergeCell ref="H6:M6"/>
    <mergeCell ref="H7:M7"/>
    <mergeCell ref="H10:M10"/>
    <mergeCell ref="H8:M8"/>
    <mergeCell ref="O4:Q4"/>
    <mergeCell ref="O3:Q3"/>
    <mergeCell ref="O6:Q6"/>
    <mergeCell ref="O5:Q5"/>
    <mergeCell ref="H2:M2"/>
    <mergeCell ref="H9:M9"/>
    <mergeCell ref="C1:F1"/>
    <mergeCell ref="D2:F2"/>
    <mergeCell ref="H5:M5"/>
    <mergeCell ref="O21:Q21"/>
    <mergeCell ref="O17:Q17"/>
    <mergeCell ref="O8:Q8"/>
    <mergeCell ref="O7:Q7"/>
    <mergeCell ref="O10:Q10"/>
    <mergeCell ref="O11:Q11"/>
    <mergeCell ref="O9:Q9"/>
    <mergeCell ref="O12:Q12"/>
    <mergeCell ref="O13:Q13"/>
    <mergeCell ref="B20:F20"/>
    <mergeCell ref="B21:F21"/>
    <mergeCell ref="B18:F18"/>
    <mergeCell ref="B13:F13"/>
    <mergeCell ref="H18:M18"/>
    <mergeCell ref="H22:M22"/>
    <mergeCell ref="O19:Q19"/>
    <mergeCell ref="O18:Q18"/>
    <mergeCell ref="O14:Q14"/>
    <mergeCell ref="O27:Q27"/>
    <mergeCell ref="O26:Q26"/>
    <mergeCell ref="B26:F26"/>
    <mergeCell ref="B25:F25"/>
    <mergeCell ref="H27:M27"/>
    <mergeCell ref="B27:F27"/>
    <mergeCell ref="H26:M26"/>
    <mergeCell ref="H25:M25"/>
    <mergeCell ref="H23:M23"/>
    <mergeCell ref="H24:M24"/>
    <mergeCell ref="B19:F19"/>
    <mergeCell ref="B24:F24"/>
    <mergeCell ref="B23:F23"/>
    <mergeCell ref="B22:F22"/>
    <mergeCell ref="H20:M20"/>
    <mergeCell ref="H19:M19"/>
    <mergeCell ref="H21:M21"/>
    <mergeCell ref="O24:Q24"/>
    <mergeCell ref="O25:Q25"/>
    <mergeCell ref="O20:Q20"/>
    <mergeCell ref="O15:Q15"/>
    <mergeCell ref="O16:Q16"/>
    <mergeCell ref="O23:Q23"/>
    <mergeCell ref="O22:Q22"/>
    <mergeCell ref="B12:F12"/>
    <mergeCell ref="H17:M17"/>
    <mergeCell ref="H12:M12"/>
    <mergeCell ref="H13:M13"/>
    <mergeCell ref="H16:M16"/>
    <mergeCell ref="B16:F16"/>
    <mergeCell ref="B15:F15"/>
    <mergeCell ref="B17:F17"/>
    <mergeCell ref="B14:F14"/>
    <mergeCell ref="H14:M14"/>
    <mergeCell ref="H15:M1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4"/>
    <outlinePr summaryBelow="0" summaryRight="0"/>
    <pageSetUpPr fitToPage="1"/>
  </sheetPr>
  <dimension ref="A1:F101"/>
  <sheetViews>
    <sheetView showGridLines="0" zoomScale="101" workbookViewId="0">
      <selection sqref="A1:D1"/>
    </sheetView>
  </sheetViews>
  <sheetFormatPr baseColWidth="10" defaultColWidth="14.5" defaultRowHeight="15.75" customHeight="1" x14ac:dyDescent="0.15"/>
  <cols>
    <col min="1" max="1" width="10" bestFit="1" customWidth="1"/>
    <col min="2" max="2" width="11.6640625" bestFit="1" customWidth="1"/>
    <col min="3" max="3" width="36.83203125" customWidth="1"/>
    <col min="4" max="4" width="55" customWidth="1"/>
    <col min="5" max="5" width="77.83203125" bestFit="1" customWidth="1"/>
    <col min="6" max="6" width="59.83203125" bestFit="1" customWidth="1"/>
  </cols>
  <sheetData>
    <row r="1" spans="1:6" ht="27.75" customHeight="1" x14ac:dyDescent="0.15">
      <c r="A1" s="46" t="s">
        <v>0</v>
      </c>
      <c r="B1" s="43"/>
      <c r="C1" s="43"/>
      <c r="D1" s="43"/>
      <c r="F1" s="37"/>
    </row>
    <row r="2" spans="1:6" ht="14" x14ac:dyDescent="0.15">
      <c r="A2" s="42" t="s">
        <v>6</v>
      </c>
      <c r="B2" s="43"/>
      <c r="C2" s="43"/>
      <c r="D2" s="43"/>
      <c r="E2" s="37"/>
      <c r="F2" s="37"/>
    </row>
    <row r="3" spans="1:6" ht="53" customHeight="1" x14ac:dyDescent="0.15">
      <c r="A3" s="44" t="str">
        <f ca="1">IFERROR(__xludf.DUMMYFUNCTION("IFERROR(UNIQUE(FILTER('Top 25 Competency Collections'!O:O,'Top 25 Competency Collections'!A:A= A1)))"),"Decision Quality, Judgement, Timely Decision-Making, Decision-Making, Problem/Opportunity Analysis, Operational Decision Making, Problem Solving, Analytical Thinking, Logical Reasoning, Intellectual Horsepower")</f>
        <v>Decision Quality, Judgement, Timely Decision-Making, Decision-Making, Problem/Opportunity Analysis, Operational Decision Making, Problem Solving, Analytical Thinking, Logical Reasoning, Intellectual Horsepower</v>
      </c>
      <c r="B3" s="45"/>
      <c r="C3" s="45"/>
      <c r="D3" s="45"/>
      <c r="E3" s="37"/>
      <c r="F3" s="37"/>
    </row>
    <row r="4" spans="1:6" ht="14" x14ac:dyDescent="0.15">
      <c r="A4" s="36" t="s">
        <v>7</v>
      </c>
      <c r="B4" s="36" t="s">
        <v>8</v>
      </c>
      <c r="C4" s="36" t="s">
        <v>9</v>
      </c>
      <c r="D4" s="36" t="s">
        <v>10</v>
      </c>
      <c r="E4" s="36" t="s">
        <v>297</v>
      </c>
      <c r="F4" s="36" t="s">
        <v>261</v>
      </c>
    </row>
    <row r="5" spans="1:6" ht="15" x14ac:dyDescent="0.15">
      <c r="A5" s="3">
        <f ca="1">IFERROR(__xludf.DUMMYFUNCTION("FILTER('All Competencies'!B:B,'All Competencies'!A:A=A1)"),170777)</f>
        <v>170777</v>
      </c>
      <c r="B5" s="3" t="str">
        <f ca="1">IFERROR(__xludf.DUMMYFUNCTION("FILTER('All Competencies'!C:C,'All Competencies'!A:A=A1)"),"Beginner")</f>
        <v>Beginner</v>
      </c>
      <c r="C5" s="4" t="str">
        <f ca="1">IFERROR(__xludf.DUMMYFUNCTION("FILTER('All Competencies'!D:D,'All Competencies'!A:A=A1)"),"Building Resilience")</f>
        <v>Building Resilience</v>
      </c>
      <c r="D5" s="35" t="str">
        <f ca="1">IFERROR(__xludf.DUMMYFUNCTION("FILTER('All Competencies'!E:E,'All Competencies'!A:A=A1)"),"Improve Your Organizational Skills")</f>
        <v>Improve Your Organizational Skills</v>
      </c>
      <c r="E5" s="33" t="s">
        <v>266</v>
      </c>
      <c r="F5" s="38" t="s">
        <v>295</v>
      </c>
    </row>
    <row r="6" spans="1:6" ht="30" x14ac:dyDescent="0.15">
      <c r="A6" s="3">
        <f ca="1">IFERROR(__xludf.DUMMYFUNCTION("""COMPUTED_VALUE"""),424116)</f>
        <v>424116</v>
      </c>
      <c r="B6" s="3" t="str">
        <f ca="1">IFERROR(__xludf.DUMMYFUNCTION("""COMPUTED_VALUE"""),"Beginner")</f>
        <v>Beginner</v>
      </c>
      <c r="C6" s="4" t="str">
        <f ca="1">IFERROR(__xludf.DUMMYFUNCTION("""COMPUTED_VALUE"""),"Critical Thinking")</f>
        <v>Critical Thinking</v>
      </c>
      <c r="D6" s="35" t="str">
        <f ca="1">IFERROR(__xludf.DUMMYFUNCTION("""COMPUTED_VALUE"""),"Improve Your Problem-Solving Skills")</f>
        <v>Improve Your Problem-Solving Skills</v>
      </c>
      <c r="E6" s="35" t="s">
        <v>267</v>
      </c>
      <c r="F6" s="35" t="s">
        <v>296</v>
      </c>
    </row>
    <row r="7" spans="1:6" ht="15" x14ac:dyDescent="0.15">
      <c r="A7" s="3">
        <f ca="1">IFERROR(__xludf.DUMMYFUNCTION("""COMPUTED_VALUE"""),718628)</f>
        <v>718628</v>
      </c>
      <c r="B7" s="3" t="str">
        <f ca="1">IFERROR(__xludf.DUMMYFUNCTION("""COMPUTED_VALUE"""),"Beginner")</f>
        <v>Beginner</v>
      </c>
      <c r="C7" s="4" t="str">
        <f ca="1">IFERROR(__xludf.DUMMYFUNCTION("""COMPUTED_VALUE"""),"Cultivating a Growth Mindset")</f>
        <v>Cultivating a Growth Mindset</v>
      </c>
      <c r="D7" s="13" t="str">
        <f ca="1">IFERROR(__xludf.DUMMYFUNCTION("""COMPUTED_VALUE"""),"")</f>
        <v/>
      </c>
      <c r="E7" s="35" t="s">
        <v>268</v>
      </c>
      <c r="F7" s="35"/>
    </row>
    <row r="8" spans="1:6" ht="15" x14ac:dyDescent="0.15">
      <c r="A8" s="3">
        <f ca="1">IFERROR(__xludf.DUMMYFUNCTION("""COMPUTED_VALUE"""),186697)</f>
        <v>186697</v>
      </c>
      <c r="B8" s="3" t="str">
        <f ca="1">IFERROR(__xludf.DUMMYFUNCTION("""COMPUTED_VALUE"""),"Beginner")</f>
        <v>Beginner</v>
      </c>
      <c r="C8" s="4" t="str">
        <f ca="1">IFERROR(__xludf.DUMMYFUNCTION("""COMPUTED_VALUE"""),"Decision-Making Strategies")</f>
        <v>Decision-Making Strategies</v>
      </c>
      <c r="D8" s="13" t="str">
        <f ca="1">IFERROR(__xludf.DUMMYFUNCTION("""COMPUTED_VALUE"""),"")</f>
        <v/>
      </c>
      <c r="E8" s="35" t="s">
        <v>269</v>
      </c>
      <c r="F8" s="35"/>
    </row>
    <row r="9" spans="1:6" ht="15" x14ac:dyDescent="0.15">
      <c r="A9" s="3">
        <f ca="1">IFERROR(__xludf.DUMMYFUNCTION("""COMPUTED_VALUE"""),777381)</f>
        <v>777381</v>
      </c>
      <c r="B9" s="3" t="str">
        <f ca="1">IFERROR(__xludf.DUMMYFUNCTION("""COMPUTED_VALUE"""),"Beginner")</f>
        <v>Beginner</v>
      </c>
      <c r="C9" s="4" t="str">
        <f ca="1">IFERROR(__xludf.DUMMYFUNCTION("""COMPUTED_VALUE"""),"Delivering Results Effectively")</f>
        <v>Delivering Results Effectively</v>
      </c>
      <c r="D9" s="13" t="str">
        <f ca="1">IFERROR(__xludf.DUMMYFUNCTION("""COMPUTED_VALUE"""),"")</f>
        <v/>
      </c>
      <c r="E9" s="35" t="s">
        <v>270</v>
      </c>
      <c r="F9" s="35"/>
    </row>
    <row r="10" spans="1:6" ht="30" x14ac:dyDescent="0.15">
      <c r="A10" s="3">
        <f ca="1">IFERROR(__xludf.DUMMYFUNCTION("""COMPUTED_VALUE"""),661751)</f>
        <v>661751</v>
      </c>
      <c r="B10" s="3" t="str">
        <f ca="1">IFERROR(__xludf.DUMMYFUNCTION("""COMPUTED_VALUE"""),"Beginner")</f>
        <v>Beginner</v>
      </c>
      <c r="C10" s="4" t="str">
        <f ca="1">IFERROR(__xludf.DUMMYFUNCTION("""COMPUTED_VALUE"""),"Developing a Learning Mindset")</f>
        <v>Developing a Learning Mindset</v>
      </c>
      <c r="D10" s="13" t="str">
        <f ca="1">IFERROR(__xludf.DUMMYFUNCTION("""COMPUTED_VALUE"""),"")</f>
        <v/>
      </c>
      <c r="E10" s="35" t="s">
        <v>271</v>
      </c>
      <c r="F10" s="35"/>
    </row>
    <row r="11" spans="1:6" ht="15" x14ac:dyDescent="0.15">
      <c r="A11" s="3">
        <f ca="1">IFERROR(__xludf.DUMMYFUNCTION("""COMPUTED_VALUE"""),718618)</f>
        <v>718618</v>
      </c>
      <c r="B11" s="3" t="str">
        <f ca="1">IFERROR(__xludf.DUMMYFUNCTION("""COMPUTED_VALUE"""),"Beginner")</f>
        <v>Beginner</v>
      </c>
      <c r="C11" s="4" t="str">
        <f ca="1">IFERROR(__xludf.DUMMYFUNCTION("""COMPUTED_VALUE"""),"Enhancing Resilience")</f>
        <v>Enhancing Resilience</v>
      </c>
      <c r="D11" s="13" t="str">
        <f ca="1">IFERROR(__xludf.DUMMYFUNCTION("""COMPUTED_VALUE"""),"")</f>
        <v/>
      </c>
      <c r="E11" s="35" t="s">
        <v>272</v>
      </c>
      <c r="F11" s="35"/>
    </row>
    <row r="12" spans="1:6" ht="15" x14ac:dyDescent="0.15">
      <c r="A12" s="3">
        <f ca="1">IFERROR(__xludf.DUMMYFUNCTION("""COMPUTED_VALUE"""),88536)</f>
        <v>88536</v>
      </c>
      <c r="B12" s="3" t="str">
        <f ca="1">IFERROR(__xludf.DUMMYFUNCTION("""COMPUTED_VALUE"""),"Beginner")</f>
        <v>Beginner</v>
      </c>
      <c r="C12" s="4" t="str">
        <f ca="1">IFERROR(__xludf.DUMMYFUNCTION("""COMPUTED_VALUE"""),"Enhancing Your Productivity")</f>
        <v>Enhancing Your Productivity</v>
      </c>
      <c r="D12" s="13" t="str">
        <f ca="1">IFERROR(__xludf.DUMMYFUNCTION("""COMPUTED_VALUE"""),"")</f>
        <v/>
      </c>
      <c r="E12" s="35" t="s">
        <v>273</v>
      </c>
      <c r="F12" s="35"/>
    </row>
    <row r="13" spans="1:6" ht="30" x14ac:dyDescent="0.15">
      <c r="A13" s="3">
        <f ca="1">IFERROR(__xludf.DUMMYFUNCTION("""COMPUTED_VALUE"""),458641)</f>
        <v>458641</v>
      </c>
      <c r="B13" s="3" t="str">
        <f ca="1">IFERROR(__xludf.DUMMYFUNCTION("""COMPUTED_VALUE"""),"Beginner")</f>
        <v>Beginner</v>
      </c>
      <c r="C13" s="4" t="str">
        <f ca="1">IFERROR(__xludf.DUMMYFUNCTION("""COMPUTED_VALUE"""),"Fred Kofman on Making Commitments")</f>
        <v>Fred Kofman on Making Commitments</v>
      </c>
      <c r="D13" s="13" t="str">
        <f ca="1">IFERROR(__xludf.DUMMYFUNCTION("""COMPUTED_VALUE"""),"")</f>
        <v/>
      </c>
      <c r="E13" s="35" t="s">
        <v>274</v>
      </c>
      <c r="F13" s="35"/>
    </row>
    <row r="14" spans="1:6" ht="15" x14ac:dyDescent="0.15">
      <c r="A14" s="3">
        <f ca="1">IFERROR(__xludf.DUMMYFUNCTION("""COMPUTED_VALUE"""),161053)</f>
        <v>161053</v>
      </c>
      <c r="B14" s="3" t="str">
        <f ca="1">IFERROR(__xludf.DUMMYFUNCTION("""COMPUTED_VALUE"""),"Beginner")</f>
        <v>Beginner</v>
      </c>
      <c r="C14" s="4" t="str">
        <f ca="1">IFERROR(__xludf.DUMMYFUNCTION("""COMPUTED_VALUE"""),"Ideas that Resonate")</f>
        <v>Ideas that Resonate</v>
      </c>
      <c r="D14" s="13" t="str">
        <f ca="1">IFERROR(__xludf.DUMMYFUNCTION("""COMPUTED_VALUE"""),"")</f>
        <v/>
      </c>
      <c r="E14" s="35" t="s">
        <v>275</v>
      </c>
      <c r="F14" s="35"/>
    </row>
    <row r="15" spans="1:6" ht="15" x14ac:dyDescent="0.15">
      <c r="A15" s="3">
        <f ca="1">IFERROR(__xludf.DUMMYFUNCTION("""COMPUTED_VALUE"""),162446)</f>
        <v>162446</v>
      </c>
      <c r="B15" s="3" t="str">
        <f ca="1">IFERROR(__xludf.DUMMYFUNCTION("""COMPUTED_VALUE"""),"Beginner")</f>
        <v>Beginner</v>
      </c>
      <c r="C15" s="4" t="str">
        <f ca="1">IFERROR(__xludf.DUMMYFUNCTION("""COMPUTED_VALUE"""),"Improving Your Judgment")</f>
        <v>Improving Your Judgment</v>
      </c>
      <c r="D15" s="13" t="str">
        <f ca="1">IFERROR(__xludf.DUMMYFUNCTION("""COMPUTED_VALUE"""),"")</f>
        <v/>
      </c>
      <c r="E15" s="35" t="s">
        <v>276</v>
      </c>
      <c r="F15" s="35"/>
    </row>
    <row r="16" spans="1:6" ht="15" x14ac:dyDescent="0.15">
      <c r="A16" s="3">
        <f ca="1">IFERROR(__xludf.DUMMYFUNCTION("""COMPUTED_VALUE"""),661749)</f>
        <v>661749</v>
      </c>
      <c r="B16" s="3" t="str">
        <f ca="1">IFERROR(__xludf.DUMMYFUNCTION("""COMPUTED_VALUE"""),"Beginner")</f>
        <v>Beginner</v>
      </c>
      <c r="C16" s="4" t="str">
        <f ca="1">IFERROR(__xludf.DUMMYFUNCTION("""COMPUTED_VALUE"""),"Learning Agility")</f>
        <v>Learning Agility</v>
      </c>
      <c r="D16" s="13" t="str">
        <f ca="1">IFERROR(__xludf.DUMMYFUNCTION("""COMPUTED_VALUE"""),"")</f>
        <v/>
      </c>
      <c r="E16" s="35" t="s">
        <v>277</v>
      </c>
      <c r="F16" s="35"/>
    </row>
    <row r="17" spans="1:6" ht="15" x14ac:dyDescent="0.15">
      <c r="A17" s="3">
        <f ca="1">IFERROR(__xludf.DUMMYFUNCTION("""COMPUTED_VALUE"""),363225)</f>
        <v>363225</v>
      </c>
      <c r="B17" s="3" t="str">
        <f ca="1">IFERROR(__xludf.DUMMYFUNCTION("""COMPUTED_VALUE"""),"Beginner")</f>
        <v>Beginner</v>
      </c>
      <c r="C17" s="4" t="str">
        <f ca="1">IFERROR(__xludf.DUMMYFUNCTION("""COMPUTED_VALUE"""),"Learning from Failure")</f>
        <v>Learning from Failure</v>
      </c>
      <c r="D17" s="13" t="str">
        <f ca="1">IFERROR(__xludf.DUMMYFUNCTION("""COMPUTED_VALUE"""),"")</f>
        <v/>
      </c>
      <c r="E17" s="35" t="s">
        <v>278</v>
      </c>
      <c r="F17" s="35"/>
    </row>
    <row r="18" spans="1:6" ht="15" x14ac:dyDescent="0.15">
      <c r="A18" s="3">
        <f ca="1">IFERROR(__xludf.DUMMYFUNCTION("""COMPUTED_VALUE"""),144201)</f>
        <v>144201</v>
      </c>
      <c r="B18" s="3" t="str">
        <f ca="1">IFERROR(__xludf.DUMMYFUNCTION("""COMPUTED_VALUE"""),"Beginner")</f>
        <v>Beginner</v>
      </c>
      <c r="C18" s="4" t="str">
        <f ca="1">IFERROR(__xludf.DUMMYFUNCTION("""COMPUTED_VALUE"""),"Making Decisions")</f>
        <v>Making Decisions</v>
      </c>
      <c r="D18" s="13" t="str">
        <f ca="1">IFERROR(__xludf.DUMMYFUNCTION("""COMPUTED_VALUE"""),"")</f>
        <v/>
      </c>
      <c r="E18" s="35" t="s">
        <v>279</v>
      </c>
      <c r="F18" s="35"/>
    </row>
    <row r="19" spans="1:6" ht="15" x14ac:dyDescent="0.15">
      <c r="A19" s="3">
        <f ca="1">IFERROR(__xludf.DUMMYFUNCTION("""COMPUTED_VALUE"""),114903)</f>
        <v>114903</v>
      </c>
      <c r="B19" s="3" t="str">
        <f ca="1">IFERROR(__xludf.DUMMYFUNCTION("""COMPUTED_VALUE"""),"Beginner")</f>
        <v>Beginner</v>
      </c>
      <c r="C19" s="4" t="str">
        <f ca="1">IFERROR(__xludf.DUMMYFUNCTION("""COMPUTED_VALUE"""),"Monday Productivity Pointers")</f>
        <v>Monday Productivity Pointers</v>
      </c>
      <c r="D19" s="13" t="str">
        <f ca="1">IFERROR(__xludf.DUMMYFUNCTION("""COMPUTED_VALUE"""),"")</f>
        <v/>
      </c>
      <c r="E19" s="35" t="s">
        <v>280</v>
      </c>
      <c r="F19" s="35"/>
    </row>
    <row r="20" spans="1:6" ht="15" x14ac:dyDescent="0.15">
      <c r="A20" s="3">
        <f ca="1">IFERROR(__xludf.DUMMYFUNCTION("""COMPUTED_VALUE"""),737763)</f>
        <v>737763</v>
      </c>
      <c r="B20" s="3" t="str">
        <f ca="1">IFERROR(__xludf.DUMMYFUNCTION("""COMPUTED_VALUE"""),"Beginner")</f>
        <v>Beginner</v>
      </c>
      <c r="C20" s="4" t="str">
        <f ca="1">IFERROR(__xludf.DUMMYFUNCTION("""COMPUTED_VALUE"""),"Prioritizing Your Tasks")</f>
        <v>Prioritizing Your Tasks</v>
      </c>
      <c r="D20" s="13" t="str">
        <f ca="1">IFERROR(__xludf.DUMMYFUNCTION("""COMPUTED_VALUE"""),"")</f>
        <v/>
      </c>
      <c r="E20" s="35" t="s">
        <v>281</v>
      </c>
      <c r="F20" s="35"/>
    </row>
    <row r="21" spans="1:6" ht="15" x14ac:dyDescent="0.15">
      <c r="A21" s="3">
        <f ca="1">IFERROR(__xludf.DUMMYFUNCTION("""COMPUTED_VALUE"""),553700)</f>
        <v>553700</v>
      </c>
      <c r="B21" s="3" t="str">
        <f ca="1">IFERROR(__xludf.DUMMYFUNCTION("""COMPUTED_VALUE"""),"Beginner")</f>
        <v>Beginner</v>
      </c>
      <c r="C21" s="4" t="str">
        <f ca="1">IFERROR(__xludf.DUMMYFUNCTION("""COMPUTED_VALUE"""),"Problem Solving Techniques")</f>
        <v>Problem Solving Techniques</v>
      </c>
      <c r="D21" s="13" t="str">
        <f ca="1">IFERROR(__xludf.DUMMYFUNCTION("""COMPUTED_VALUE"""),"")</f>
        <v/>
      </c>
      <c r="E21" s="35" t="s">
        <v>282</v>
      </c>
      <c r="F21" s="35"/>
    </row>
    <row r="22" spans="1:6" ht="30" x14ac:dyDescent="0.15">
      <c r="A22" s="3">
        <f ca="1">IFERROR(__xludf.DUMMYFUNCTION("""COMPUTED_VALUE"""),365729)</f>
        <v>365729</v>
      </c>
      <c r="B22" s="3" t="str">
        <f ca="1">IFERROR(__xludf.DUMMYFUNCTION("""COMPUTED_VALUE"""),"Beginner")</f>
        <v>Beginner</v>
      </c>
      <c r="C22" s="4" t="str">
        <f ca="1">IFERROR(__xludf.DUMMYFUNCTION("""COMPUTED_VALUE"""),"Process Improvement Foundations")</f>
        <v>Process Improvement Foundations</v>
      </c>
      <c r="D22" s="13" t="str">
        <f ca="1">IFERROR(__xludf.DUMMYFUNCTION("""COMPUTED_VALUE"""),"")</f>
        <v/>
      </c>
      <c r="E22" s="35" t="s">
        <v>283</v>
      </c>
      <c r="F22" s="35"/>
    </row>
    <row r="23" spans="1:6" ht="30" x14ac:dyDescent="0.15">
      <c r="A23" s="3">
        <f ca="1">IFERROR(__xludf.DUMMYFUNCTION("""COMPUTED_VALUE"""),669533)</f>
        <v>669533</v>
      </c>
      <c r="B23" s="3" t="str">
        <f ca="1">IFERROR(__xludf.DUMMYFUNCTION("""COMPUTED_VALUE"""),"Beginner")</f>
        <v>Beginner</v>
      </c>
      <c r="C23" s="4" t="str">
        <f ca="1">IFERROR(__xludf.DUMMYFUNCTION("""COMPUTED_VALUE"""),"Sheryl Sandberg and Adam Grant on Option B: Building Resilience")</f>
        <v>Sheryl Sandberg and Adam Grant on Option B: Building Resilience</v>
      </c>
      <c r="D23" s="13" t="str">
        <f ca="1">IFERROR(__xludf.DUMMYFUNCTION("""COMPUTED_VALUE"""),"")</f>
        <v/>
      </c>
      <c r="E23" s="35" t="s">
        <v>284</v>
      </c>
      <c r="F23" s="35"/>
    </row>
    <row r="24" spans="1:6" ht="15" x14ac:dyDescent="0.15">
      <c r="A24" s="3">
        <f ca="1">IFERROR(__xludf.DUMMYFUNCTION("""COMPUTED_VALUE"""),385661)</f>
        <v>385661</v>
      </c>
      <c r="B24" s="3" t="str">
        <f ca="1">IFERROR(__xludf.DUMMYFUNCTION("""COMPUTED_VALUE"""),"Beginner")</f>
        <v>Beginner</v>
      </c>
      <c r="C24" s="4" t="str">
        <f ca="1">IFERROR(__xludf.DUMMYFUNCTION("""COMPUTED_VALUE"""),"Simplifying Business Processes")</f>
        <v>Simplifying Business Processes</v>
      </c>
      <c r="D24" s="13" t="str">
        <f ca="1">IFERROR(__xludf.DUMMYFUNCTION("""COMPUTED_VALUE"""),"")</f>
        <v/>
      </c>
      <c r="E24" s="35" t="s">
        <v>285</v>
      </c>
      <c r="F24" s="35"/>
    </row>
    <row r="25" spans="1:6" ht="15" x14ac:dyDescent="0.15">
      <c r="A25" s="3">
        <f ca="1">IFERROR(__xludf.DUMMYFUNCTION("""COMPUTED_VALUE"""),155342)</f>
        <v>155342</v>
      </c>
      <c r="B25" s="3" t="str">
        <f ca="1">IFERROR(__xludf.DUMMYFUNCTION("""COMPUTED_VALUE"""),"Beginner")</f>
        <v>Beginner</v>
      </c>
      <c r="C25" s="4" t="str">
        <f ca="1">IFERROR(__xludf.DUMMYFUNCTION("""COMPUTED_VALUE"""),"Solving Business Problems")</f>
        <v>Solving Business Problems</v>
      </c>
      <c r="D25" s="13" t="str">
        <f ca="1">IFERROR(__xludf.DUMMYFUNCTION("""COMPUTED_VALUE"""),"")</f>
        <v/>
      </c>
      <c r="E25" s="35" t="s">
        <v>286</v>
      </c>
      <c r="F25" s="35"/>
    </row>
    <row r="26" spans="1:6" ht="15" x14ac:dyDescent="0.15">
      <c r="A26" s="3">
        <f ca="1">IFERROR(__xludf.DUMMYFUNCTION("""COMPUTED_VALUE"""),728377)</f>
        <v>728377</v>
      </c>
      <c r="B26" s="3" t="str">
        <f ca="1">IFERROR(__xludf.DUMMYFUNCTION("""COMPUTED_VALUE"""),"Beginner")</f>
        <v>Beginner</v>
      </c>
      <c r="C26" s="4" t="str">
        <f ca="1">IFERROR(__xludf.DUMMYFUNCTION("""COMPUTED_VALUE"""),"Successful Goal Setting")</f>
        <v>Successful Goal Setting</v>
      </c>
      <c r="D26" s="13" t="str">
        <f ca="1">IFERROR(__xludf.DUMMYFUNCTION("""COMPUTED_VALUE"""),"")</f>
        <v/>
      </c>
      <c r="E26" s="35" t="s">
        <v>287</v>
      </c>
      <c r="F26" s="35"/>
    </row>
    <row r="27" spans="1:6" ht="30" x14ac:dyDescent="0.15">
      <c r="A27" s="3">
        <f ca="1">IFERROR(__xludf.DUMMYFUNCTION("""COMPUTED_VALUE"""),2802468)</f>
        <v>2802468</v>
      </c>
      <c r="B27" s="3" t="str">
        <f ca="1">IFERROR(__xludf.DUMMYFUNCTION("""COMPUTED_VALUE"""),"Beginner")</f>
        <v>Beginner</v>
      </c>
      <c r="C27" s="4" t="str">
        <f ca="1">IFERROR(__xludf.DUMMYFUNCTION("""COMPUTED_VALUE"""),"Time-Tested Methods for Making Complex Decisions")</f>
        <v>Time-Tested Methods for Making Complex Decisions</v>
      </c>
      <c r="D27" s="13" t="str">
        <f ca="1">IFERROR(__xludf.DUMMYFUNCTION("""COMPUTED_VALUE"""),"")</f>
        <v/>
      </c>
      <c r="E27" s="35" t="s">
        <v>288</v>
      </c>
      <c r="F27" s="35"/>
    </row>
    <row r="28" spans="1:6" ht="30" x14ac:dyDescent="0.15">
      <c r="A28" s="3">
        <f ca="1">IFERROR(__xludf.DUMMYFUNCTION("""COMPUTED_VALUE"""),387349)</f>
        <v>387349</v>
      </c>
      <c r="B28" s="3" t="str">
        <f ca="1">IFERROR(__xludf.DUMMYFUNCTION("""COMPUTED_VALUE"""),"Beginner, Intermediate")</f>
        <v>Beginner, Intermediate</v>
      </c>
      <c r="C28" s="4" t="str">
        <f ca="1">IFERROR(__xludf.DUMMYFUNCTION("""COMPUTED_VALUE"""),"Powerless to Powerful: Taking Control")</f>
        <v>Powerless to Powerful: Taking Control</v>
      </c>
      <c r="D28" s="13" t="str">
        <f ca="1">IFERROR(__xludf.DUMMYFUNCTION("""COMPUTED_VALUE"""),"")</f>
        <v/>
      </c>
      <c r="E28" s="35" t="s">
        <v>289</v>
      </c>
      <c r="F28" s="35"/>
    </row>
    <row r="29" spans="1:6" ht="15" x14ac:dyDescent="0.15">
      <c r="A29" s="3">
        <f ca="1">IFERROR(__xludf.DUMMYFUNCTION("""COMPUTED_VALUE"""),753898)</f>
        <v>753898</v>
      </c>
      <c r="B29" s="3" t="str">
        <f ca="1">IFERROR(__xludf.DUMMYFUNCTION("""COMPUTED_VALUE"""),"Intermediate")</f>
        <v>Intermediate</v>
      </c>
      <c r="C29" s="4" t="str">
        <f ca="1">IFERROR(__xludf.DUMMYFUNCTION("""COMPUTED_VALUE"""),"Cultivating Mental Agility")</f>
        <v>Cultivating Mental Agility</v>
      </c>
      <c r="D29" s="13" t="str">
        <f ca="1">IFERROR(__xludf.DUMMYFUNCTION("""COMPUTED_VALUE"""),"")</f>
        <v/>
      </c>
      <c r="E29" s="35" t="s">
        <v>290</v>
      </c>
      <c r="F29" s="35"/>
    </row>
    <row r="30" spans="1:6" ht="15" x14ac:dyDescent="0.15">
      <c r="A30" s="3">
        <f ca="1">IFERROR(__xludf.DUMMYFUNCTION("""COMPUTED_VALUE"""),373992)</f>
        <v>373992</v>
      </c>
      <c r="B30" s="3" t="str">
        <f ca="1">IFERROR(__xludf.DUMMYFUNCTION("""COMPUTED_VALUE"""),"Intermediate")</f>
        <v>Intermediate</v>
      </c>
      <c r="C30" s="4" t="str">
        <f ca="1">IFERROR(__xludf.DUMMYFUNCTION("""COMPUTED_VALUE"""),"Executive Decision Making")</f>
        <v>Executive Decision Making</v>
      </c>
      <c r="D30" s="13" t="str">
        <f ca="1">IFERROR(__xludf.DUMMYFUNCTION("""COMPUTED_VALUE"""),"")</f>
        <v/>
      </c>
      <c r="E30" s="35" t="s">
        <v>291</v>
      </c>
      <c r="F30" s="35"/>
    </row>
    <row r="31" spans="1:6" ht="15" x14ac:dyDescent="0.15">
      <c r="A31" s="3">
        <f ca="1">IFERROR(__xludf.DUMMYFUNCTION("""COMPUTED_VALUE"""),5015863)</f>
        <v>5015863</v>
      </c>
      <c r="B31" s="3" t="str">
        <f ca="1">IFERROR(__xludf.DUMMYFUNCTION("""COMPUTED_VALUE"""),"Intermediate")</f>
        <v>Intermediate</v>
      </c>
      <c r="C31" s="4" t="str">
        <f ca="1">IFERROR(__xludf.DUMMYFUNCTION("""COMPUTED_VALUE"""),"Making Quick Decisions")</f>
        <v>Making Quick Decisions</v>
      </c>
      <c r="D31" s="13" t="str">
        <f ca="1">IFERROR(__xludf.DUMMYFUNCTION("""COMPUTED_VALUE"""),"")</f>
        <v/>
      </c>
      <c r="E31" s="35" t="s">
        <v>292</v>
      </c>
      <c r="F31" s="35"/>
    </row>
    <row r="32" spans="1:6" ht="30" x14ac:dyDescent="0.15">
      <c r="A32" s="3">
        <f ca="1">IFERROR(__xludf.DUMMYFUNCTION("""COMPUTED_VALUE"""),175639)</f>
        <v>175639</v>
      </c>
      <c r="B32" s="3" t="str">
        <f ca="1">IFERROR(__xludf.DUMMYFUNCTION("""COMPUTED_VALUE"""),"Intermediate")</f>
        <v>Intermediate</v>
      </c>
      <c r="C32" s="4" t="str">
        <f ca="1">IFERROR(__xludf.DUMMYFUNCTION("""COMPUTED_VALUE"""),"Project Management: Solving Common Project Problems")</f>
        <v>Project Management: Solving Common Project Problems</v>
      </c>
      <c r="D32" s="13" t="str">
        <f ca="1">IFERROR(__xludf.DUMMYFUNCTION("""COMPUTED_VALUE"""),"")</f>
        <v/>
      </c>
      <c r="E32" s="35" t="s">
        <v>293</v>
      </c>
      <c r="F32" s="35"/>
    </row>
    <row r="33" spans="1:6" ht="30" x14ac:dyDescent="0.15">
      <c r="A33" s="3">
        <f ca="1">IFERROR(__xludf.DUMMYFUNCTION("""COMPUTED_VALUE"""),2802468)</f>
        <v>2802468</v>
      </c>
      <c r="B33" s="3" t="str">
        <f ca="1">IFERROR(__xludf.DUMMYFUNCTION("""COMPUTED_VALUE"""),"Intermediate")</f>
        <v>Intermediate</v>
      </c>
      <c r="C33" s="4" t="str">
        <f ca="1">IFERROR(__xludf.DUMMYFUNCTION("""COMPUTED_VALUE"""),"Time-Tested Methods for Making Complex Decisions")</f>
        <v>Time-Tested Methods for Making Complex Decisions</v>
      </c>
      <c r="D33" s="13" t="str">
        <f ca="1">IFERROR(__xludf.DUMMYFUNCTION("""COMPUTED_VALUE"""),"")</f>
        <v/>
      </c>
      <c r="E33" s="35" t="s">
        <v>293</v>
      </c>
      <c r="F33" s="35"/>
    </row>
    <row r="34" spans="1:6" ht="30" x14ac:dyDescent="0.15">
      <c r="A34" s="3">
        <f ca="1">IFERROR(__xludf.DUMMYFUNCTION("""COMPUTED_VALUE"""),685022)</f>
        <v>685022</v>
      </c>
      <c r="B34" s="3" t="str">
        <f ca="1">IFERROR(__xludf.DUMMYFUNCTION("""COMPUTED_VALUE"""),"Intermediate")</f>
        <v>Intermediate</v>
      </c>
      <c r="C34" s="4" t="str">
        <f ca="1">IFERROR(__xludf.DUMMYFUNCTION("""COMPUTED_VALUE"""),"Using Questions to Foster Critical Thinking and Curiosity")</f>
        <v>Using Questions to Foster Critical Thinking and Curiosity</v>
      </c>
      <c r="D34" s="13" t="str">
        <f ca="1">IFERROR(__xludf.DUMMYFUNCTION("""COMPUTED_VALUE"""),"")</f>
        <v/>
      </c>
      <c r="E34" s="35" t="s">
        <v>294</v>
      </c>
      <c r="F34" s="35"/>
    </row>
    <row r="35" spans="1:6" ht="14" x14ac:dyDescent="0.15">
      <c r="A35" s="3"/>
      <c r="B35" s="3"/>
      <c r="C35" s="16"/>
      <c r="D35" s="7"/>
    </row>
    <row r="36" spans="1:6" ht="14" x14ac:dyDescent="0.15">
      <c r="A36" s="3"/>
      <c r="B36" s="3"/>
      <c r="C36" s="16"/>
      <c r="D36" s="7"/>
    </row>
    <row r="37" spans="1:6" ht="14" x14ac:dyDescent="0.15">
      <c r="A37" s="3"/>
      <c r="B37" s="3"/>
      <c r="C37" s="16"/>
      <c r="D37" s="7"/>
    </row>
    <row r="38" spans="1:6" ht="14" x14ac:dyDescent="0.15">
      <c r="A38" s="3"/>
      <c r="B38" s="3"/>
      <c r="C38" s="16"/>
      <c r="D38" s="7"/>
    </row>
    <row r="39" spans="1:6" ht="14" x14ac:dyDescent="0.15">
      <c r="A39" s="3"/>
      <c r="B39" s="3"/>
      <c r="C39" s="16"/>
      <c r="D39" s="7"/>
    </row>
    <row r="40" spans="1:6" ht="14" x14ac:dyDescent="0.15">
      <c r="A40" s="3"/>
      <c r="B40" s="3"/>
      <c r="C40" s="16"/>
      <c r="D40" s="7"/>
    </row>
    <row r="41" spans="1:6" ht="14" x14ac:dyDescent="0.15">
      <c r="A41" s="3"/>
      <c r="B41" s="3"/>
      <c r="C41" s="16"/>
      <c r="D41" s="7"/>
    </row>
    <row r="42" spans="1:6" ht="14" x14ac:dyDescent="0.15">
      <c r="A42" s="3"/>
      <c r="B42" s="3"/>
      <c r="C42" s="16"/>
      <c r="D42" s="7"/>
    </row>
    <row r="43" spans="1:6" ht="14" x14ac:dyDescent="0.15">
      <c r="A43" s="3"/>
      <c r="B43" s="3"/>
      <c r="C43" s="16"/>
      <c r="D43" s="7"/>
    </row>
    <row r="44" spans="1:6" ht="14" x14ac:dyDescent="0.15">
      <c r="A44" s="3"/>
      <c r="B44" s="3"/>
      <c r="C44" s="16"/>
      <c r="D44" s="7"/>
    </row>
    <row r="45" spans="1:6" ht="14" x14ac:dyDescent="0.15">
      <c r="A45" s="3"/>
      <c r="B45" s="3"/>
      <c r="C45" s="16"/>
      <c r="D45" s="7"/>
    </row>
    <row r="46" spans="1:6" ht="14" x14ac:dyDescent="0.15">
      <c r="A46" s="3"/>
      <c r="B46" s="3"/>
      <c r="C46" s="16"/>
      <c r="D46" s="7"/>
    </row>
    <row r="47" spans="1:6" ht="14" x14ac:dyDescent="0.15">
      <c r="A47" s="3"/>
      <c r="B47" s="3"/>
      <c r="C47" s="16"/>
      <c r="D47" s="7"/>
    </row>
    <row r="48" spans="1:6" ht="14" x14ac:dyDescent="0.15">
      <c r="A48" s="3"/>
      <c r="B48" s="3"/>
      <c r="C48" s="16"/>
      <c r="D48" s="7"/>
    </row>
    <row r="49" spans="1:4" ht="14" x14ac:dyDescent="0.15">
      <c r="A49" s="3"/>
      <c r="B49" s="3"/>
      <c r="C49" s="16"/>
      <c r="D49" s="7"/>
    </row>
    <row r="50" spans="1:4" ht="14" x14ac:dyDescent="0.15">
      <c r="A50" s="3"/>
      <c r="B50" s="3"/>
      <c r="C50" s="16"/>
      <c r="D50" s="7"/>
    </row>
    <row r="51" spans="1:4" ht="14" x14ac:dyDescent="0.15">
      <c r="A51" s="3"/>
      <c r="B51" s="3"/>
      <c r="C51" s="16"/>
      <c r="D51" s="7"/>
    </row>
    <row r="52" spans="1:4" ht="14" x14ac:dyDescent="0.15">
      <c r="A52" s="3"/>
      <c r="B52" s="3"/>
      <c r="C52" s="16"/>
      <c r="D52" s="7"/>
    </row>
    <row r="53" spans="1:4" ht="14" x14ac:dyDescent="0.15">
      <c r="A53" s="3"/>
      <c r="B53" s="3"/>
      <c r="C53" s="16"/>
      <c r="D53" s="7"/>
    </row>
    <row r="54" spans="1:4" ht="14" x14ac:dyDescent="0.15">
      <c r="A54" s="3"/>
      <c r="B54" s="3"/>
      <c r="C54" s="16"/>
      <c r="D54" s="7"/>
    </row>
    <row r="55" spans="1:4" ht="14" x14ac:dyDescent="0.15">
      <c r="A55" s="3"/>
      <c r="B55" s="3"/>
      <c r="C55" s="16"/>
      <c r="D55" s="7"/>
    </row>
    <row r="56" spans="1:4" ht="14" x14ac:dyDescent="0.15">
      <c r="A56" s="3"/>
      <c r="B56" s="3"/>
      <c r="C56" s="16"/>
      <c r="D56" s="7"/>
    </row>
    <row r="57" spans="1:4" ht="14" x14ac:dyDescent="0.15">
      <c r="A57" s="3"/>
      <c r="B57" s="3"/>
      <c r="C57" s="16"/>
      <c r="D57" s="7"/>
    </row>
    <row r="58" spans="1:4" ht="14" x14ac:dyDescent="0.15">
      <c r="A58" s="3"/>
      <c r="B58" s="3"/>
      <c r="C58" s="16"/>
      <c r="D58" s="7"/>
    </row>
    <row r="59" spans="1:4" ht="14" x14ac:dyDescent="0.15">
      <c r="A59" s="3"/>
      <c r="B59" s="3"/>
      <c r="C59" s="16"/>
      <c r="D59" s="7"/>
    </row>
    <row r="60" spans="1:4" ht="14" x14ac:dyDescent="0.15">
      <c r="A60" s="3"/>
      <c r="B60" s="3"/>
      <c r="C60" s="16"/>
      <c r="D60" s="7"/>
    </row>
    <row r="61" spans="1:4" ht="14" x14ac:dyDescent="0.15">
      <c r="A61" s="3"/>
      <c r="B61" s="3"/>
      <c r="C61" s="16"/>
      <c r="D61" s="7"/>
    </row>
    <row r="62" spans="1:4" ht="14" x14ac:dyDescent="0.15">
      <c r="A62" s="3"/>
      <c r="B62" s="3"/>
      <c r="C62" s="16"/>
      <c r="D62" s="7"/>
    </row>
    <row r="63" spans="1:4" ht="14" x14ac:dyDescent="0.15">
      <c r="A63" s="3"/>
      <c r="B63" s="3"/>
      <c r="C63" s="16"/>
      <c r="D63" s="7"/>
    </row>
    <row r="64" spans="1:4" ht="14" x14ac:dyDescent="0.15">
      <c r="A64" s="3"/>
      <c r="B64" s="3"/>
      <c r="C64" s="16"/>
      <c r="D64" s="7"/>
    </row>
    <row r="65" spans="1:4" ht="14" x14ac:dyDescent="0.15">
      <c r="A65" s="3"/>
      <c r="B65" s="3"/>
      <c r="C65" s="16"/>
      <c r="D65" s="7"/>
    </row>
    <row r="66" spans="1:4" ht="14" x14ac:dyDescent="0.15">
      <c r="A66" s="3"/>
      <c r="B66" s="3"/>
      <c r="C66" s="16"/>
      <c r="D66" s="7"/>
    </row>
    <row r="67" spans="1:4" ht="14" x14ac:dyDescent="0.15">
      <c r="A67" s="3"/>
      <c r="B67" s="3"/>
      <c r="C67" s="16"/>
      <c r="D67" s="7"/>
    </row>
    <row r="68" spans="1:4" ht="14" x14ac:dyDescent="0.15">
      <c r="A68" s="3"/>
      <c r="B68" s="3"/>
      <c r="C68" s="16"/>
      <c r="D68" s="7"/>
    </row>
    <row r="69" spans="1:4" ht="14" x14ac:dyDescent="0.15">
      <c r="A69" s="3"/>
      <c r="B69" s="3"/>
      <c r="C69" s="16"/>
      <c r="D69" s="7"/>
    </row>
    <row r="70" spans="1:4" ht="14" x14ac:dyDescent="0.15">
      <c r="A70" s="3"/>
      <c r="B70" s="3"/>
      <c r="C70" s="16"/>
      <c r="D70" s="7"/>
    </row>
    <row r="71" spans="1:4" ht="14" x14ac:dyDescent="0.15">
      <c r="A71" s="3"/>
      <c r="B71" s="3"/>
      <c r="C71" s="16"/>
      <c r="D71" s="7"/>
    </row>
    <row r="72" spans="1:4" ht="14" x14ac:dyDescent="0.15">
      <c r="A72" s="3"/>
      <c r="B72" s="3"/>
      <c r="C72" s="16"/>
      <c r="D72" s="7"/>
    </row>
    <row r="73" spans="1:4" ht="14" x14ac:dyDescent="0.15">
      <c r="A73" s="3"/>
      <c r="B73" s="3"/>
      <c r="C73" s="16"/>
      <c r="D73" s="7"/>
    </row>
    <row r="74" spans="1:4" ht="14" x14ac:dyDescent="0.15">
      <c r="A74" s="3"/>
      <c r="B74" s="3"/>
      <c r="C74" s="16"/>
      <c r="D74" s="7"/>
    </row>
    <row r="75" spans="1:4" ht="14" x14ac:dyDescent="0.15">
      <c r="A75" s="3"/>
      <c r="B75" s="3"/>
      <c r="C75" s="16"/>
      <c r="D75" s="7"/>
    </row>
    <row r="76" spans="1:4" ht="14" x14ac:dyDescent="0.15">
      <c r="A76" s="3"/>
      <c r="B76" s="3"/>
      <c r="C76" s="16"/>
      <c r="D76" s="7"/>
    </row>
    <row r="77" spans="1:4" ht="14" x14ac:dyDescent="0.15">
      <c r="A77" s="3"/>
      <c r="B77" s="3"/>
      <c r="C77" s="16"/>
      <c r="D77" s="7"/>
    </row>
    <row r="78" spans="1:4" ht="14" x14ac:dyDescent="0.15">
      <c r="A78" s="3"/>
      <c r="B78" s="3"/>
      <c r="C78" s="16"/>
      <c r="D78" s="7"/>
    </row>
    <row r="79" spans="1:4" ht="14" x14ac:dyDescent="0.15">
      <c r="A79" s="3"/>
      <c r="B79" s="3"/>
      <c r="C79" s="16"/>
      <c r="D79" s="7"/>
    </row>
    <row r="80" spans="1:4" ht="14" x14ac:dyDescent="0.15">
      <c r="A80" s="3"/>
      <c r="B80" s="3"/>
      <c r="C80" s="16"/>
      <c r="D80" s="7"/>
    </row>
    <row r="81" spans="1:4" ht="14" x14ac:dyDescent="0.15">
      <c r="A81" s="3"/>
      <c r="B81" s="3"/>
      <c r="C81" s="16"/>
      <c r="D81" s="7"/>
    </row>
    <row r="82" spans="1:4" ht="14" x14ac:dyDescent="0.15">
      <c r="A82" s="3"/>
      <c r="B82" s="3"/>
      <c r="C82" s="16"/>
      <c r="D82" s="7"/>
    </row>
    <row r="83" spans="1:4" ht="14" x14ac:dyDescent="0.15">
      <c r="A83" s="3"/>
      <c r="B83" s="3"/>
      <c r="C83" s="16"/>
      <c r="D83" s="7"/>
    </row>
    <row r="84" spans="1:4" ht="14" x14ac:dyDescent="0.15">
      <c r="A84" s="3"/>
      <c r="B84" s="3"/>
      <c r="C84" s="16"/>
      <c r="D84" s="7"/>
    </row>
    <row r="85" spans="1:4" ht="14" x14ac:dyDescent="0.15">
      <c r="A85" s="3"/>
      <c r="B85" s="3"/>
      <c r="C85" s="16"/>
      <c r="D85" s="7"/>
    </row>
    <row r="86" spans="1:4" ht="14" x14ac:dyDescent="0.15">
      <c r="A86" s="3"/>
      <c r="B86" s="3"/>
      <c r="C86" s="16"/>
      <c r="D86" s="7"/>
    </row>
    <row r="87" spans="1:4" ht="14" x14ac:dyDescent="0.15">
      <c r="A87" s="3"/>
      <c r="B87" s="3"/>
      <c r="C87" s="16"/>
      <c r="D87" s="7"/>
    </row>
    <row r="88" spans="1:4" ht="14" x14ac:dyDescent="0.15">
      <c r="A88" s="3"/>
      <c r="B88" s="3"/>
      <c r="C88" s="16"/>
      <c r="D88" s="7"/>
    </row>
    <row r="89" spans="1:4" ht="14" x14ac:dyDescent="0.15">
      <c r="A89" s="3"/>
      <c r="B89" s="3"/>
      <c r="C89" s="16"/>
      <c r="D89" s="7"/>
    </row>
    <row r="90" spans="1:4" ht="14" x14ac:dyDescent="0.15">
      <c r="A90" s="3"/>
      <c r="B90" s="3"/>
      <c r="C90" s="16"/>
      <c r="D90" s="7"/>
    </row>
    <row r="91" spans="1:4" ht="14" x14ac:dyDescent="0.15">
      <c r="A91" s="3"/>
      <c r="B91" s="3"/>
      <c r="C91" s="16"/>
      <c r="D91" s="7"/>
    </row>
    <row r="92" spans="1:4" ht="14" x14ac:dyDescent="0.15">
      <c r="A92" s="3"/>
      <c r="B92" s="3"/>
      <c r="C92" s="16"/>
      <c r="D92" s="7"/>
    </row>
    <row r="93" spans="1:4" ht="14" x14ac:dyDescent="0.15">
      <c r="A93" s="3"/>
      <c r="B93" s="3"/>
      <c r="C93" s="16"/>
      <c r="D93" s="7"/>
    </row>
    <row r="94" spans="1:4" ht="14" x14ac:dyDescent="0.15">
      <c r="A94" s="3"/>
      <c r="B94" s="3"/>
      <c r="C94" s="16"/>
      <c r="D94" s="7"/>
    </row>
    <row r="95" spans="1:4" ht="14" x14ac:dyDescent="0.15">
      <c r="A95" s="3"/>
      <c r="B95" s="3"/>
      <c r="C95" s="16"/>
      <c r="D95" s="7"/>
    </row>
    <row r="96" spans="1:4" ht="14" x14ac:dyDescent="0.15">
      <c r="A96" s="3"/>
      <c r="B96" s="3"/>
      <c r="C96" s="16"/>
      <c r="D96" s="7"/>
    </row>
    <row r="97" spans="1:4" ht="14" x14ac:dyDescent="0.15">
      <c r="A97" s="3"/>
      <c r="B97" s="3"/>
      <c r="C97" s="16"/>
      <c r="D97" s="7"/>
    </row>
    <row r="98" spans="1:4" ht="14" x14ac:dyDescent="0.15">
      <c r="A98" s="3"/>
      <c r="B98" s="3"/>
      <c r="C98" s="16"/>
      <c r="D98" s="7"/>
    </row>
    <row r="99" spans="1:4" ht="14" x14ac:dyDescent="0.15">
      <c r="A99" s="3"/>
      <c r="B99" s="3"/>
      <c r="C99" s="16"/>
      <c r="D99" s="7"/>
    </row>
    <row r="100" spans="1:4" ht="14" x14ac:dyDescent="0.15">
      <c r="A100" s="3"/>
      <c r="B100" s="3"/>
      <c r="C100" s="16"/>
      <c r="D100" s="7"/>
    </row>
    <row r="101" spans="1:4" ht="14" x14ac:dyDescent="0.15">
      <c r="A101" s="3"/>
      <c r="B101" s="3"/>
      <c r="C101" s="16"/>
      <c r="D101" s="7"/>
    </row>
  </sheetData>
  <mergeCells count="3">
    <mergeCell ref="A2:D2"/>
    <mergeCell ref="A3:D3"/>
    <mergeCell ref="A1:D1"/>
  </mergeCells>
  <dataValidations count="1">
    <dataValidation type="list" allowBlank="1" showErrorMessage="1" sqref="A1" xr:uid="{00000000-0002-0000-0100-000000000000}">
      <formula1>#REF!</formula1>
    </dataValidation>
  </dataValidations>
  <hyperlinks>
    <hyperlink ref="C6" r:id="rId1" display="https://www.linkedin.com/learning/critical-thinking" xr:uid="{00000000-0004-0000-0100-000000000000}"/>
    <hyperlink ref="D6" r:id="rId2" display="https://www.linkedin.com/learning/paths/improve-your-problem-solving-skills" xr:uid="{00000000-0004-0000-0100-000001000000}"/>
    <hyperlink ref="C7" r:id="rId3" display="https://www.linkedin.com/learning/cultivating-a-growth-mindset" xr:uid="{00000000-0004-0000-0100-000002000000}"/>
    <hyperlink ref="C8" r:id="rId4" display="https://www.linkedin.com/learning/decision-making-strategies" xr:uid="{00000000-0004-0000-0100-000003000000}"/>
    <hyperlink ref="C9" r:id="rId5" display="https://www.linkedin.com/learning/delivering-results-effectively" xr:uid="{00000000-0004-0000-0100-000004000000}"/>
    <hyperlink ref="C10" r:id="rId6" display="https://www.linkedin.com/learning/developing-a-learning-mindset" xr:uid="{00000000-0004-0000-0100-000005000000}"/>
    <hyperlink ref="C11" r:id="rId7" display="https://www.linkedin.com/learning/enhancing-resilience" xr:uid="{00000000-0004-0000-0100-000006000000}"/>
    <hyperlink ref="C12" r:id="rId8" display="https://www.linkedin.com/learning/enhancing-your-productivity" xr:uid="{00000000-0004-0000-0100-000007000000}"/>
    <hyperlink ref="C13" r:id="rId9" display="https://www.linkedin.com/learning/fred-kofman-on-making-commitments" xr:uid="{00000000-0004-0000-0100-000008000000}"/>
    <hyperlink ref="C14" r:id="rId10" display="https://www.linkedin.com/learning/ideas-that-resonate" xr:uid="{00000000-0004-0000-0100-000009000000}"/>
    <hyperlink ref="C15" r:id="rId11" display="https://www.linkedin.com/learning/improving-your-judgment" xr:uid="{00000000-0004-0000-0100-00000A000000}"/>
    <hyperlink ref="C16" r:id="rId12" display="https://www.linkedin.com/learning/learning-agility" xr:uid="{00000000-0004-0000-0100-00000B000000}"/>
    <hyperlink ref="C17" r:id="rId13" display="https://www.linkedin.com/learning/learning-from-failure" xr:uid="{00000000-0004-0000-0100-00000C000000}"/>
    <hyperlink ref="C18" r:id="rId14" display="https://www.linkedin.com/learning/making-decisions" xr:uid="{00000000-0004-0000-0100-00000D000000}"/>
    <hyperlink ref="C19" r:id="rId15" display="https://www.linkedin.com/learning/monday-productivity-pointers" xr:uid="{00000000-0004-0000-0100-00000E000000}"/>
    <hyperlink ref="C20" r:id="rId16" display="https://www.linkedin.com/learning/prioritizing-your-tasks" xr:uid="{00000000-0004-0000-0100-00000F000000}"/>
    <hyperlink ref="C21" r:id="rId17" display="https://www.linkedin.com/learning/problem-solving-techniques" xr:uid="{00000000-0004-0000-0100-000010000000}"/>
    <hyperlink ref="C22" r:id="rId18" display="https://www.linkedin.com/learning/process-improvement-foundations" xr:uid="{00000000-0004-0000-0100-000011000000}"/>
    <hyperlink ref="C23" r:id="rId19" display="https://www.linkedin.com/learning/sheryl-sandberg-and-adam-grant-on-option-b-building-resilience" xr:uid="{00000000-0004-0000-0100-000012000000}"/>
    <hyperlink ref="C24" r:id="rId20" display="https://www.linkedin.com/learning/simplifying-business-processes" xr:uid="{00000000-0004-0000-0100-000013000000}"/>
    <hyperlink ref="C25" r:id="rId21" display="https://www.linkedin.com/learning/solving-business-problems" xr:uid="{00000000-0004-0000-0100-000014000000}"/>
    <hyperlink ref="C26" r:id="rId22" display="https://www.linkedin.com/learning/successful-goal-setting" xr:uid="{00000000-0004-0000-0100-000015000000}"/>
    <hyperlink ref="C27" r:id="rId23" display="https://www.linkedin.com/learning/time-tested-methods-for-making-complex-decisions" xr:uid="{00000000-0004-0000-0100-000016000000}"/>
    <hyperlink ref="C28" r:id="rId24" display="https://www.linkedin.com/learning/powerless-to-powerful-taking-control" xr:uid="{00000000-0004-0000-0100-000017000000}"/>
    <hyperlink ref="C29" r:id="rId25" display="https://www.linkedin.com/learning/cultivating-mental-agility" xr:uid="{00000000-0004-0000-0100-000018000000}"/>
    <hyperlink ref="C30" r:id="rId26" display="https://www.linkedin.com/learning/executive-decision-making" xr:uid="{00000000-0004-0000-0100-000019000000}"/>
    <hyperlink ref="C31" r:id="rId27" display="https://www.linkedin.com/learning/making-quick-decisions" xr:uid="{00000000-0004-0000-0100-00001A000000}"/>
    <hyperlink ref="C32" r:id="rId28" display="https://www.linkedin.com/learning/project-management-solving-common-project-problems" xr:uid="{00000000-0004-0000-0100-00001B000000}"/>
    <hyperlink ref="C33" r:id="rId29" display="https://www.linkedin.com/learning/project-management-solving-common-project-problems" xr:uid="{00000000-0004-0000-0100-00001C000000}"/>
    <hyperlink ref="C34" r:id="rId30" display="https://www.linkedin.com/learning/using-questions-to-foster-critical-thinking-and-curiosity" xr:uid="{00000000-0004-0000-0100-00001D000000}"/>
    <hyperlink ref="C5" r:id="rId31" display="https://www.linkedin.com/learning/building-resilience" xr:uid="{00000000-0004-0000-0100-00001E000000}"/>
  </hyperlinks>
  <printOptions horizontalCentered="1" gridLines="1"/>
  <pageMargins left="0.7" right="0.7" top="0.75" bottom="0.75" header="0" footer="0"/>
  <pageSetup fitToHeight="0" pageOrder="overThenDown" orientation="landscape" cellComments="atEnd"/>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4"/>
  </sheetPr>
  <dimension ref="A1:F101"/>
  <sheetViews>
    <sheetView workbookViewId="0">
      <selection activeCell="A3" sqref="A3:D3"/>
    </sheetView>
  </sheetViews>
  <sheetFormatPr baseColWidth="10" defaultColWidth="8.83203125" defaultRowHeight="13" x14ac:dyDescent="0.15"/>
  <cols>
    <col min="1" max="1" width="10.83203125" bestFit="1" customWidth="1"/>
    <col min="2" max="2" width="11.6640625" bestFit="1" customWidth="1"/>
    <col min="3" max="3" width="36.83203125" customWidth="1"/>
    <col min="4" max="4" width="37.5" customWidth="1"/>
    <col min="5" max="5" width="78.1640625" customWidth="1"/>
    <col min="6" max="6" width="22.5" bestFit="1" customWidth="1"/>
  </cols>
  <sheetData>
    <row r="1" spans="1:6" x14ac:dyDescent="0.15">
      <c r="A1" s="47" t="s">
        <v>2</v>
      </c>
      <c r="B1" s="41"/>
      <c r="C1" s="41"/>
      <c r="D1" s="41"/>
    </row>
    <row r="2" spans="1:6" x14ac:dyDescent="0.15">
      <c r="A2" s="40" t="s">
        <v>6</v>
      </c>
      <c r="B2" s="41"/>
      <c r="C2" s="41"/>
      <c r="D2" s="41"/>
    </row>
    <row r="3" spans="1:6" ht="45" customHeight="1" x14ac:dyDescent="0.15">
      <c r="A3" s="48" t="str">
        <f ca="1">IFERROR(__xludf.DUMMYFUNCTION("IFERROR(UNIQUE(FILTER('Top 25 Competency Collections'!O:O,'Top 25 Competency Collections'!A:A= F1)))"),"Writing, Written Communication, Written Expression, Writing Proficiency, Writing Skills, Technical Writing")</f>
        <v>Writing, Written Communication, Written Expression, Writing Proficiency, Writing Skills, Technical Writing</v>
      </c>
      <c r="B3" s="41"/>
      <c r="C3" s="41"/>
      <c r="D3" s="41"/>
      <c r="E3" s="37"/>
    </row>
    <row r="4" spans="1:6" ht="14" x14ac:dyDescent="0.15">
      <c r="A4" s="2" t="s">
        <v>7</v>
      </c>
      <c r="B4" s="2" t="s">
        <v>8</v>
      </c>
      <c r="C4" s="2" t="s">
        <v>9</v>
      </c>
      <c r="D4" s="2" t="s">
        <v>10</v>
      </c>
      <c r="E4" s="36" t="s">
        <v>297</v>
      </c>
      <c r="F4" s="36" t="s">
        <v>261</v>
      </c>
    </row>
    <row r="5" spans="1:6" ht="15" x14ac:dyDescent="0.15">
      <c r="A5" s="3">
        <f ca="1">IFERROR(__xludf.DUMMYFUNCTION("FILTER('All Competencies'!B:B,'All Competencies'!A:A=F1)"),373556)</f>
        <v>373556</v>
      </c>
      <c r="B5" s="3" t="str">
        <f ca="1">IFERROR(__xludf.DUMMYFUNCTION("FILTER('All Competencies'!C:C,'All Competencies'!A:A=F1)"),"Advanced")</f>
        <v>Advanced</v>
      </c>
      <c r="C5" s="4" t="str">
        <f ca="1">IFERROR(__xludf.DUMMYFUNCTION("FILTER('All Competencies'!D:D,'All Competencies'!A:A=F1)"),"Advanced Grammar")</f>
        <v>Advanced Grammar</v>
      </c>
      <c r="D5" s="13" t="str">
        <f ca="1">IFERROR(__xludf.DUMMYFUNCTION("FILTER('All Competencies'!E:E,'All Competencies'!A:A=F1)"),"")</f>
        <v/>
      </c>
      <c r="E5" s="5" t="s">
        <v>298</v>
      </c>
    </row>
    <row r="6" spans="1:6" ht="30" x14ac:dyDescent="0.15">
      <c r="A6" s="3">
        <f ca="1">IFERROR(__xludf.DUMMYFUNCTION("""COMPUTED_VALUE"""),721925)</f>
        <v>721925</v>
      </c>
      <c r="B6" s="3" t="str">
        <f ca="1">IFERROR(__xludf.DUMMYFUNCTION("""COMPUTED_VALUE"""),"Advanced")</f>
        <v>Advanced</v>
      </c>
      <c r="C6" s="4" t="str">
        <f ca="1">IFERROR(__xludf.DUMMYFUNCTION("""COMPUTED_VALUE"""),"Editing Mastery: How to Edit Writing to Perfection")</f>
        <v>Editing Mastery: How to Edit Writing to Perfection</v>
      </c>
      <c r="D6" s="13" t="str">
        <f ca="1">IFERROR(__xludf.DUMMYFUNCTION("""COMPUTED_VALUE"""),"")</f>
        <v/>
      </c>
      <c r="E6" s="5" t="s">
        <v>299</v>
      </c>
    </row>
    <row r="7" spans="1:6" ht="15" x14ac:dyDescent="0.15">
      <c r="A7" s="3">
        <f ca="1">IFERROR(__xludf.DUMMYFUNCTION("""COMPUTED_VALUE"""),147532)</f>
        <v>147532</v>
      </c>
      <c r="B7" s="3" t="str">
        <f ca="1">IFERROR(__xludf.DUMMYFUNCTION("""COMPUTED_VALUE"""),"All levels")</f>
        <v>All levels</v>
      </c>
      <c r="C7" s="4" t="str">
        <f ca="1">IFERROR(__xludf.DUMMYFUNCTION("""COMPUTED_VALUE"""),"Business Writing Principles")</f>
        <v>Business Writing Principles</v>
      </c>
      <c r="D7" s="13" t="str">
        <f ca="1">IFERROR(__xludf.DUMMYFUNCTION("""COMPUTED_VALUE"""),"")</f>
        <v/>
      </c>
      <c r="E7" s="5" t="s">
        <v>300</v>
      </c>
    </row>
    <row r="8" spans="1:6" ht="15" x14ac:dyDescent="0.15">
      <c r="A8" s="3">
        <f ca="1">IFERROR(__xludf.DUMMYFUNCTION("""COMPUTED_VALUE"""),183418)</f>
        <v>183418</v>
      </c>
      <c r="B8" s="3" t="str">
        <f ca="1">IFERROR(__xludf.DUMMYFUNCTION("""COMPUTED_VALUE"""),"All levels")</f>
        <v>All levels</v>
      </c>
      <c r="C8" s="4" t="str">
        <f ca="1">IFERROR(__xludf.DUMMYFUNCTION("""COMPUTED_VALUE"""),"Business Writing Strategies")</f>
        <v>Business Writing Strategies</v>
      </c>
      <c r="D8" s="13" t="str">
        <f ca="1">IFERROR(__xludf.DUMMYFUNCTION("""COMPUTED_VALUE"""),"")</f>
        <v/>
      </c>
      <c r="E8" s="5" t="s">
        <v>301</v>
      </c>
    </row>
    <row r="9" spans="1:6" ht="30" x14ac:dyDescent="0.15">
      <c r="A9" s="3">
        <f ca="1">IFERROR(__xludf.DUMMYFUNCTION("""COMPUTED_VALUE"""),516507)</f>
        <v>516507</v>
      </c>
      <c r="B9" s="3" t="str">
        <f ca="1">IFERROR(__xludf.DUMMYFUNCTION("""COMPUTED_VALUE"""),"All levels")</f>
        <v>All levels</v>
      </c>
      <c r="C9" s="4" t="str">
        <f ca="1">IFERROR(__xludf.DUMMYFUNCTION("""COMPUTED_VALUE"""),"Editing and Proofreading Made Simple")</f>
        <v>Editing and Proofreading Made Simple</v>
      </c>
      <c r="D9" s="13" t="str">
        <f ca="1">IFERROR(__xludf.DUMMYFUNCTION("""COMPUTED_VALUE"""),"")</f>
        <v/>
      </c>
      <c r="E9" s="5" t="s">
        <v>302</v>
      </c>
    </row>
    <row r="10" spans="1:6" ht="15" x14ac:dyDescent="0.15">
      <c r="A10" s="3">
        <f ca="1">IFERROR(__xludf.DUMMYFUNCTION("""COMPUTED_VALUE"""),791333)</f>
        <v>791333</v>
      </c>
      <c r="B10" s="3" t="str">
        <f ca="1">IFERROR(__xludf.DUMMYFUNCTION("""COMPUTED_VALUE"""),"All levels")</f>
        <v>All levels</v>
      </c>
      <c r="C10" s="4" t="str">
        <f ca="1">IFERROR(__xludf.DUMMYFUNCTION("""COMPUTED_VALUE"""),"Productivity Hacks for Writers")</f>
        <v>Productivity Hacks for Writers</v>
      </c>
      <c r="D10" s="13" t="str">
        <f ca="1">IFERROR(__xludf.DUMMYFUNCTION("""COMPUTED_VALUE"""),"")</f>
        <v/>
      </c>
      <c r="E10" s="5" t="s">
        <v>303</v>
      </c>
    </row>
    <row r="11" spans="1:6" ht="15" x14ac:dyDescent="0.15">
      <c r="A11" s="3">
        <f ca="1">IFERROR(__xludf.DUMMYFUNCTION("""COMPUTED_VALUE"""),580625)</f>
        <v>580625</v>
      </c>
      <c r="B11" s="3" t="str">
        <f ca="1">IFERROR(__xludf.DUMMYFUNCTION("""COMPUTED_VALUE"""),"All levels")</f>
        <v>All levels</v>
      </c>
      <c r="C11" s="4" t="str">
        <f ca="1">IFERROR(__xludf.DUMMYFUNCTION("""COMPUTED_VALUE"""),"Writing a Business Case")</f>
        <v>Writing a Business Case</v>
      </c>
      <c r="D11" s="13" t="str">
        <f ca="1">IFERROR(__xludf.DUMMYFUNCTION("""COMPUTED_VALUE"""),"")</f>
        <v/>
      </c>
      <c r="E11" s="5" t="s">
        <v>304</v>
      </c>
    </row>
    <row r="12" spans="1:6" ht="30" x14ac:dyDescent="0.15">
      <c r="A12" s="3">
        <f ca="1">IFERROR(__xludf.DUMMYFUNCTION("""COMPUTED_VALUE"""),642461)</f>
        <v>642461</v>
      </c>
      <c r="B12" s="3" t="str">
        <f ca="1">IFERROR(__xludf.DUMMYFUNCTION("""COMPUTED_VALUE"""),"All levels")</f>
        <v>All levels</v>
      </c>
      <c r="C12" s="4" t="str">
        <f ca="1">IFERROR(__xludf.DUMMYFUNCTION("""COMPUTED_VALUE"""),"Writing a Compelling Blog Post")</f>
        <v>Writing a Compelling Blog Post</v>
      </c>
      <c r="D12" s="13" t="str">
        <f ca="1">IFERROR(__xludf.DUMMYFUNCTION("""COMPUTED_VALUE"""),"")</f>
        <v/>
      </c>
      <c r="E12" s="5" t="s">
        <v>305</v>
      </c>
    </row>
    <row r="13" spans="1:6" ht="15" x14ac:dyDescent="0.15">
      <c r="A13" s="3">
        <f ca="1">IFERROR(__xludf.DUMMYFUNCTION("""COMPUTED_VALUE"""),151813)</f>
        <v>151813</v>
      </c>
      <c r="B13" s="3" t="str">
        <f ca="1">IFERROR(__xludf.DUMMYFUNCTION("""COMPUTED_VALUE"""),"All levels")</f>
        <v>All levels</v>
      </c>
      <c r="C13" s="4" t="str">
        <f ca="1">IFERROR(__xludf.DUMMYFUNCTION("""COMPUTED_VALUE"""),"Writing Email")</f>
        <v>Writing Email</v>
      </c>
      <c r="D13" s="13" t="str">
        <f ca="1">IFERROR(__xludf.DUMMYFUNCTION("""COMPUTED_VALUE"""),"")</f>
        <v/>
      </c>
      <c r="E13" s="5" t="s">
        <v>306</v>
      </c>
    </row>
    <row r="14" spans="1:6" ht="30" x14ac:dyDescent="0.15">
      <c r="A14" s="3">
        <f ca="1">IFERROR(__xludf.DUMMYFUNCTION("""COMPUTED_VALUE"""),608988)</f>
        <v>608988</v>
      </c>
      <c r="B14" s="3" t="str">
        <f ca="1">IFERROR(__xludf.DUMMYFUNCTION("""COMPUTED_VALUE"""),"All levels")</f>
        <v>All levels</v>
      </c>
      <c r="C14" s="4" t="str">
        <f ca="1">IFERROR(__xludf.DUMMYFUNCTION("""COMPUTED_VALUE"""),"Writing Formal Business Letters and Emails")</f>
        <v>Writing Formal Business Letters and Emails</v>
      </c>
      <c r="D14" s="13" t="str">
        <f ca="1">IFERROR(__xludf.DUMMYFUNCTION("""COMPUTED_VALUE"""),"")</f>
        <v/>
      </c>
      <c r="E14" s="5" t="s">
        <v>307</v>
      </c>
    </row>
    <row r="15" spans="1:6" ht="15" x14ac:dyDescent="0.15">
      <c r="A15" s="3">
        <f ca="1">IFERROR(__xludf.DUMMYFUNCTION("""COMPUTED_VALUE"""),373555)</f>
        <v>373555</v>
      </c>
      <c r="B15" s="3" t="str">
        <f ca="1">IFERROR(__xludf.DUMMYFUNCTION("""COMPUTED_VALUE"""),"All levels")</f>
        <v>All levels</v>
      </c>
      <c r="C15" s="4" t="str">
        <f ca="1">IFERROR(__xludf.DUMMYFUNCTION("""COMPUTED_VALUE"""),"Writing in Plain English")</f>
        <v>Writing in Plain English</v>
      </c>
      <c r="D15" s="13" t="str">
        <f ca="1">IFERROR(__xludf.DUMMYFUNCTION("""COMPUTED_VALUE"""),"")</f>
        <v/>
      </c>
      <c r="E15" s="5" t="s">
        <v>308</v>
      </c>
    </row>
    <row r="16" spans="1:6" ht="15" x14ac:dyDescent="0.15">
      <c r="A16" s="3">
        <f ca="1">IFERROR(__xludf.DUMMYFUNCTION("""COMPUTED_VALUE"""),156089)</f>
        <v>156089</v>
      </c>
      <c r="B16" s="3" t="str">
        <f ca="1">IFERROR(__xludf.DUMMYFUNCTION("""COMPUTED_VALUE"""),"All levels")</f>
        <v>All levels</v>
      </c>
      <c r="C16" s="4" t="str">
        <f ca="1">IFERROR(__xludf.DUMMYFUNCTION("""COMPUTED_VALUE"""),"Writing Recommendations")</f>
        <v>Writing Recommendations</v>
      </c>
      <c r="D16" s="13" t="str">
        <f ca="1">IFERROR(__xludf.DUMMYFUNCTION("""COMPUTED_VALUE"""),"")</f>
        <v/>
      </c>
      <c r="E16" s="5" t="s">
        <v>309</v>
      </c>
    </row>
    <row r="17" spans="1:5" ht="15" x14ac:dyDescent="0.15">
      <c r="A17" s="3">
        <f ca="1">IFERROR(__xludf.DUMMYFUNCTION("""COMPUTED_VALUE"""),183419)</f>
        <v>183419</v>
      </c>
      <c r="B17" s="3" t="str">
        <f ca="1">IFERROR(__xludf.DUMMYFUNCTION("""COMPUTED_VALUE"""),"All levels")</f>
        <v>All levels</v>
      </c>
      <c r="C17" s="4" t="str">
        <f ca="1">IFERROR(__xludf.DUMMYFUNCTION("""COMPUTED_VALUE"""),"Writing Speeches")</f>
        <v>Writing Speeches</v>
      </c>
      <c r="D17" s="13" t="str">
        <f ca="1">IFERROR(__xludf.DUMMYFUNCTION("""COMPUTED_VALUE"""),"")</f>
        <v/>
      </c>
      <c r="E17" s="5" t="s">
        <v>310</v>
      </c>
    </row>
    <row r="18" spans="1:5" ht="15" x14ac:dyDescent="0.15">
      <c r="A18" s="3">
        <f ca="1">IFERROR(__xludf.DUMMYFUNCTION("""COMPUTED_VALUE"""),574671)</f>
        <v>574671</v>
      </c>
      <c r="B18" s="3" t="str">
        <f ca="1">IFERROR(__xludf.DUMMYFUNCTION("""COMPUTED_VALUE"""),"All levels")</f>
        <v>All levels</v>
      </c>
      <c r="C18" s="4" t="str">
        <f ca="1">IFERROR(__xludf.DUMMYFUNCTION("""COMPUTED_VALUE"""),"Writing Under a Deadline")</f>
        <v>Writing Under a Deadline</v>
      </c>
      <c r="D18" s="13" t="str">
        <f ca="1">IFERROR(__xludf.DUMMYFUNCTION("""COMPUTED_VALUE"""),"")</f>
        <v/>
      </c>
      <c r="E18" s="5" t="s">
        <v>311</v>
      </c>
    </row>
    <row r="19" spans="1:5" ht="30" x14ac:dyDescent="0.15">
      <c r="A19" s="3">
        <f ca="1">IFERROR(__xludf.DUMMYFUNCTION("""COMPUTED_VALUE"""),721923)</f>
        <v>721923</v>
      </c>
      <c r="B19" s="3" t="str">
        <f ca="1">IFERROR(__xludf.DUMMYFUNCTION("""COMPUTED_VALUE"""),"All levels")</f>
        <v>All levels</v>
      </c>
      <c r="C19" s="4" t="str">
        <f ca="1">IFERROR(__xludf.DUMMYFUNCTION("""COMPUTED_VALUE"""),"Writing with Flair: How to Become an Exceptional Writer")</f>
        <v>Writing with Flair: How to Become an Exceptional Writer</v>
      </c>
      <c r="D19" s="13" t="str">
        <f ca="1">IFERROR(__xludf.DUMMYFUNCTION("""COMPUTED_VALUE"""),"")</f>
        <v/>
      </c>
      <c r="E19" s="5" t="s">
        <v>312</v>
      </c>
    </row>
    <row r="20" spans="1:5" ht="15" x14ac:dyDescent="0.15">
      <c r="A20" s="3">
        <f ca="1">IFERROR(__xludf.DUMMYFUNCTION("""COMPUTED_VALUE"""),699321)</f>
        <v>699321</v>
      </c>
      <c r="B20" s="3" t="str">
        <f ca="1">IFERROR(__xludf.DUMMYFUNCTION("""COMPUTED_VALUE"""),"All levels")</f>
        <v>All levels</v>
      </c>
      <c r="C20" s="4" t="str">
        <f ca="1">IFERROR(__xludf.DUMMYFUNCTION("""COMPUTED_VALUE"""),"Writing with Impact")</f>
        <v>Writing with Impact</v>
      </c>
      <c r="D20" s="13" t="str">
        <f ca="1">IFERROR(__xludf.DUMMYFUNCTION("""COMPUTED_VALUE"""),"")</f>
        <v/>
      </c>
      <c r="E20" s="5" t="s">
        <v>313</v>
      </c>
    </row>
    <row r="21" spans="1:5" ht="15" x14ac:dyDescent="0.15">
      <c r="A21" s="3">
        <f ca="1">IFERROR(__xludf.DUMMYFUNCTION("""COMPUTED_VALUE"""),89962)</f>
        <v>89962</v>
      </c>
      <c r="B21" s="3" t="str">
        <f ca="1">IFERROR(__xludf.DUMMYFUNCTION("""COMPUTED_VALUE"""),"All levels")</f>
        <v>All levels</v>
      </c>
      <c r="C21" s="4" t="str">
        <f ca="1">IFERROR(__xludf.DUMMYFUNCTION("""COMPUTED_VALUE"""),"Writing: The Craft of Story")</f>
        <v>Writing: The Craft of Story</v>
      </c>
      <c r="D21" s="13" t="str">
        <f ca="1">IFERROR(__xludf.DUMMYFUNCTION("""COMPUTED_VALUE"""),"")</f>
        <v/>
      </c>
      <c r="E21" s="5" t="s">
        <v>314</v>
      </c>
    </row>
    <row r="22" spans="1:5" ht="15" x14ac:dyDescent="0.15">
      <c r="A22" s="3">
        <f ca="1">IFERROR(__xludf.DUMMYFUNCTION("""COMPUTED_VALUE"""),158318)</f>
        <v>158318</v>
      </c>
      <c r="B22" s="3" t="str">
        <f ca="1">IFERROR(__xludf.DUMMYFUNCTION("""COMPUTED_VALUE"""),"Beginner")</f>
        <v>Beginner</v>
      </c>
      <c r="C22" s="4" t="str">
        <f ca="1">IFERROR(__xludf.DUMMYFUNCTION("""COMPUTED_VALUE"""),"Grammar Foundations")</f>
        <v>Grammar Foundations</v>
      </c>
      <c r="D22" s="13" t="str">
        <f ca="1">IFERROR(__xludf.DUMMYFUNCTION("""COMPUTED_VALUE"""),"")</f>
        <v/>
      </c>
      <c r="E22" s="5" t="s">
        <v>315</v>
      </c>
    </row>
    <row r="23" spans="1:5" ht="15" x14ac:dyDescent="0.15">
      <c r="A23" s="3">
        <f ca="1">IFERROR(__xludf.DUMMYFUNCTION("""COMPUTED_VALUE"""),180104)</f>
        <v>180104</v>
      </c>
      <c r="B23" s="3" t="str">
        <f ca="1">IFERROR(__xludf.DUMMYFUNCTION("""COMPUTED_VALUE"""),"Beginner")</f>
        <v>Beginner</v>
      </c>
      <c r="C23" s="4" t="str">
        <f ca="1">IFERROR(__xludf.DUMMYFUNCTION("""COMPUTED_VALUE"""),"Learning to Write for the Web")</f>
        <v>Learning to Write for the Web</v>
      </c>
      <c r="D23" s="13" t="str">
        <f ca="1">IFERROR(__xludf.DUMMYFUNCTION("""COMPUTED_VALUE"""),"")</f>
        <v/>
      </c>
      <c r="E23" s="5" t="s">
        <v>315</v>
      </c>
    </row>
    <row r="24" spans="1:5" ht="30" x14ac:dyDescent="0.15">
      <c r="A24" s="3">
        <f ca="1">IFERROR(__xludf.DUMMYFUNCTION("""COMPUTED_VALUE"""),373782)</f>
        <v>373782</v>
      </c>
      <c r="B24" s="3" t="str">
        <f ca="1">IFERROR(__xludf.DUMMYFUNCTION("""COMPUTED_VALUE"""),"Beginner")</f>
        <v>Beginner</v>
      </c>
      <c r="C24" s="4" t="str">
        <f ca="1">IFERROR(__xludf.DUMMYFUNCTION("""COMPUTED_VALUE"""),"Note-Taking for Business Professionals")</f>
        <v>Note-Taking for Business Professionals</v>
      </c>
      <c r="D24" s="13" t="str">
        <f ca="1">IFERROR(__xludf.DUMMYFUNCTION("""COMPUTED_VALUE"""),"")</f>
        <v/>
      </c>
      <c r="E24" s="5" t="s">
        <v>316</v>
      </c>
    </row>
    <row r="25" spans="1:5" ht="15" x14ac:dyDescent="0.15">
      <c r="A25" s="3">
        <f ca="1">IFERROR(__xludf.DUMMYFUNCTION("""COMPUTED_VALUE"""),373553)</f>
        <v>373553</v>
      </c>
      <c r="B25" s="3" t="str">
        <f ca="1">IFERROR(__xludf.DUMMYFUNCTION("""COMPUTED_VALUE"""),"Beginner")</f>
        <v>Beginner</v>
      </c>
      <c r="C25" s="4" t="str">
        <f ca="1">IFERROR(__xludf.DUMMYFUNCTION("""COMPUTED_VALUE"""),"Technical Writing: Reports")</f>
        <v>Technical Writing: Reports</v>
      </c>
      <c r="D25" s="13" t="str">
        <f ca="1">IFERROR(__xludf.DUMMYFUNCTION("""COMPUTED_VALUE"""),"")</f>
        <v/>
      </c>
      <c r="E25" s="5" t="s">
        <v>317</v>
      </c>
    </row>
    <row r="26" spans="1:5" ht="15" x14ac:dyDescent="0.15">
      <c r="A26" s="3">
        <f ca="1">IFERROR(__xludf.DUMMYFUNCTION("""COMPUTED_VALUE"""),158319)</f>
        <v>158319</v>
      </c>
      <c r="B26" s="3" t="str">
        <f ca="1">IFERROR(__xludf.DUMMYFUNCTION("""COMPUTED_VALUE"""),"Beginner")</f>
        <v>Beginner</v>
      </c>
      <c r="C26" s="4" t="str">
        <f ca="1">IFERROR(__xludf.DUMMYFUNCTION("""COMPUTED_VALUE"""),"Writing a Research Paper")</f>
        <v>Writing a Research Paper</v>
      </c>
      <c r="D26" s="13" t="str">
        <f ca="1">IFERROR(__xludf.DUMMYFUNCTION("""COMPUTED_VALUE"""),"")</f>
        <v/>
      </c>
      <c r="E26" s="5" t="s">
        <v>318</v>
      </c>
    </row>
    <row r="27" spans="1:5" ht="15" x14ac:dyDescent="0.15">
      <c r="A27" s="3">
        <f ca="1">IFERROR(__xludf.DUMMYFUNCTION("""COMPUTED_VALUE"""),119002)</f>
        <v>119002</v>
      </c>
      <c r="B27" s="3" t="str">
        <f ca="1">IFERROR(__xludf.DUMMYFUNCTION("""COMPUTED_VALUE"""),"Beginner")</f>
        <v>Beginner</v>
      </c>
      <c r="C27" s="4" t="str">
        <f ca="1">IFERROR(__xludf.DUMMYFUNCTION("""COMPUTED_VALUE"""),"Writing Articles")</f>
        <v>Writing Articles</v>
      </c>
      <c r="D27" s="13" t="str">
        <f ca="1">IFERROR(__xludf.DUMMYFUNCTION("""COMPUTED_VALUE"""),"")</f>
        <v/>
      </c>
      <c r="E27" s="5" t="s">
        <v>319</v>
      </c>
    </row>
    <row r="28" spans="1:5" ht="15" x14ac:dyDescent="0.15">
      <c r="A28" s="3">
        <f ca="1">IFERROR(__xludf.DUMMYFUNCTION("""COMPUTED_VALUE"""),699320)</f>
        <v>699320</v>
      </c>
      <c r="B28" s="3" t="str">
        <f ca="1">IFERROR(__xludf.DUMMYFUNCTION("""COMPUTED_VALUE"""),"Beginner")</f>
        <v>Beginner</v>
      </c>
      <c r="C28" s="4" t="str">
        <f ca="1">IFERROR(__xludf.DUMMYFUNCTION("""COMPUTED_VALUE"""),"Writing Case Studies")</f>
        <v>Writing Case Studies</v>
      </c>
      <c r="D28" s="13" t="str">
        <f ca="1">IFERROR(__xludf.DUMMYFUNCTION("""COMPUTED_VALUE"""),"")</f>
        <v/>
      </c>
      <c r="E28" s="5" t="s">
        <v>320</v>
      </c>
    </row>
    <row r="29" spans="1:5" ht="15" x14ac:dyDescent="0.15">
      <c r="A29" s="3">
        <f ca="1">IFERROR(__xludf.DUMMYFUNCTION("""COMPUTED_VALUE"""),699319)</f>
        <v>699319</v>
      </c>
      <c r="B29" s="3" t="str">
        <f ca="1">IFERROR(__xludf.DUMMYFUNCTION("""COMPUTED_VALUE"""),"Beginner")</f>
        <v>Beginner</v>
      </c>
      <c r="C29" s="4" t="str">
        <f ca="1">IFERROR(__xludf.DUMMYFUNCTION("""COMPUTED_VALUE"""),"Writing White Papers")</f>
        <v>Writing White Papers</v>
      </c>
      <c r="D29" s="13" t="str">
        <f ca="1">IFERROR(__xludf.DUMMYFUNCTION("""COMPUTED_VALUE"""),"")</f>
        <v/>
      </c>
      <c r="E29" s="5" t="s">
        <v>321</v>
      </c>
    </row>
    <row r="30" spans="1:5" ht="30" x14ac:dyDescent="0.15">
      <c r="A30" s="3">
        <f ca="1">IFERROR(__xludf.DUMMYFUNCTION("""COMPUTED_VALUE"""),661747)</f>
        <v>661747</v>
      </c>
      <c r="B30" s="3" t="str">
        <f ca="1">IFERROR(__xludf.DUMMYFUNCTION("""COMPUTED_VALUE"""),"Beginner, Intermediate")</f>
        <v>Beginner, Intermediate</v>
      </c>
      <c r="C30" s="4" t="str">
        <f ca="1">IFERROR(__xludf.DUMMYFUNCTION("""COMPUTED_VALUE"""),"Technical Writing: Quick Start Guides")</f>
        <v>Technical Writing: Quick Start Guides</v>
      </c>
      <c r="D30" s="13" t="str">
        <f ca="1">IFERROR(__xludf.DUMMYFUNCTION("""COMPUTED_VALUE"""),"")</f>
        <v/>
      </c>
      <c r="E30" s="5" t="s">
        <v>322</v>
      </c>
    </row>
    <row r="31" spans="1:5" ht="30" x14ac:dyDescent="0.15">
      <c r="A31" s="3">
        <f ca="1">IFERROR(__xludf.DUMMYFUNCTION("""COMPUTED_VALUE"""),157341)</f>
        <v>157341</v>
      </c>
      <c r="B31" s="3" t="str">
        <f ca="1">IFERROR(__xludf.DUMMYFUNCTION("""COMPUTED_VALUE"""),"Beginner, Intermediate")</f>
        <v>Beginner, Intermediate</v>
      </c>
      <c r="C31" s="4" t="str">
        <f ca="1">IFERROR(__xludf.DUMMYFUNCTION("""COMPUTED_VALUE"""),"Writing a Business Report")</f>
        <v>Writing a Business Report</v>
      </c>
      <c r="D31" s="13" t="str">
        <f ca="1">IFERROR(__xludf.DUMMYFUNCTION("""COMPUTED_VALUE"""),"")</f>
        <v/>
      </c>
      <c r="E31" s="5" t="s">
        <v>323</v>
      </c>
    </row>
    <row r="32" spans="1:5" ht="30" x14ac:dyDescent="0.15">
      <c r="A32" s="3">
        <f ca="1">IFERROR(__xludf.DUMMYFUNCTION("""COMPUTED_VALUE"""),182920)</f>
        <v>182920</v>
      </c>
      <c r="B32" s="3" t="str">
        <f ca="1">IFERROR(__xludf.DUMMYFUNCTION("""COMPUTED_VALUE"""),"Beginner, Intermediate")</f>
        <v>Beginner, Intermediate</v>
      </c>
      <c r="C32" s="4" t="str">
        <f ca="1">IFERROR(__xludf.DUMMYFUNCTION("""COMPUTED_VALUE"""),"Writing a Proposal")</f>
        <v>Writing a Proposal</v>
      </c>
      <c r="D32" s="13" t="str">
        <f ca="1">IFERROR(__xludf.DUMMYFUNCTION("""COMPUTED_VALUE"""),"")</f>
        <v/>
      </c>
      <c r="E32" s="5" t="s">
        <v>324</v>
      </c>
    </row>
    <row r="33" spans="1:5" ht="30" x14ac:dyDescent="0.15">
      <c r="A33" s="3">
        <f ca="1">IFERROR(__xludf.DUMMYFUNCTION("""COMPUTED_VALUE"""),721926)</f>
        <v>721926</v>
      </c>
      <c r="B33" s="3" t="str">
        <f ca="1">IFERROR(__xludf.DUMMYFUNCTION("""COMPUTED_VALUE"""),"Intermediate")</f>
        <v>Intermediate</v>
      </c>
      <c r="C33" s="4" t="str">
        <f ca="1">IFERROR(__xludf.DUMMYFUNCTION("""COMPUTED_VALUE"""),"Ninja Writing: The Four Levels of Writing Mastery")</f>
        <v>Ninja Writing: The Four Levels of Writing Mastery</v>
      </c>
      <c r="D33" s="13" t="str">
        <f ca="1">IFERROR(__xludf.DUMMYFUNCTION("""COMPUTED_VALUE"""),"")</f>
        <v/>
      </c>
      <c r="E33" s="5" t="s">
        <v>325</v>
      </c>
    </row>
    <row r="34" spans="1:5" ht="15" x14ac:dyDescent="0.15">
      <c r="A34" s="3">
        <f ca="1">IFERROR(__xludf.DUMMYFUNCTION("""COMPUTED_VALUE"""),461915)</f>
        <v>461915</v>
      </c>
      <c r="B34" s="3" t="str">
        <f ca="1">IFERROR(__xludf.DUMMYFUNCTION("""COMPUTED_VALUE"""),"Intermediate")</f>
        <v>Intermediate</v>
      </c>
      <c r="C34" s="4" t="str">
        <f ca="1">IFERROR(__xludf.DUMMYFUNCTION("""COMPUTED_VALUE"""),"Writing Headlines")</f>
        <v>Writing Headlines</v>
      </c>
      <c r="D34" s="13" t="str">
        <f ca="1">IFERROR(__xludf.DUMMYFUNCTION("""COMPUTED_VALUE"""),"")</f>
        <v/>
      </c>
      <c r="E34" s="5" t="s">
        <v>326</v>
      </c>
    </row>
    <row r="35" spans="1:5" ht="14" x14ac:dyDescent="0.15">
      <c r="A35" s="3"/>
      <c r="B35" s="3"/>
      <c r="C35" s="16"/>
      <c r="D35" s="13"/>
    </row>
    <row r="36" spans="1:5" ht="14" x14ac:dyDescent="0.15">
      <c r="A36" s="3"/>
      <c r="B36" s="3"/>
      <c r="C36" s="16"/>
      <c r="D36" s="13"/>
    </row>
    <row r="37" spans="1:5" ht="14" x14ac:dyDescent="0.15">
      <c r="A37" s="3"/>
      <c r="B37" s="3"/>
      <c r="C37" s="16"/>
      <c r="D37" s="13"/>
    </row>
    <row r="38" spans="1:5" ht="14" x14ac:dyDescent="0.15">
      <c r="A38" s="3"/>
      <c r="B38" s="3"/>
      <c r="C38" s="16"/>
      <c r="D38" s="13"/>
    </row>
    <row r="39" spans="1:5" ht="14" x14ac:dyDescent="0.15">
      <c r="A39" s="3"/>
      <c r="B39" s="3"/>
      <c r="C39" s="16"/>
      <c r="D39" s="13"/>
    </row>
    <row r="40" spans="1:5" ht="14" x14ac:dyDescent="0.15">
      <c r="A40" s="3"/>
      <c r="B40" s="3"/>
      <c r="C40" s="16"/>
      <c r="D40" s="13"/>
    </row>
    <row r="41" spans="1:5" ht="14" x14ac:dyDescent="0.15">
      <c r="A41" s="3"/>
      <c r="B41" s="3"/>
      <c r="C41" s="16"/>
      <c r="D41" s="13"/>
    </row>
    <row r="42" spans="1:5" ht="14" x14ac:dyDescent="0.15">
      <c r="A42" s="3"/>
      <c r="B42" s="3"/>
      <c r="C42" s="16"/>
      <c r="D42" s="13"/>
    </row>
    <row r="43" spans="1:5" ht="14" x14ac:dyDescent="0.15">
      <c r="A43" s="3">
        <v>373556</v>
      </c>
      <c r="B43" s="3"/>
      <c r="C43" s="16"/>
      <c r="D43" s="13"/>
    </row>
    <row r="44" spans="1:5" ht="14" x14ac:dyDescent="0.15">
      <c r="A44" s="3"/>
      <c r="B44" s="3"/>
      <c r="C44" s="16"/>
      <c r="D44" s="13"/>
    </row>
    <row r="45" spans="1:5" ht="14" x14ac:dyDescent="0.15">
      <c r="A45" s="3"/>
      <c r="B45" s="3"/>
      <c r="C45" s="16"/>
      <c r="D45" s="13"/>
    </row>
    <row r="46" spans="1:5" ht="14" x14ac:dyDescent="0.15">
      <c r="A46" s="3"/>
      <c r="B46" s="3"/>
      <c r="C46" s="16"/>
      <c r="D46" s="13"/>
    </row>
    <row r="47" spans="1:5" ht="14" x14ac:dyDescent="0.15">
      <c r="A47" s="3"/>
      <c r="B47" s="3"/>
      <c r="C47" s="16"/>
      <c r="D47" s="13"/>
    </row>
    <row r="48" spans="1:5" ht="14" x14ac:dyDescent="0.15">
      <c r="A48" s="3"/>
      <c r="B48" s="3"/>
      <c r="C48" s="16"/>
      <c r="D48" s="13"/>
    </row>
    <row r="49" spans="1:4" ht="14" x14ac:dyDescent="0.15">
      <c r="A49" s="3"/>
      <c r="B49" s="3"/>
      <c r="C49" s="16"/>
      <c r="D49" s="13"/>
    </row>
    <row r="50" spans="1:4" ht="14" x14ac:dyDescent="0.15">
      <c r="A50" s="3"/>
      <c r="B50" s="3"/>
      <c r="C50" s="16"/>
      <c r="D50" s="13"/>
    </row>
    <row r="51" spans="1:4" ht="14" x14ac:dyDescent="0.15">
      <c r="A51" s="3"/>
      <c r="B51" s="3"/>
      <c r="C51" s="16"/>
      <c r="D51" s="13"/>
    </row>
    <row r="52" spans="1:4" ht="14" x14ac:dyDescent="0.15">
      <c r="A52" s="3"/>
      <c r="B52" s="3"/>
      <c r="C52" s="16"/>
      <c r="D52" s="13"/>
    </row>
    <row r="53" spans="1:4" ht="14" x14ac:dyDescent="0.15">
      <c r="A53" s="3"/>
      <c r="B53" s="3"/>
      <c r="C53" s="16"/>
      <c r="D53" s="13"/>
    </row>
    <row r="54" spans="1:4" ht="14" x14ac:dyDescent="0.15">
      <c r="A54" s="3"/>
      <c r="B54" s="3"/>
      <c r="C54" s="16"/>
      <c r="D54" s="13"/>
    </row>
    <row r="55" spans="1:4" ht="14" x14ac:dyDescent="0.15">
      <c r="A55" s="3"/>
      <c r="B55" s="3"/>
      <c r="C55" s="16"/>
      <c r="D55" s="13"/>
    </row>
    <row r="56" spans="1:4" ht="14" x14ac:dyDescent="0.15">
      <c r="A56" s="3"/>
      <c r="B56" s="3"/>
      <c r="C56" s="16"/>
      <c r="D56" s="13"/>
    </row>
    <row r="57" spans="1:4" ht="14" x14ac:dyDescent="0.15">
      <c r="A57" s="3"/>
      <c r="B57" s="3"/>
      <c r="C57" s="16"/>
      <c r="D57" s="13"/>
    </row>
    <row r="58" spans="1:4" ht="14" x14ac:dyDescent="0.15">
      <c r="A58" s="3"/>
      <c r="B58" s="3"/>
      <c r="C58" s="16"/>
      <c r="D58" s="13"/>
    </row>
    <row r="59" spans="1:4" ht="14" x14ac:dyDescent="0.15">
      <c r="A59" s="3"/>
      <c r="B59" s="3"/>
      <c r="C59" s="16"/>
      <c r="D59" s="13"/>
    </row>
    <row r="60" spans="1:4" ht="14" x14ac:dyDescent="0.15">
      <c r="A60" s="3"/>
      <c r="B60" s="3"/>
      <c r="C60" s="16"/>
      <c r="D60" s="13"/>
    </row>
    <row r="61" spans="1:4" ht="14" x14ac:dyDescent="0.15">
      <c r="A61" s="3"/>
      <c r="B61" s="3"/>
      <c r="C61" s="16"/>
      <c r="D61" s="13"/>
    </row>
    <row r="62" spans="1:4" ht="14" x14ac:dyDescent="0.15">
      <c r="A62" s="3"/>
      <c r="B62" s="3"/>
      <c r="C62" s="16"/>
      <c r="D62" s="13"/>
    </row>
    <row r="63" spans="1:4" ht="14" x14ac:dyDescent="0.15">
      <c r="A63" s="3"/>
      <c r="B63" s="3"/>
      <c r="C63" s="16"/>
      <c r="D63" s="13"/>
    </row>
    <row r="64" spans="1:4" ht="14" x14ac:dyDescent="0.15">
      <c r="A64" s="3"/>
      <c r="B64" s="3"/>
      <c r="C64" s="16"/>
      <c r="D64" s="13"/>
    </row>
    <row r="65" spans="1:4" ht="14" x14ac:dyDescent="0.15">
      <c r="A65" s="3"/>
      <c r="B65" s="3"/>
      <c r="C65" s="16"/>
      <c r="D65" s="13"/>
    </row>
    <row r="66" spans="1:4" ht="14" x14ac:dyDescent="0.15">
      <c r="A66" s="3"/>
      <c r="B66" s="3"/>
      <c r="C66" s="16"/>
      <c r="D66" s="13"/>
    </row>
    <row r="67" spans="1:4" ht="14" x14ac:dyDescent="0.15">
      <c r="A67" s="3"/>
      <c r="B67" s="3"/>
      <c r="C67" s="16"/>
      <c r="D67" s="13"/>
    </row>
    <row r="68" spans="1:4" ht="14" x14ac:dyDescent="0.15">
      <c r="A68" s="3"/>
      <c r="B68" s="3"/>
      <c r="C68" s="16"/>
      <c r="D68" s="13"/>
    </row>
    <row r="69" spans="1:4" ht="14" x14ac:dyDescent="0.15">
      <c r="A69" s="3"/>
      <c r="B69" s="3"/>
      <c r="C69" s="16"/>
      <c r="D69" s="13"/>
    </row>
    <row r="70" spans="1:4" ht="14" x14ac:dyDescent="0.15">
      <c r="A70" s="3"/>
      <c r="B70" s="3"/>
      <c r="C70" s="16"/>
      <c r="D70" s="13"/>
    </row>
    <row r="71" spans="1:4" ht="14" x14ac:dyDescent="0.15">
      <c r="A71" s="3"/>
      <c r="B71" s="3"/>
      <c r="C71" s="16"/>
      <c r="D71" s="13"/>
    </row>
    <row r="72" spans="1:4" ht="14" x14ac:dyDescent="0.15">
      <c r="A72" s="3"/>
      <c r="B72" s="3"/>
      <c r="C72" s="16"/>
      <c r="D72" s="13"/>
    </row>
    <row r="73" spans="1:4" ht="14" x14ac:dyDescent="0.15">
      <c r="A73" s="3"/>
      <c r="B73" s="3"/>
      <c r="C73" s="16"/>
      <c r="D73" s="13"/>
    </row>
    <row r="74" spans="1:4" ht="14" x14ac:dyDescent="0.15">
      <c r="A74" s="3"/>
      <c r="B74" s="3"/>
      <c r="C74" s="16"/>
      <c r="D74" s="13"/>
    </row>
    <row r="75" spans="1:4" ht="14" x14ac:dyDescent="0.15">
      <c r="A75" s="3"/>
      <c r="B75" s="3"/>
      <c r="C75" s="16"/>
      <c r="D75" s="13"/>
    </row>
    <row r="76" spans="1:4" ht="14" x14ac:dyDescent="0.15">
      <c r="A76" s="3"/>
      <c r="B76" s="3"/>
      <c r="C76" s="16"/>
      <c r="D76" s="13"/>
    </row>
    <row r="77" spans="1:4" ht="14" x14ac:dyDescent="0.15">
      <c r="A77" s="3"/>
      <c r="B77" s="3"/>
      <c r="C77" s="16"/>
      <c r="D77" s="13"/>
    </row>
    <row r="78" spans="1:4" ht="14" x14ac:dyDescent="0.15">
      <c r="A78" s="3"/>
      <c r="B78" s="3"/>
      <c r="C78" s="16"/>
      <c r="D78" s="13"/>
    </row>
    <row r="79" spans="1:4" ht="14" x14ac:dyDescent="0.15">
      <c r="A79" s="3"/>
      <c r="B79" s="3"/>
      <c r="C79" s="16"/>
      <c r="D79" s="13"/>
    </row>
    <row r="80" spans="1:4" ht="14" x14ac:dyDescent="0.15">
      <c r="A80" s="3"/>
      <c r="B80" s="3"/>
      <c r="C80" s="16"/>
      <c r="D80" s="13"/>
    </row>
    <row r="81" spans="1:4" ht="14" x14ac:dyDescent="0.15">
      <c r="A81" s="3"/>
      <c r="B81" s="3"/>
      <c r="C81" s="16"/>
      <c r="D81" s="13"/>
    </row>
    <row r="82" spans="1:4" ht="14" x14ac:dyDescent="0.15">
      <c r="A82" s="3"/>
      <c r="B82" s="3"/>
      <c r="C82" s="16"/>
      <c r="D82" s="13"/>
    </row>
    <row r="83" spans="1:4" ht="14" x14ac:dyDescent="0.15">
      <c r="A83" s="3"/>
      <c r="B83" s="3"/>
      <c r="C83" s="16"/>
      <c r="D83" s="13"/>
    </row>
    <row r="84" spans="1:4" ht="14" x14ac:dyDescent="0.15">
      <c r="A84" s="3"/>
      <c r="B84" s="3"/>
      <c r="C84" s="16"/>
      <c r="D84" s="13"/>
    </row>
    <row r="85" spans="1:4" ht="14" x14ac:dyDescent="0.15">
      <c r="A85" s="3"/>
      <c r="B85" s="3"/>
      <c r="C85" s="16"/>
      <c r="D85" s="13"/>
    </row>
    <row r="86" spans="1:4" ht="14" x14ac:dyDescent="0.15">
      <c r="A86" s="3"/>
      <c r="B86" s="3"/>
      <c r="C86" s="16"/>
      <c r="D86" s="13"/>
    </row>
    <row r="87" spans="1:4" ht="14" x14ac:dyDescent="0.15">
      <c r="A87" s="3"/>
      <c r="B87" s="3"/>
      <c r="C87" s="16"/>
      <c r="D87" s="13"/>
    </row>
    <row r="88" spans="1:4" ht="14" x14ac:dyDescent="0.15">
      <c r="A88" s="3"/>
      <c r="B88" s="3"/>
      <c r="C88" s="16"/>
      <c r="D88" s="13"/>
    </row>
    <row r="89" spans="1:4" ht="14" x14ac:dyDescent="0.15">
      <c r="A89" s="3"/>
      <c r="B89" s="3"/>
      <c r="C89" s="16"/>
      <c r="D89" s="13"/>
    </row>
    <row r="90" spans="1:4" ht="14" x14ac:dyDescent="0.15">
      <c r="A90" s="3"/>
      <c r="B90" s="3"/>
      <c r="C90" s="16"/>
      <c r="D90" s="13"/>
    </row>
    <row r="91" spans="1:4" ht="14" x14ac:dyDescent="0.15">
      <c r="A91" s="3"/>
      <c r="B91" s="3"/>
      <c r="C91" s="16"/>
      <c r="D91" s="13"/>
    </row>
    <row r="92" spans="1:4" ht="14" x14ac:dyDescent="0.15">
      <c r="A92" s="3"/>
      <c r="B92" s="3"/>
      <c r="C92" s="16"/>
      <c r="D92" s="13"/>
    </row>
    <row r="93" spans="1:4" ht="14" x14ac:dyDescent="0.15">
      <c r="A93" s="3"/>
      <c r="B93" s="3"/>
      <c r="C93" s="16"/>
      <c r="D93" s="13"/>
    </row>
    <row r="94" spans="1:4" ht="14" x14ac:dyDescent="0.15">
      <c r="A94" s="3"/>
      <c r="B94" s="3"/>
      <c r="C94" s="16"/>
      <c r="D94" s="13"/>
    </row>
    <row r="95" spans="1:4" ht="14" x14ac:dyDescent="0.15">
      <c r="A95" s="3"/>
      <c r="B95" s="3"/>
      <c r="C95" s="16"/>
      <c r="D95" s="13"/>
    </row>
    <row r="96" spans="1:4" ht="14" x14ac:dyDescent="0.15">
      <c r="A96" s="3"/>
      <c r="B96" s="3"/>
      <c r="C96" s="16"/>
      <c r="D96" s="13"/>
    </row>
    <row r="97" spans="1:4" ht="14" x14ac:dyDescent="0.15">
      <c r="A97" s="3"/>
      <c r="B97" s="3"/>
      <c r="C97" s="16"/>
      <c r="D97" s="13"/>
    </row>
    <row r="98" spans="1:4" ht="14" x14ac:dyDescent="0.15">
      <c r="A98" s="3"/>
      <c r="B98" s="3"/>
      <c r="C98" s="16"/>
      <c r="D98" s="13"/>
    </row>
    <row r="99" spans="1:4" ht="14" x14ac:dyDescent="0.15">
      <c r="A99" s="3"/>
      <c r="B99" s="3"/>
      <c r="C99" s="16"/>
      <c r="D99" s="13"/>
    </row>
    <row r="100" spans="1:4" ht="14" x14ac:dyDescent="0.15">
      <c r="A100" s="3"/>
      <c r="B100" s="3"/>
      <c r="C100" s="16"/>
      <c r="D100" s="13"/>
    </row>
    <row r="101" spans="1:4" ht="14" x14ac:dyDescent="0.15">
      <c r="A101" s="3"/>
      <c r="B101" s="3"/>
      <c r="C101" s="16"/>
      <c r="D101" s="13"/>
    </row>
  </sheetData>
  <mergeCells count="3">
    <mergeCell ref="A1:D1"/>
    <mergeCell ref="A2:D2"/>
    <mergeCell ref="A3:D3"/>
  </mergeCells>
  <dataValidations count="1">
    <dataValidation type="list" allowBlank="1" showErrorMessage="1" sqref="A1" xr:uid="{00000000-0002-0000-0200-000000000000}">
      <formula1>#REF!</formula1>
    </dataValidation>
  </dataValidations>
  <hyperlinks>
    <hyperlink ref="C6" r:id="rId1" display="https://www.linkedin.com/learning/editing-mastery-how-to-edit-writing-to-perfection" xr:uid="{00000000-0004-0000-0200-000000000000}"/>
    <hyperlink ref="C7" r:id="rId2" display="https://www.linkedin.com/learning/business-writing-principles" xr:uid="{00000000-0004-0000-0200-000001000000}"/>
    <hyperlink ref="C8" r:id="rId3" display="https://www.linkedin.com/learning/business-writing-strategies" xr:uid="{00000000-0004-0000-0200-000002000000}"/>
    <hyperlink ref="C9" r:id="rId4" display="https://www.linkedin.com/learning/editing-and-proofreading-made-simple/welcome" xr:uid="{00000000-0004-0000-0200-000003000000}"/>
    <hyperlink ref="C10" r:id="rId5" display="https://www.linkedin.com/learning/productivity-hacks-for-writers" xr:uid="{00000000-0004-0000-0200-000004000000}"/>
    <hyperlink ref="C11" r:id="rId6" display="https://www.linkedin.com/learning/writing-a-business-case" xr:uid="{00000000-0004-0000-0200-000005000000}"/>
    <hyperlink ref="C12" r:id="rId7" display="https://www.linkedin.com/learning/writing-a-compelling-blog-post" xr:uid="{00000000-0004-0000-0200-000006000000}"/>
    <hyperlink ref="C13" r:id="rId8" display="https://www.linkedin.com/learning/writing-email" xr:uid="{00000000-0004-0000-0200-000007000000}"/>
    <hyperlink ref="C14" r:id="rId9" display="https://www.linkedin.com/learning/writing-formal-business-letters-and-emails" xr:uid="{00000000-0004-0000-0200-000008000000}"/>
    <hyperlink ref="C15" r:id="rId10" display="https://www.linkedin.com/learning/writing-in-plain-english" xr:uid="{00000000-0004-0000-0200-000009000000}"/>
    <hyperlink ref="C16" r:id="rId11" display="https://www.linkedin.com/learning/writing-recommendations" xr:uid="{00000000-0004-0000-0200-00000A000000}"/>
    <hyperlink ref="C17" r:id="rId12" display="https://www.linkedin.com/learning/writing-speeches" xr:uid="{00000000-0004-0000-0200-00000B000000}"/>
    <hyperlink ref="C18" r:id="rId13" display="https://www.linkedin.com/learning/writing-under-a-deadline" xr:uid="{00000000-0004-0000-0200-00000C000000}"/>
    <hyperlink ref="C19" r:id="rId14" display="https://www.linkedin.com/learning/writing-with-flair-how-to-become-an-exceptional-writer" xr:uid="{00000000-0004-0000-0200-00000D000000}"/>
    <hyperlink ref="C20" r:id="rId15" display="https://www.linkedin.com/learning/writing-with-impact" xr:uid="{00000000-0004-0000-0200-00000E000000}"/>
    <hyperlink ref="C21" r:id="rId16" display="https://www.linkedin.com/learning/writing-the-craft-of-story" xr:uid="{00000000-0004-0000-0200-00000F000000}"/>
    <hyperlink ref="C22" r:id="rId17" display="https://www.linkedin.com/learning/learning-to-write-for-the-web" xr:uid="{00000000-0004-0000-0200-000010000000}"/>
    <hyperlink ref="C23" r:id="rId18" display="https://www.linkedin.com/learning/learning-to-write-for-the-web" xr:uid="{00000000-0004-0000-0200-000011000000}"/>
    <hyperlink ref="C24" r:id="rId19" display="https://www.linkedin.com/learning/note-taking-for-business-professionals" xr:uid="{00000000-0004-0000-0200-000012000000}"/>
    <hyperlink ref="C25" r:id="rId20" display="https://www.linkedin.com/learning/technical-writing-reports" xr:uid="{00000000-0004-0000-0200-000013000000}"/>
    <hyperlink ref="C26" r:id="rId21" display="https://www.linkedin.com/learning/writing-a-research-paper" xr:uid="{00000000-0004-0000-0200-000014000000}"/>
    <hyperlink ref="C27" r:id="rId22" display="https://www.linkedin.com/learning/writing-articles" xr:uid="{00000000-0004-0000-0200-000015000000}"/>
    <hyperlink ref="C28" r:id="rId23" display="https://www.linkedin.com/learning/writing-case-studies" xr:uid="{00000000-0004-0000-0200-000016000000}"/>
    <hyperlink ref="C29" r:id="rId24" display="https://www.linkedin.com/learning/writing-white-papers" xr:uid="{00000000-0004-0000-0200-000017000000}"/>
    <hyperlink ref="C30" r:id="rId25" display="https://www.linkedin.com/learning/technical-writing-quick-start-guides" xr:uid="{00000000-0004-0000-0200-000018000000}"/>
    <hyperlink ref="C31" r:id="rId26" display="https://www.linkedin.com/learning/writing-a-business-report" xr:uid="{00000000-0004-0000-0200-000019000000}"/>
    <hyperlink ref="C32" r:id="rId27" display="https://www.linkedin.com/learning/writing-a-proposal" xr:uid="{00000000-0004-0000-0200-00001A000000}"/>
    <hyperlink ref="C33" r:id="rId28" display="https://www.linkedin.com/learning/ninja-writing-the-four-levels-of-writing-mastery" xr:uid="{00000000-0004-0000-0200-00001B000000}"/>
    <hyperlink ref="C34" r:id="rId29" display="https://www.linkedin.com/learning/writing-headlines" xr:uid="{00000000-0004-0000-0200-00001C000000}"/>
    <hyperlink ref="C5" r:id="rId30" display="https://www.linkedin.com/learning/advanced-grammar" xr:uid="{00000000-0004-0000-0200-00001D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4"/>
  </sheetPr>
  <dimension ref="A1:F101"/>
  <sheetViews>
    <sheetView workbookViewId="0">
      <selection sqref="A1:D1"/>
    </sheetView>
  </sheetViews>
  <sheetFormatPr baseColWidth="10" defaultColWidth="8.83203125" defaultRowHeight="13" x14ac:dyDescent="0.15"/>
  <cols>
    <col min="1" max="1" width="10.83203125" bestFit="1" customWidth="1"/>
    <col min="2" max="2" width="11.6640625" bestFit="1" customWidth="1"/>
    <col min="3" max="3" width="36.83203125" customWidth="1"/>
    <col min="4" max="4" width="37.5" customWidth="1"/>
    <col min="5" max="5" width="71" customWidth="1"/>
    <col min="6" max="6" width="62.5" bestFit="1" customWidth="1"/>
  </cols>
  <sheetData>
    <row r="1" spans="1:6" ht="28" customHeight="1" x14ac:dyDescent="0.15">
      <c r="A1" s="47" t="s">
        <v>5</v>
      </c>
      <c r="B1" s="64"/>
      <c r="C1" s="64"/>
      <c r="D1" s="64"/>
      <c r="E1" s="29"/>
      <c r="F1" s="29"/>
    </row>
    <row r="2" spans="1:6" x14ac:dyDescent="0.15">
      <c r="A2" s="40" t="s">
        <v>6</v>
      </c>
      <c r="B2" s="64"/>
      <c r="C2" s="64"/>
      <c r="D2" s="64"/>
      <c r="E2" s="29"/>
      <c r="F2" s="29"/>
    </row>
    <row r="3" spans="1:6" ht="56" customHeight="1" x14ac:dyDescent="0.15">
      <c r="A3" s="48" t="str">
        <f ca="1">IFERROR(__xludf.DUMMYFUNCTION("IFERROR(UNIQUE(FILTER('Top 25 Competency Collections'!O:O,'Top 25 Competency Collections'!A:A= K1)))"),"Building Trust, Peer Relationships, Collaboration, Approachability, Teamwork, Building Strategic Working Relationships, Gaining Commitment, Compassion, Building Positive Working Relationships, Integrity and Trust, Builds Networks, Instills Trust")</f>
        <v>Building Trust, Peer Relationships, Collaboration, Approachability, Teamwork, Building Strategic Working Relationships, Gaining Commitment, Compassion, Building Positive Working Relationships, Integrity and Trust, Builds Networks, Instills Trust</v>
      </c>
      <c r="B3" s="64"/>
      <c r="C3" s="64"/>
      <c r="D3" s="64"/>
      <c r="E3" s="29"/>
      <c r="F3" s="29"/>
    </row>
    <row r="4" spans="1:6" ht="15" x14ac:dyDescent="0.15">
      <c r="A4" s="30" t="s">
        <v>7</v>
      </c>
      <c r="B4" s="30" t="s">
        <v>8</v>
      </c>
      <c r="C4" s="30" t="s">
        <v>9</v>
      </c>
      <c r="D4" s="30" t="s">
        <v>10</v>
      </c>
      <c r="E4" s="65" t="s">
        <v>297</v>
      </c>
      <c r="F4" s="65" t="s">
        <v>261</v>
      </c>
    </row>
    <row r="5" spans="1:6" ht="30" x14ac:dyDescent="0.15">
      <c r="A5" s="3">
        <f ca="1">IFERROR(__xludf.DUMMYFUNCTION("FILTER('All Competencies'!B:B,'All Competencies'!A:A=K1)"),758614)</f>
        <v>758614</v>
      </c>
      <c r="B5" s="3" t="str">
        <f ca="1">IFERROR(__xludf.DUMMYFUNCTION("FILTER('All Competencies'!C:C,'All Competencies'!A:A=K1)"),"Beginner")</f>
        <v>Beginner</v>
      </c>
      <c r="C5" s="4" t="str">
        <f ca="1">IFERROR(__xludf.DUMMYFUNCTION("FILTER('All Competencies'!D:D,'All Competencies'!A:A=K1)"),"Collaboration Principles and Process")</f>
        <v>Collaboration Principles and Process</v>
      </c>
      <c r="D5" s="5" t="str">
        <f ca="1">IFERROR(__xludf.DUMMYFUNCTION("FILTER('All Competencies'!E:E,'All Competencies'!A:A=K1)"),"Become an Inclusive Leader")</f>
        <v>Become an Inclusive Leader</v>
      </c>
      <c r="E5" s="32" t="s">
        <v>327</v>
      </c>
      <c r="F5" s="5" t="s">
        <v>263</v>
      </c>
    </row>
    <row r="6" spans="1:6" ht="30" x14ac:dyDescent="0.15">
      <c r="A6" s="3">
        <f ca="1">IFERROR(__xludf.DUMMYFUNCTION("""COMPUTED_VALUE"""),534584)</f>
        <v>534584</v>
      </c>
      <c r="B6" s="3" t="str">
        <f ca="1">IFERROR(__xludf.DUMMYFUNCTION("""COMPUTED_VALUE"""),"Beginner")</f>
        <v>Beginner</v>
      </c>
      <c r="C6" s="4" t="str">
        <f ca="1">IFERROR(__xludf.DUMMYFUNCTION("""COMPUTED_VALUE"""),"Communicating with Empathy")</f>
        <v>Communicating with Empathy</v>
      </c>
      <c r="D6" s="5" t="str">
        <f ca="1">IFERROR(__xludf.DUMMYFUNCTION("""COMPUTED_VALUE"""),"Fostering Collaboration")</f>
        <v>Fostering Collaboration</v>
      </c>
      <c r="E6" s="5" t="s">
        <v>328</v>
      </c>
      <c r="F6" s="5" t="s">
        <v>349</v>
      </c>
    </row>
    <row r="7" spans="1:6" ht="30" x14ac:dyDescent="0.15">
      <c r="A7" s="3">
        <f ca="1">IFERROR(__xludf.DUMMYFUNCTION("""COMPUTED_VALUE"""),633843)</f>
        <v>633843</v>
      </c>
      <c r="B7" s="3" t="str">
        <f ca="1">IFERROR(__xludf.DUMMYFUNCTION("""COMPUTED_VALUE"""),"Beginner")</f>
        <v>Beginner</v>
      </c>
      <c r="C7" s="4" t="str">
        <f ca="1">IFERROR(__xludf.DUMMYFUNCTION("""COMPUTED_VALUE"""),"Communication within Teams")</f>
        <v>Communication within Teams</v>
      </c>
      <c r="D7" s="5" t="str">
        <f ca="1">IFERROR(__xludf.DUMMYFUNCTION("""COMPUTED_VALUE"""),"Improve Your Teamwork Skills")</f>
        <v>Improve Your Teamwork Skills</v>
      </c>
      <c r="E7" s="5" t="s">
        <v>329</v>
      </c>
      <c r="F7" s="5" t="s">
        <v>350</v>
      </c>
    </row>
    <row r="8" spans="1:6" ht="30" x14ac:dyDescent="0.15">
      <c r="A8" s="3">
        <f ca="1">IFERROR(__xludf.DUMMYFUNCTION("""COMPUTED_VALUE"""),622054)</f>
        <v>622054</v>
      </c>
      <c r="B8" s="3" t="str">
        <f ca="1">IFERROR(__xludf.DUMMYFUNCTION("""COMPUTED_VALUE"""),"Beginner")</f>
        <v>Beginner</v>
      </c>
      <c r="C8" s="4" t="str">
        <f ca="1">IFERROR(__xludf.DUMMYFUNCTION("""COMPUTED_VALUE"""),"Developing Self-Awareness")</f>
        <v>Developing Self-Awareness</v>
      </c>
      <c r="D8" s="13" t="str">
        <f ca="1">IFERROR(__xludf.DUMMYFUNCTION("""COMPUTED_VALUE"""),"")</f>
        <v/>
      </c>
      <c r="E8" s="5" t="s">
        <v>330</v>
      </c>
      <c r="F8" s="5"/>
    </row>
    <row r="9" spans="1:6" ht="30" x14ac:dyDescent="0.15">
      <c r="A9" s="3">
        <f ca="1">IFERROR(__xludf.DUMMYFUNCTION("""COMPUTED_VALUE"""),570966)</f>
        <v>570966</v>
      </c>
      <c r="B9" s="3" t="str">
        <f ca="1">IFERROR(__xludf.DUMMYFUNCTION("""COMPUTED_VALUE"""),"Beginner")</f>
        <v>Beginner</v>
      </c>
      <c r="C9" s="4" t="str">
        <f ca="1">IFERROR(__xludf.DUMMYFUNCTION("""COMPUTED_VALUE"""),"Developing Your Emotional Intelligence")</f>
        <v>Developing Your Emotional Intelligence</v>
      </c>
      <c r="D9" s="13" t="str">
        <f ca="1">IFERROR(__xludf.DUMMYFUNCTION("""COMPUTED_VALUE"""),"")</f>
        <v/>
      </c>
      <c r="E9" s="5" t="s">
        <v>331</v>
      </c>
      <c r="F9" s="5"/>
    </row>
    <row r="10" spans="1:6" ht="30" x14ac:dyDescent="0.15">
      <c r="A10" s="3">
        <f ca="1">IFERROR(__xludf.DUMMYFUNCTION("""COMPUTED_VALUE"""),570965)</f>
        <v>570965</v>
      </c>
      <c r="B10" s="3" t="str">
        <f ca="1">IFERROR(__xludf.DUMMYFUNCTION("""COMPUTED_VALUE"""),"Beginner")</f>
        <v>Beginner</v>
      </c>
      <c r="C10" s="4" t="str">
        <f ca="1">IFERROR(__xludf.DUMMYFUNCTION("""COMPUTED_VALUE"""),"Developing Your Professional Image")</f>
        <v>Developing Your Professional Image</v>
      </c>
      <c r="D10" s="13" t="str">
        <f ca="1">IFERROR(__xludf.DUMMYFUNCTION("""COMPUTED_VALUE"""),"")</f>
        <v/>
      </c>
      <c r="E10" s="5" t="s">
        <v>332</v>
      </c>
      <c r="F10" s="32"/>
    </row>
    <row r="11" spans="1:6" ht="15" x14ac:dyDescent="0.15">
      <c r="A11" s="3">
        <f ca="1">IFERROR(__xludf.DUMMYFUNCTION("""COMPUTED_VALUE"""),176760)</f>
        <v>176760</v>
      </c>
      <c r="B11" s="3" t="str">
        <f ca="1">IFERROR(__xludf.DUMMYFUNCTION("""COMPUTED_VALUE"""),"Beginner")</f>
        <v>Beginner</v>
      </c>
      <c r="C11" s="4" t="str">
        <f ca="1">IFERROR(__xludf.DUMMYFUNCTION("""COMPUTED_VALUE"""),"Effective Listening")</f>
        <v>Effective Listening</v>
      </c>
      <c r="D11" s="13" t="str">
        <f ca="1">IFERROR(__xludf.DUMMYFUNCTION("""COMPUTED_VALUE"""),"")</f>
        <v/>
      </c>
      <c r="E11" s="5" t="s">
        <v>333</v>
      </c>
      <c r="F11" s="5"/>
    </row>
    <row r="12" spans="1:6" ht="30" x14ac:dyDescent="0.15">
      <c r="A12" s="3">
        <f ca="1">IFERROR(__xludf.DUMMYFUNCTION("""COMPUTED_VALUE"""),580627)</f>
        <v>580627</v>
      </c>
      <c r="B12" s="3" t="str">
        <f ca="1">IFERROR(__xludf.DUMMYFUNCTION("""COMPUTED_VALUE"""),"Beginner")</f>
        <v>Beginner</v>
      </c>
      <c r="C12" s="4" t="str">
        <f ca="1">IFERROR(__xludf.DUMMYFUNCTION("""COMPUTED_VALUE"""),"Interpersonal Communication")</f>
        <v>Interpersonal Communication</v>
      </c>
      <c r="D12" s="13" t="str">
        <f ca="1">IFERROR(__xludf.DUMMYFUNCTION("""COMPUTED_VALUE"""),"")</f>
        <v/>
      </c>
      <c r="E12" s="5" t="s">
        <v>334</v>
      </c>
      <c r="F12" s="5"/>
    </row>
    <row r="13" spans="1:6" ht="30" x14ac:dyDescent="0.15">
      <c r="A13" s="3">
        <f ca="1">IFERROR(__xludf.DUMMYFUNCTION("""COMPUTED_VALUE"""),784280)</f>
        <v>784280</v>
      </c>
      <c r="B13" s="3" t="str">
        <f ca="1">IFERROR(__xludf.DUMMYFUNCTION("""COMPUTED_VALUE"""),"Beginner")</f>
        <v>Beginner</v>
      </c>
      <c r="C13" s="4" t="str">
        <f ca="1">IFERROR(__xludf.DUMMYFUNCTION("""COMPUTED_VALUE"""),"Leading Inclusive Teams")</f>
        <v>Leading Inclusive Teams</v>
      </c>
      <c r="D13" s="13" t="str">
        <f ca="1">IFERROR(__xludf.DUMMYFUNCTION("""COMPUTED_VALUE"""),"")</f>
        <v/>
      </c>
      <c r="E13" s="5" t="s">
        <v>335</v>
      </c>
      <c r="F13" s="5"/>
    </row>
    <row r="14" spans="1:6" ht="30" x14ac:dyDescent="0.15">
      <c r="A14" s="3">
        <f ca="1">IFERROR(__xludf.DUMMYFUNCTION("""COMPUTED_VALUE"""),466176)</f>
        <v>466176</v>
      </c>
      <c r="B14" s="3" t="str">
        <f ca="1">IFERROR(__xludf.DUMMYFUNCTION("""COMPUTED_VALUE"""),"Beginner")</f>
        <v>Beginner</v>
      </c>
      <c r="C14" s="4" t="str">
        <f ca="1">IFERROR(__xludf.DUMMYFUNCTION("""COMPUTED_VALUE"""),"Professional Networking")</f>
        <v>Professional Networking</v>
      </c>
      <c r="D14" s="13" t="str">
        <f ca="1">IFERROR(__xludf.DUMMYFUNCTION("""COMPUTED_VALUE"""),"")</f>
        <v/>
      </c>
      <c r="E14" s="5" t="s">
        <v>336</v>
      </c>
      <c r="F14" s="5"/>
    </row>
    <row r="15" spans="1:6" ht="30" x14ac:dyDescent="0.15">
      <c r="A15" s="3">
        <f ca="1">IFERROR(__xludf.DUMMYFUNCTION("""COMPUTED_VALUE"""),365728)</f>
        <v>365728</v>
      </c>
      <c r="B15" s="3" t="str">
        <f ca="1">IFERROR(__xludf.DUMMYFUNCTION("""COMPUTED_VALUE"""),"Beginner")</f>
        <v>Beginner</v>
      </c>
      <c r="C15" s="4" t="str">
        <f ca="1">IFERROR(__xludf.DUMMYFUNCTION("""COMPUTED_VALUE"""),"Teamwork Foundations")</f>
        <v>Teamwork Foundations</v>
      </c>
      <c r="D15" s="13" t="str">
        <f ca="1">IFERROR(__xludf.DUMMYFUNCTION("""COMPUTED_VALUE"""),"")</f>
        <v/>
      </c>
      <c r="E15" s="5" t="s">
        <v>337</v>
      </c>
      <c r="F15" s="5"/>
    </row>
    <row r="16" spans="1:6" ht="30" x14ac:dyDescent="0.15">
      <c r="A16" s="3">
        <f ca="1">IFERROR(__xludf.DUMMYFUNCTION("""COMPUTED_VALUE"""),624206)</f>
        <v>624206</v>
      </c>
      <c r="B16" s="3" t="str">
        <f ca="1">IFERROR(__xludf.DUMMYFUNCTION("""COMPUTED_VALUE"""),"Beginner")</f>
        <v>Beginner</v>
      </c>
      <c r="C16" s="4" t="str">
        <f ca="1">IFERROR(__xludf.DUMMYFUNCTION("""COMPUTED_VALUE"""),"Working on a Cross-Functional Team")</f>
        <v>Working on a Cross-Functional Team</v>
      </c>
      <c r="D16" s="13" t="str">
        <f ca="1">IFERROR(__xludf.DUMMYFUNCTION("""COMPUTED_VALUE"""),"")</f>
        <v/>
      </c>
      <c r="E16" s="5" t="s">
        <v>338</v>
      </c>
      <c r="F16" s="5"/>
    </row>
    <row r="17" spans="1:6" ht="30" x14ac:dyDescent="0.15">
      <c r="A17" s="3">
        <f ca="1">IFERROR(__xludf.DUMMYFUNCTION("""COMPUTED_VALUE"""),709833)</f>
        <v>709833</v>
      </c>
      <c r="B17" s="3" t="str">
        <f ca="1">IFERROR(__xludf.DUMMYFUNCTION("""COMPUTED_VALUE"""),"Beginner, Intermediate")</f>
        <v>Beginner, Intermediate</v>
      </c>
      <c r="C17" s="4" t="str">
        <f ca="1">IFERROR(__xludf.DUMMYFUNCTION("""COMPUTED_VALUE"""),"Being an Effective Team Member")</f>
        <v>Being an Effective Team Member</v>
      </c>
      <c r="D17" s="13" t="str">
        <f ca="1">IFERROR(__xludf.DUMMYFUNCTION("""COMPUTED_VALUE"""),"")</f>
        <v/>
      </c>
      <c r="E17" s="5" t="s">
        <v>339</v>
      </c>
      <c r="F17" s="5"/>
    </row>
    <row r="18" spans="1:6" ht="30" x14ac:dyDescent="0.15">
      <c r="A18" s="3">
        <f ca="1">IFERROR(__xludf.DUMMYFUNCTION("""COMPUTED_VALUE"""),700791)</f>
        <v>700791</v>
      </c>
      <c r="B18" s="3" t="str">
        <f ca="1">IFERROR(__xludf.DUMMYFUNCTION("""COMPUTED_VALUE"""),"Beginner, Intermediate")</f>
        <v>Beginner, Intermediate</v>
      </c>
      <c r="C18" s="4" t="str">
        <f ca="1">IFERROR(__xludf.DUMMYFUNCTION("""COMPUTED_VALUE"""),"Building Trust")</f>
        <v>Building Trust</v>
      </c>
      <c r="D18" s="13" t="str">
        <f ca="1">IFERROR(__xludf.DUMMYFUNCTION("""COMPUTED_VALUE"""),"")</f>
        <v/>
      </c>
      <c r="E18" s="5" t="s">
        <v>340</v>
      </c>
      <c r="F18" s="5"/>
    </row>
    <row r="19" spans="1:6" ht="30" x14ac:dyDescent="0.15">
      <c r="A19" s="3">
        <f ca="1">IFERROR(__xludf.DUMMYFUNCTION("""COMPUTED_VALUE"""),172855)</f>
        <v>172855</v>
      </c>
      <c r="B19" s="3" t="str">
        <f ca="1">IFERROR(__xludf.DUMMYFUNCTION("""COMPUTED_VALUE"""),"Beginner, Intermediate")</f>
        <v>Beginner, Intermediate</v>
      </c>
      <c r="C19" s="4" t="str">
        <f ca="1">IFERROR(__xludf.DUMMYFUNCTION("""COMPUTED_VALUE"""),"Collaborative Design: Managing a Team")</f>
        <v>Collaborative Design: Managing a Team</v>
      </c>
      <c r="D19" s="13" t="str">
        <f ca="1">IFERROR(__xludf.DUMMYFUNCTION("""COMPUTED_VALUE"""),"")</f>
        <v/>
      </c>
      <c r="E19" s="5" t="s">
        <v>341</v>
      </c>
      <c r="F19" s="5"/>
    </row>
    <row r="20" spans="1:6" ht="30" x14ac:dyDescent="0.15">
      <c r="A20" s="3">
        <f ca="1">IFERROR(__xludf.DUMMYFUNCTION("""COMPUTED_VALUE"""),622053)</f>
        <v>622053</v>
      </c>
      <c r="B20" s="3" t="str">
        <f ca="1">IFERROR(__xludf.DUMMYFUNCTION("""COMPUTED_VALUE"""),"Beginner, Intermediate")</f>
        <v>Beginner, Intermediate</v>
      </c>
      <c r="C20" s="4" t="str">
        <f ca="1">IFERROR(__xludf.DUMMYFUNCTION("""COMPUTED_VALUE"""),"Giving and Receiving Feedback")</f>
        <v>Giving and Receiving Feedback</v>
      </c>
      <c r="D20" s="13" t="str">
        <f ca="1">IFERROR(__xludf.DUMMYFUNCTION("""COMPUTED_VALUE"""),"")</f>
        <v/>
      </c>
      <c r="E20" s="5" t="s">
        <v>342</v>
      </c>
      <c r="F20" s="5"/>
    </row>
    <row r="21" spans="1:6" ht="30" x14ac:dyDescent="0.15">
      <c r="A21" s="3">
        <f ca="1">IFERROR(__xludf.DUMMYFUNCTION("""COMPUTED_VALUE"""),653220)</f>
        <v>653220</v>
      </c>
      <c r="B21" s="3" t="str">
        <f ca="1">IFERROR(__xludf.DUMMYFUNCTION("""COMPUTED_VALUE"""),"Beginner, Intermediate")</f>
        <v>Beginner, Intermediate</v>
      </c>
      <c r="C21" s="4" t="str">
        <f ca="1">IFERROR(__xludf.DUMMYFUNCTION("""COMPUTED_VALUE"""),"Improving Your Listening Skills")</f>
        <v>Improving Your Listening Skills</v>
      </c>
      <c r="D21" s="13" t="str">
        <f ca="1">IFERROR(__xludf.DUMMYFUNCTION("""COMPUTED_VALUE"""),"")</f>
        <v/>
      </c>
      <c r="E21" s="5" t="s">
        <v>343</v>
      </c>
      <c r="F21" s="5"/>
    </row>
    <row r="22" spans="1:6" ht="30" x14ac:dyDescent="0.15">
      <c r="A22" s="3">
        <f ca="1">IFERROR(__xludf.DUMMYFUNCTION("""COMPUTED_VALUE"""),699245)</f>
        <v>699245</v>
      </c>
      <c r="B22" s="3" t="str">
        <f ca="1">IFERROR(__xludf.DUMMYFUNCTION("""COMPUTED_VALUE"""),"Intermediate")</f>
        <v>Intermediate</v>
      </c>
      <c r="C22" s="4" t="str">
        <f ca="1">IFERROR(__xludf.DUMMYFUNCTION("""COMPUTED_VALUE"""),"Business Collaboration in the Modern Workplace")</f>
        <v>Business Collaboration in the Modern Workplace</v>
      </c>
      <c r="D22" s="13" t="str">
        <f ca="1">IFERROR(__xludf.DUMMYFUNCTION("""COMPUTED_VALUE"""),"")</f>
        <v/>
      </c>
      <c r="E22" s="5" t="s">
        <v>344</v>
      </c>
      <c r="F22" s="5"/>
    </row>
    <row r="23" spans="1:6" ht="30" x14ac:dyDescent="0.15">
      <c r="A23" s="3">
        <f ca="1">IFERROR(__xludf.DUMMYFUNCTION("""COMPUTED_VALUE"""),612162)</f>
        <v>612162</v>
      </c>
      <c r="B23" s="3" t="str">
        <f ca="1">IFERROR(__xludf.DUMMYFUNCTION("""COMPUTED_VALUE"""),"Intermediate")</f>
        <v>Intermediate</v>
      </c>
      <c r="C23" s="4" t="str">
        <f ca="1">IFERROR(__xludf.DUMMYFUNCTION("""COMPUTED_VALUE"""),"Communicating with Diplomacy and Tact")</f>
        <v>Communicating with Diplomacy and Tact</v>
      </c>
      <c r="D23" s="13" t="str">
        <f ca="1">IFERROR(__xludf.DUMMYFUNCTION("""COMPUTED_VALUE"""),"")</f>
        <v/>
      </c>
      <c r="E23" s="5" t="s">
        <v>345</v>
      </c>
      <c r="F23" s="5"/>
    </row>
    <row r="24" spans="1:6" ht="15" x14ac:dyDescent="0.15">
      <c r="A24" s="3">
        <f ca="1">IFERROR(__xludf.DUMMYFUNCTION("""COMPUTED_VALUE"""),700792)</f>
        <v>700792</v>
      </c>
      <c r="B24" s="3" t="str">
        <f ca="1">IFERROR(__xludf.DUMMYFUNCTION("""COMPUTED_VALUE"""),"Intermediate")</f>
        <v>Intermediate</v>
      </c>
      <c r="C24" s="4" t="str">
        <f ca="1">IFERROR(__xludf.DUMMYFUNCTION("""COMPUTED_VALUE"""),"Employee Experience")</f>
        <v>Employee Experience</v>
      </c>
      <c r="D24" s="13" t="str">
        <f ca="1">IFERROR(__xludf.DUMMYFUNCTION("""COMPUTED_VALUE"""),"")</f>
        <v/>
      </c>
      <c r="E24" s="5" t="s">
        <v>346</v>
      </c>
      <c r="F24" s="5"/>
    </row>
    <row r="25" spans="1:6" ht="30" x14ac:dyDescent="0.15">
      <c r="A25" s="3">
        <f ca="1">IFERROR(__xludf.DUMMYFUNCTION("""COMPUTED_VALUE"""),656781)</f>
        <v>656781</v>
      </c>
      <c r="B25" s="3" t="str">
        <f ca="1">IFERROR(__xludf.DUMMYFUNCTION("""COMPUTED_VALUE"""),"Intermediate")</f>
        <v>Intermediate</v>
      </c>
      <c r="C25" s="4" t="str">
        <f ca="1">IFERROR(__xludf.DUMMYFUNCTION("""COMPUTED_VALUE"""),"Facilitation Skills for Managers and Leaders")</f>
        <v>Facilitation Skills for Managers and Leaders</v>
      </c>
      <c r="D25" s="13" t="str">
        <f ca="1">IFERROR(__xludf.DUMMYFUNCTION("""COMPUTED_VALUE"""),"")</f>
        <v/>
      </c>
      <c r="E25" s="5" t="s">
        <v>347</v>
      </c>
      <c r="F25" s="5"/>
    </row>
    <row r="26" spans="1:6" ht="15" x14ac:dyDescent="0.15">
      <c r="A26" s="3">
        <f ca="1">IFERROR(__xludf.DUMMYFUNCTION("""COMPUTED_VALUE"""),645013)</f>
        <v>645013</v>
      </c>
      <c r="B26" s="3" t="str">
        <f ca="1">IFERROR(__xludf.DUMMYFUNCTION("""COMPUTED_VALUE"""),"Intermediate")</f>
        <v>Intermediate</v>
      </c>
      <c r="C26" s="4" t="str">
        <f ca="1">IFERROR(__xludf.DUMMYFUNCTION("""COMPUTED_VALUE"""),"Inclusive Leadership")</f>
        <v>Inclusive Leadership</v>
      </c>
      <c r="D26" s="13" t="str">
        <f ca="1">IFERROR(__xludf.DUMMYFUNCTION("""COMPUTED_VALUE"""),"")</f>
        <v/>
      </c>
      <c r="E26" s="5" t="s">
        <v>348</v>
      </c>
      <c r="F26" s="5"/>
    </row>
    <row r="27" spans="1:6" ht="14" x14ac:dyDescent="0.15">
      <c r="A27" s="3"/>
      <c r="B27" s="3"/>
      <c r="C27" s="16"/>
      <c r="D27" s="13"/>
    </row>
    <row r="28" spans="1:6" ht="14" x14ac:dyDescent="0.15">
      <c r="A28" s="3"/>
      <c r="B28" s="3"/>
      <c r="C28" s="16"/>
      <c r="D28" s="13"/>
    </row>
    <row r="29" spans="1:6" ht="14" x14ac:dyDescent="0.15">
      <c r="A29" s="3"/>
      <c r="B29" s="3"/>
      <c r="C29" s="16"/>
      <c r="D29" s="13"/>
    </row>
    <row r="30" spans="1:6" ht="14" x14ac:dyDescent="0.15">
      <c r="A30" s="3"/>
      <c r="B30" s="3"/>
      <c r="C30" s="16"/>
      <c r="D30" s="13"/>
    </row>
    <row r="31" spans="1:6" ht="14" x14ac:dyDescent="0.15">
      <c r="A31" s="3"/>
      <c r="B31" s="3"/>
      <c r="C31" s="16"/>
      <c r="D31" s="13"/>
    </row>
    <row r="32" spans="1:6" ht="14" x14ac:dyDescent="0.15">
      <c r="A32" s="3"/>
      <c r="B32" s="3"/>
      <c r="C32" s="16"/>
      <c r="D32" s="13"/>
    </row>
    <row r="33" spans="1:4" ht="14" x14ac:dyDescent="0.15">
      <c r="A33" s="3"/>
      <c r="B33" s="3"/>
      <c r="C33" s="16"/>
      <c r="D33" s="13"/>
    </row>
    <row r="34" spans="1:4" ht="14" x14ac:dyDescent="0.15">
      <c r="A34" s="3"/>
      <c r="B34" s="3"/>
      <c r="C34" s="16"/>
      <c r="D34" s="13"/>
    </row>
    <row r="35" spans="1:4" ht="14" x14ac:dyDescent="0.15">
      <c r="A35" s="3"/>
      <c r="B35" s="3"/>
      <c r="C35" s="16"/>
      <c r="D35" s="13"/>
    </row>
    <row r="36" spans="1:4" ht="14" x14ac:dyDescent="0.15">
      <c r="A36" s="3"/>
      <c r="B36" s="3"/>
      <c r="C36" s="16"/>
      <c r="D36" s="13"/>
    </row>
    <row r="37" spans="1:4" ht="14" x14ac:dyDescent="0.15">
      <c r="A37" s="3"/>
      <c r="B37" s="3"/>
      <c r="C37" s="16"/>
      <c r="D37" s="13"/>
    </row>
    <row r="38" spans="1:4" ht="14" x14ac:dyDescent="0.15">
      <c r="A38" s="3"/>
      <c r="B38" s="3"/>
      <c r="C38" s="16"/>
      <c r="D38" s="13"/>
    </row>
    <row r="39" spans="1:4" ht="14" x14ac:dyDescent="0.15">
      <c r="A39" s="3"/>
      <c r="B39" s="3"/>
      <c r="C39" s="16"/>
      <c r="D39" s="13"/>
    </row>
    <row r="40" spans="1:4" ht="14" x14ac:dyDescent="0.15">
      <c r="A40" s="3"/>
      <c r="B40" s="3"/>
      <c r="C40" s="16"/>
      <c r="D40" s="13"/>
    </row>
    <row r="41" spans="1:4" ht="14" x14ac:dyDescent="0.15">
      <c r="A41" s="3"/>
      <c r="B41" s="3"/>
      <c r="C41" s="16"/>
      <c r="D41" s="13"/>
    </row>
    <row r="42" spans="1:4" ht="14" x14ac:dyDescent="0.15">
      <c r="A42" s="3"/>
      <c r="B42" s="3"/>
      <c r="C42" s="16"/>
      <c r="D42" s="13"/>
    </row>
    <row r="43" spans="1:4" ht="14" x14ac:dyDescent="0.15">
      <c r="A43" s="3"/>
      <c r="B43" s="3"/>
      <c r="C43" s="16"/>
      <c r="D43" s="13"/>
    </row>
    <row r="44" spans="1:4" ht="14" x14ac:dyDescent="0.15">
      <c r="A44" s="3"/>
      <c r="B44" s="3"/>
      <c r="C44" s="16"/>
      <c r="D44" s="13"/>
    </row>
    <row r="45" spans="1:4" ht="14" x14ac:dyDescent="0.15">
      <c r="A45" s="3"/>
      <c r="B45" s="3"/>
      <c r="C45" s="16"/>
      <c r="D45" s="13"/>
    </row>
    <row r="46" spans="1:4" ht="14" x14ac:dyDescent="0.15">
      <c r="A46" s="3"/>
      <c r="B46" s="3"/>
      <c r="C46" s="16"/>
      <c r="D46" s="13"/>
    </row>
    <row r="47" spans="1:4" ht="14" x14ac:dyDescent="0.15">
      <c r="A47" s="3"/>
      <c r="B47" s="3"/>
      <c r="C47" s="16"/>
      <c r="D47" s="13"/>
    </row>
    <row r="48" spans="1:4" ht="14" x14ac:dyDescent="0.15">
      <c r="A48" s="3"/>
      <c r="B48" s="3"/>
      <c r="C48" s="16"/>
      <c r="D48" s="13"/>
    </row>
    <row r="49" spans="1:4" ht="14" x14ac:dyDescent="0.15">
      <c r="A49" s="3"/>
      <c r="B49" s="3"/>
      <c r="C49" s="16"/>
      <c r="D49" s="13"/>
    </row>
    <row r="50" spans="1:4" ht="14" x14ac:dyDescent="0.15">
      <c r="A50" s="3"/>
      <c r="B50" s="3"/>
      <c r="C50" s="16"/>
      <c r="D50" s="13"/>
    </row>
    <row r="51" spans="1:4" ht="14" x14ac:dyDescent="0.15">
      <c r="A51" s="3"/>
      <c r="B51" s="3"/>
      <c r="C51" s="16"/>
      <c r="D51" s="13"/>
    </row>
    <row r="52" spans="1:4" ht="14" x14ac:dyDescent="0.15">
      <c r="A52" s="3"/>
      <c r="B52" s="3"/>
      <c r="C52" s="16"/>
      <c r="D52" s="13"/>
    </row>
    <row r="53" spans="1:4" ht="14" x14ac:dyDescent="0.15">
      <c r="A53" s="3"/>
      <c r="B53" s="3"/>
      <c r="C53" s="16"/>
      <c r="D53" s="13"/>
    </row>
    <row r="54" spans="1:4" ht="14" x14ac:dyDescent="0.15">
      <c r="A54" s="3"/>
      <c r="B54" s="3"/>
      <c r="C54" s="16"/>
      <c r="D54" s="13"/>
    </row>
    <row r="55" spans="1:4" ht="14" x14ac:dyDescent="0.15">
      <c r="A55" s="3"/>
      <c r="B55" s="3"/>
      <c r="C55" s="16"/>
      <c r="D55" s="13"/>
    </row>
    <row r="56" spans="1:4" ht="14" x14ac:dyDescent="0.15">
      <c r="A56" s="3"/>
      <c r="B56" s="3"/>
      <c r="C56" s="16"/>
      <c r="D56" s="13"/>
    </row>
    <row r="57" spans="1:4" ht="14" x14ac:dyDescent="0.15">
      <c r="A57" s="3"/>
      <c r="B57" s="3"/>
      <c r="C57" s="16"/>
      <c r="D57" s="13"/>
    </row>
    <row r="58" spans="1:4" ht="14" x14ac:dyDescent="0.15">
      <c r="A58" s="3"/>
      <c r="B58" s="3"/>
      <c r="C58" s="16"/>
      <c r="D58" s="13"/>
    </row>
    <row r="59" spans="1:4" ht="14" x14ac:dyDescent="0.15">
      <c r="A59" s="3"/>
      <c r="B59" s="3"/>
      <c r="C59" s="16"/>
      <c r="D59" s="13"/>
    </row>
    <row r="60" spans="1:4" ht="14" x14ac:dyDescent="0.15">
      <c r="A60" s="3"/>
      <c r="B60" s="3"/>
      <c r="C60" s="16"/>
      <c r="D60" s="13"/>
    </row>
    <row r="61" spans="1:4" ht="14" x14ac:dyDescent="0.15">
      <c r="A61" s="3"/>
      <c r="B61" s="3"/>
      <c r="C61" s="16"/>
      <c r="D61" s="13"/>
    </row>
    <row r="62" spans="1:4" ht="14" x14ac:dyDescent="0.15">
      <c r="A62" s="3"/>
      <c r="B62" s="3"/>
      <c r="C62" s="16"/>
      <c r="D62" s="13"/>
    </row>
    <row r="63" spans="1:4" ht="14" x14ac:dyDescent="0.15">
      <c r="A63" s="3"/>
      <c r="B63" s="3"/>
      <c r="C63" s="16"/>
      <c r="D63" s="13"/>
    </row>
    <row r="64" spans="1:4" ht="14" x14ac:dyDescent="0.15">
      <c r="A64" s="3"/>
      <c r="B64" s="3"/>
      <c r="C64" s="16"/>
      <c r="D64" s="13"/>
    </row>
    <row r="65" spans="1:4" ht="14" x14ac:dyDescent="0.15">
      <c r="A65" s="3"/>
      <c r="B65" s="3"/>
      <c r="C65" s="16"/>
      <c r="D65" s="13"/>
    </row>
    <row r="66" spans="1:4" ht="14" x14ac:dyDescent="0.15">
      <c r="A66" s="3"/>
      <c r="B66" s="3"/>
      <c r="C66" s="16"/>
      <c r="D66" s="13"/>
    </row>
    <row r="67" spans="1:4" ht="14" x14ac:dyDescent="0.15">
      <c r="A67" s="3"/>
      <c r="B67" s="3"/>
      <c r="C67" s="16"/>
      <c r="D67" s="13"/>
    </row>
    <row r="68" spans="1:4" ht="14" x14ac:dyDescent="0.15">
      <c r="A68" s="3"/>
      <c r="B68" s="3"/>
      <c r="C68" s="16"/>
      <c r="D68" s="13"/>
    </row>
    <row r="69" spans="1:4" ht="14" x14ac:dyDescent="0.15">
      <c r="A69" s="3"/>
      <c r="B69" s="3"/>
      <c r="C69" s="16"/>
      <c r="D69" s="13"/>
    </row>
    <row r="70" spans="1:4" ht="14" x14ac:dyDescent="0.15">
      <c r="A70" s="3"/>
      <c r="B70" s="3"/>
      <c r="C70" s="16"/>
      <c r="D70" s="13"/>
    </row>
    <row r="71" spans="1:4" ht="14" x14ac:dyDescent="0.15">
      <c r="A71" s="3"/>
      <c r="B71" s="3"/>
      <c r="C71" s="16"/>
      <c r="D71" s="13"/>
    </row>
    <row r="72" spans="1:4" ht="14" x14ac:dyDescent="0.15">
      <c r="A72" s="3"/>
      <c r="B72" s="3"/>
      <c r="C72" s="16"/>
      <c r="D72" s="13"/>
    </row>
    <row r="73" spans="1:4" ht="14" x14ac:dyDescent="0.15">
      <c r="A73" s="3"/>
      <c r="B73" s="3"/>
      <c r="C73" s="16"/>
      <c r="D73" s="13"/>
    </row>
    <row r="74" spans="1:4" ht="14" x14ac:dyDescent="0.15">
      <c r="A74" s="3"/>
      <c r="B74" s="3"/>
      <c r="C74" s="16"/>
      <c r="D74" s="13"/>
    </row>
    <row r="75" spans="1:4" ht="14" x14ac:dyDescent="0.15">
      <c r="A75" s="3"/>
      <c r="B75" s="3"/>
      <c r="C75" s="16"/>
      <c r="D75" s="13"/>
    </row>
    <row r="76" spans="1:4" ht="14" x14ac:dyDescent="0.15">
      <c r="A76" s="3"/>
      <c r="B76" s="3"/>
      <c r="C76" s="16"/>
      <c r="D76" s="13"/>
    </row>
    <row r="77" spans="1:4" ht="14" x14ac:dyDescent="0.15">
      <c r="A77" s="3"/>
      <c r="B77" s="3"/>
      <c r="C77" s="16"/>
      <c r="D77" s="13"/>
    </row>
    <row r="78" spans="1:4" ht="14" x14ac:dyDescent="0.15">
      <c r="A78" s="3"/>
      <c r="B78" s="3"/>
      <c r="C78" s="16"/>
      <c r="D78" s="13"/>
    </row>
    <row r="79" spans="1:4" ht="14" x14ac:dyDescent="0.15">
      <c r="A79" s="3"/>
      <c r="B79" s="3"/>
      <c r="C79" s="16"/>
      <c r="D79" s="13"/>
    </row>
    <row r="80" spans="1:4" ht="14" x14ac:dyDescent="0.15">
      <c r="A80" s="3"/>
      <c r="B80" s="3"/>
      <c r="C80" s="16"/>
      <c r="D80" s="13"/>
    </row>
    <row r="81" spans="1:4" ht="14" x14ac:dyDescent="0.15">
      <c r="A81" s="3"/>
      <c r="B81" s="3"/>
      <c r="C81" s="16"/>
      <c r="D81" s="13"/>
    </row>
    <row r="82" spans="1:4" ht="14" x14ac:dyDescent="0.15">
      <c r="A82" s="3"/>
      <c r="B82" s="3"/>
      <c r="C82" s="16"/>
      <c r="D82" s="13"/>
    </row>
    <row r="83" spans="1:4" ht="14" x14ac:dyDescent="0.15">
      <c r="A83" s="3"/>
      <c r="B83" s="3"/>
      <c r="C83" s="16"/>
      <c r="D83" s="13"/>
    </row>
    <row r="84" spans="1:4" ht="14" x14ac:dyDescent="0.15">
      <c r="A84" s="3"/>
      <c r="B84" s="3"/>
      <c r="C84" s="16"/>
      <c r="D84" s="13"/>
    </row>
    <row r="85" spans="1:4" ht="14" x14ac:dyDescent="0.15">
      <c r="A85" s="3"/>
      <c r="B85" s="3"/>
      <c r="C85" s="16"/>
      <c r="D85" s="13"/>
    </row>
    <row r="86" spans="1:4" ht="14" x14ac:dyDescent="0.15">
      <c r="A86" s="3"/>
      <c r="B86" s="3"/>
      <c r="C86" s="16"/>
      <c r="D86" s="13"/>
    </row>
    <row r="87" spans="1:4" ht="14" x14ac:dyDescent="0.15">
      <c r="A87" s="3"/>
      <c r="B87" s="3"/>
      <c r="C87" s="16"/>
      <c r="D87" s="13"/>
    </row>
    <row r="88" spans="1:4" ht="14" x14ac:dyDescent="0.15">
      <c r="A88" s="3"/>
      <c r="B88" s="3"/>
      <c r="C88" s="16"/>
      <c r="D88" s="13"/>
    </row>
    <row r="89" spans="1:4" ht="14" x14ac:dyDescent="0.15">
      <c r="A89" s="3"/>
      <c r="B89" s="3"/>
      <c r="C89" s="16"/>
      <c r="D89" s="13"/>
    </row>
    <row r="90" spans="1:4" ht="14" x14ac:dyDescent="0.15">
      <c r="A90" s="3"/>
      <c r="B90" s="3"/>
      <c r="C90" s="16"/>
      <c r="D90" s="13"/>
    </row>
    <row r="91" spans="1:4" ht="14" x14ac:dyDescent="0.15">
      <c r="A91" s="3"/>
      <c r="B91" s="3"/>
      <c r="C91" s="16"/>
      <c r="D91" s="13"/>
    </row>
    <row r="92" spans="1:4" ht="14" x14ac:dyDescent="0.15">
      <c r="A92" s="3"/>
      <c r="B92" s="3"/>
      <c r="C92" s="16"/>
      <c r="D92" s="13"/>
    </row>
    <row r="93" spans="1:4" ht="14" x14ac:dyDescent="0.15">
      <c r="A93" s="3"/>
      <c r="B93" s="3"/>
      <c r="C93" s="16"/>
      <c r="D93" s="13"/>
    </row>
    <row r="94" spans="1:4" ht="14" x14ac:dyDescent="0.15">
      <c r="A94" s="3"/>
      <c r="B94" s="3"/>
      <c r="C94" s="16"/>
      <c r="D94" s="13"/>
    </row>
    <row r="95" spans="1:4" ht="14" x14ac:dyDescent="0.15">
      <c r="A95" s="3"/>
      <c r="B95" s="3"/>
      <c r="C95" s="16"/>
      <c r="D95" s="13"/>
    </row>
    <row r="96" spans="1:4" ht="14" x14ac:dyDescent="0.15">
      <c r="A96" s="3"/>
      <c r="B96" s="3"/>
      <c r="C96" s="16"/>
      <c r="D96" s="13"/>
    </row>
    <row r="97" spans="1:4" ht="14" x14ac:dyDescent="0.15">
      <c r="A97" s="3"/>
      <c r="B97" s="3"/>
      <c r="C97" s="16"/>
      <c r="D97" s="13"/>
    </row>
    <row r="98" spans="1:4" ht="14" x14ac:dyDescent="0.15">
      <c r="A98" s="3"/>
      <c r="B98" s="3"/>
      <c r="C98" s="16"/>
      <c r="D98" s="13"/>
    </row>
    <row r="99" spans="1:4" ht="14" x14ac:dyDescent="0.15">
      <c r="A99" s="3"/>
      <c r="B99" s="3"/>
      <c r="C99" s="16"/>
      <c r="D99" s="13"/>
    </row>
    <row r="100" spans="1:4" ht="14" x14ac:dyDescent="0.15">
      <c r="A100" s="3"/>
      <c r="B100" s="3"/>
      <c r="C100" s="16"/>
      <c r="D100" s="13"/>
    </row>
    <row r="101" spans="1:4" ht="14" x14ac:dyDescent="0.15">
      <c r="A101" s="3"/>
      <c r="B101" s="3"/>
      <c r="C101" s="16"/>
      <c r="D101" s="13"/>
    </row>
  </sheetData>
  <mergeCells count="3">
    <mergeCell ref="A1:D1"/>
    <mergeCell ref="A2:D2"/>
    <mergeCell ref="A3:D3"/>
  </mergeCells>
  <dataValidations count="1">
    <dataValidation type="list" allowBlank="1" showErrorMessage="1" sqref="A1" xr:uid="{00000000-0002-0000-0300-000000000000}">
      <formula1>#REF!</formula1>
    </dataValidation>
  </dataValidations>
  <hyperlinks>
    <hyperlink ref="C6" r:id="rId1" display="https://www.linkedin.com/learning/communicating-with-empathy" xr:uid="{00000000-0004-0000-0300-000000000000}"/>
    <hyperlink ref="D6" r:id="rId2" display="https://www.linkedin.com/learning/paths/fostering-collaboration" xr:uid="{00000000-0004-0000-0300-000001000000}"/>
    <hyperlink ref="C7" r:id="rId3" display="https://www.linkedin.com/learning/communication-within-teams" xr:uid="{00000000-0004-0000-0300-000002000000}"/>
    <hyperlink ref="D7" r:id="rId4" display="https://www.linkedin.com/learning/paths/improve-your-teamwork-skills" xr:uid="{00000000-0004-0000-0300-000003000000}"/>
    <hyperlink ref="C8" r:id="rId5" display="https://www.linkedin.com/learning/developing-self-awareness" xr:uid="{00000000-0004-0000-0300-000004000000}"/>
    <hyperlink ref="C9" r:id="rId6" display="https://www.linkedin.com/learning/developing-your-emotional-intelligence" xr:uid="{00000000-0004-0000-0300-000005000000}"/>
    <hyperlink ref="C10" r:id="rId7" display="https://www.linkedin.com/learning/developing-your-professional-image/the-resilience-mindset" xr:uid="{00000000-0004-0000-0300-000006000000}"/>
    <hyperlink ref="C11" r:id="rId8" display="https://www.linkedin.com/learning/effective-listening" xr:uid="{00000000-0004-0000-0300-000007000000}"/>
    <hyperlink ref="C12" r:id="rId9" display="https://www.linkedin.com/learning/interpersonal-communication/welcome" xr:uid="{00000000-0004-0000-0300-000008000000}"/>
    <hyperlink ref="C13" r:id="rId10" display="https://www.linkedin.com/learning/leading-inclusive-teams" xr:uid="{00000000-0004-0000-0300-000009000000}"/>
    <hyperlink ref="C14" r:id="rId11" display="https://www.linkedin.com/learning/professional-networking" xr:uid="{00000000-0004-0000-0300-00000A000000}"/>
    <hyperlink ref="C15" r:id="rId12" display="https://www.linkedin.com/learning/teamwork-foundations" xr:uid="{00000000-0004-0000-0300-00000B000000}"/>
    <hyperlink ref="C16" r:id="rId13" display="https://www.linkedin.com/learning/working-on-a-cross-functional-team/welcome" xr:uid="{00000000-0004-0000-0300-00000C000000}"/>
    <hyperlink ref="C17" r:id="rId14" display="https://www.linkedin.com/learning/being-an-effective-team-member" xr:uid="{00000000-0004-0000-0300-00000D000000}"/>
    <hyperlink ref="C18" r:id="rId15" display="https://www.linkedin.com/learning/building-trust-6" xr:uid="{00000000-0004-0000-0300-00000E000000}"/>
    <hyperlink ref="C19" r:id="rId16" display="https://www.linkedin.com/learning/collaborative-design-managing-a-team" xr:uid="{00000000-0004-0000-0300-00000F000000}"/>
    <hyperlink ref="C20" r:id="rId17" display="https://www.linkedin.com/learning/giving-and-receiving-feedback" xr:uid="{00000000-0004-0000-0300-000010000000}"/>
    <hyperlink ref="C21" r:id="rId18" display="https://www.linkedin.com/learning/improving-your-listening-skills" xr:uid="{00000000-0004-0000-0300-000011000000}"/>
    <hyperlink ref="C22" r:id="rId19" display="https://www.linkedin.com/learning/business-collaboration-in-the-modern-workplace/conversational-tools-email-and-chat" xr:uid="{00000000-0004-0000-0300-000012000000}"/>
    <hyperlink ref="C23" r:id="rId20" display="https://www.linkedin.com/learning/communicating-with-diplomacy-and-tact" xr:uid="{00000000-0004-0000-0300-000013000000}"/>
    <hyperlink ref="C24" r:id="rId21" display="https://www.linkedin.com/learning/employee-experience" xr:uid="{00000000-0004-0000-0300-000014000000}"/>
    <hyperlink ref="C25" r:id="rId22" display="https://www.linkedin.com/learning/facilitation-skills-for-managers-and-leaders" xr:uid="{00000000-0004-0000-0300-000015000000}"/>
    <hyperlink ref="C26" r:id="rId23" display="https://www.linkedin.com/learning/inclusive-leadership" xr:uid="{00000000-0004-0000-0300-000016000000}"/>
    <hyperlink ref="C5" r:id="rId24" display="https://www.linkedin.com/learning/collaboration-principles-and-process" xr:uid="{00000000-0004-0000-0300-00001700000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4"/>
    <outlinePr summaryBelow="0" summaryRight="0"/>
  </sheetPr>
  <dimension ref="A1:F101"/>
  <sheetViews>
    <sheetView showGridLines="0" workbookViewId="0">
      <pane ySplit="4" topLeftCell="A5" activePane="bottomLeft" state="frozen"/>
      <selection pane="bottomLeft" sqref="A1:D1"/>
    </sheetView>
  </sheetViews>
  <sheetFormatPr baseColWidth="10" defaultColWidth="14.5" defaultRowHeight="15.75" customHeight="1" x14ac:dyDescent="0.15"/>
  <cols>
    <col min="1" max="1" width="10.83203125" bestFit="1" customWidth="1"/>
    <col min="2" max="2" width="11.6640625" bestFit="1" customWidth="1"/>
    <col min="3" max="3" width="36.83203125" customWidth="1"/>
    <col min="4" max="4" width="37.5" customWidth="1"/>
    <col min="5" max="5" width="66" customWidth="1"/>
    <col min="6" max="6" width="35.33203125" customWidth="1"/>
  </cols>
  <sheetData>
    <row r="1" spans="1:6" ht="27.75" customHeight="1" x14ac:dyDescent="0.15">
      <c r="A1" s="47" t="s">
        <v>1</v>
      </c>
      <c r="B1" s="41"/>
      <c r="C1" s="41"/>
      <c r="D1" s="41"/>
    </row>
    <row r="2" spans="1:6" ht="13" x14ac:dyDescent="0.15">
      <c r="A2" s="40" t="s">
        <v>6</v>
      </c>
      <c r="B2" s="41"/>
      <c r="C2" s="41"/>
      <c r="D2" s="41"/>
    </row>
    <row r="3" spans="1:6" ht="73.5" customHeight="1" x14ac:dyDescent="0.15">
      <c r="A3" s="48" t="str">
        <f ca="1">IFERROR(__xludf.DUMMYFUNCTION("IFERROR(UNIQUE(FILTER('Top 25 Competency Collections'!O:O,'Top 25 Competency Collections'!A:A= A1)))"),"Flexibility, Manages Ambiguity, Dealing With Paradox, Situational Adaptability, Dealing with Ambiguity, Active Learning, Learning Agility, Applied Learning, Nimble Learning, Learning on the Fly, Continuous Learning, Continuous Improvement")</f>
        <v>Flexibility, Manages Ambiguity, Dealing With Paradox, Situational Adaptability, Dealing with Ambiguity, Active Learning, Learning Agility, Applied Learning, Nimble Learning, Learning on the Fly, Continuous Learning, Continuous Improvement</v>
      </c>
      <c r="B3" s="41"/>
      <c r="C3" s="41"/>
      <c r="D3" s="41"/>
    </row>
    <row r="4" spans="1:6" ht="14" x14ac:dyDescent="0.15">
      <c r="A4" s="2" t="s">
        <v>7</v>
      </c>
      <c r="B4" s="2" t="s">
        <v>8</v>
      </c>
      <c r="C4" s="2" t="s">
        <v>9</v>
      </c>
      <c r="D4" s="2" t="s">
        <v>10</v>
      </c>
      <c r="E4" s="36" t="s">
        <v>297</v>
      </c>
      <c r="F4" s="36" t="s">
        <v>261</v>
      </c>
    </row>
    <row r="5" spans="1:6" ht="30" x14ac:dyDescent="0.15">
      <c r="A5" s="3">
        <f ca="1">IFERROR(__xludf.DUMMYFUNCTION("FILTER('All Competencies'!B:B,'All Competencies'!A:A=A1)"),689761)</f>
        <v>689761</v>
      </c>
      <c r="B5" s="3" t="str">
        <f ca="1">IFERROR(__xludf.DUMMYFUNCTION("FILTER('All Competencies'!C:C,'All Competencies'!A:A=A1)"),"Advanced")</f>
        <v>Advanced</v>
      </c>
      <c r="C5" s="4" t="str">
        <f ca="1">IFERROR(__xludf.DUMMYFUNCTION("FILTER('All Competencies'!D:D,'All Competencies'!A:A=A1)"),"Creating a Culture of Change")</f>
        <v>Creating a Culture of Change</v>
      </c>
      <c r="D5" s="5" t="str">
        <f ca="1">IFERROR(__xludf.DUMMYFUNCTION("FILTER('All Competencies'!E:E,'All Competencies'!A:A=A1)"),"Managing Change")</f>
        <v>Managing Change</v>
      </c>
      <c r="E5" s="5" t="s">
        <v>351</v>
      </c>
      <c r="F5" s="31" t="s">
        <v>374</v>
      </c>
    </row>
    <row r="6" spans="1:6" ht="30" x14ac:dyDescent="0.15">
      <c r="A6" s="3">
        <f ca="1">IFERROR(__xludf.DUMMYFUNCTION("""COMPUTED_VALUE"""),2811712)</f>
        <v>2811712</v>
      </c>
      <c r="B6" s="3" t="str">
        <f ca="1">IFERROR(__xludf.DUMMYFUNCTION("""COMPUTED_VALUE"""),"Beginner")</f>
        <v>Beginner</v>
      </c>
      <c r="C6" s="4" t="str">
        <f ca="1">IFERROR(__xludf.DUMMYFUNCTION("""COMPUTED_VALUE"""),"Aaron Dignan on Transformational Change")</f>
        <v>Aaron Dignan on Transformational Change</v>
      </c>
      <c r="D6" s="7" t="str">
        <f ca="1">IFERROR(__xludf.DUMMYFUNCTION("""COMPUTED_VALUE"""),"")</f>
        <v/>
      </c>
      <c r="E6" s="5" t="s">
        <v>352</v>
      </c>
      <c r="F6" s="3"/>
    </row>
    <row r="7" spans="1:6" ht="30" x14ac:dyDescent="0.15">
      <c r="A7" s="3">
        <f ca="1">IFERROR(__xludf.DUMMYFUNCTION("""COMPUTED_VALUE"""),170777)</f>
        <v>170777</v>
      </c>
      <c r="B7" s="3" t="str">
        <f ca="1">IFERROR(__xludf.DUMMYFUNCTION("""COMPUTED_VALUE"""),"Beginner")</f>
        <v>Beginner</v>
      </c>
      <c r="C7" s="4" t="str">
        <f ca="1">IFERROR(__xludf.DUMMYFUNCTION("""COMPUTED_VALUE"""),"Building Resilience")</f>
        <v>Building Resilience</v>
      </c>
      <c r="D7" s="7" t="str">
        <f ca="1">IFERROR(__xludf.DUMMYFUNCTION("""COMPUTED_VALUE"""),"")</f>
        <v/>
      </c>
      <c r="E7" s="5" t="s">
        <v>266</v>
      </c>
      <c r="F7" s="3"/>
    </row>
    <row r="8" spans="1:6" ht="30" x14ac:dyDescent="0.15">
      <c r="A8" s="3">
        <f ca="1">IFERROR(__xludf.DUMMYFUNCTION("""COMPUTED_VALUE"""),153123)</f>
        <v>153123</v>
      </c>
      <c r="B8" s="3" t="str">
        <f ca="1">IFERROR(__xludf.DUMMYFUNCTION("""COMPUTED_VALUE"""),"Beginner")</f>
        <v>Beginner</v>
      </c>
      <c r="C8" s="4" t="str">
        <f ca="1">IFERROR(__xludf.DUMMYFUNCTION("""COMPUTED_VALUE"""),"Business Innovation Foundations")</f>
        <v>Business Innovation Foundations</v>
      </c>
      <c r="D8" s="7" t="str">
        <f ca="1">IFERROR(__xludf.DUMMYFUNCTION("""COMPUTED_VALUE"""),"")</f>
        <v/>
      </c>
      <c r="E8" s="5" t="s">
        <v>353</v>
      </c>
      <c r="F8" s="3"/>
    </row>
    <row r="9" spans="1:6" ht="30" x14ac:dyDescent="0.15">
      <c r="A9" s="3">
        <f ca="1">IFERROR(__xludf.DUMMYFUNCTION("""COMPUTED_VALUE"""),424116)</f>
        <v>424116</v>
      </c>
      <c r="B9" s="3" t="str">
        <f ca="1">IFERROR(__xludf.DUMMYFUNCTION("""COMPUTED_VALUE"""),"Beginner")</f>
        <v>Beginner</v>
      </c>
      <c r="C9" s="4" t="str">
        <f ca="1">IFERROR(__xludf.DUMMYFUNCTION("""COMPUTED_VALUE"""),"Critical Thinking")</f>
        <v>Critical Thinking</v>
      </c>
      <c r="D9" s="7" t="str">
        <f ca="1">IFERROR(__xludf.DUMMYFUNCTION("""COMPUTED_VALUE"""),"")</f>
        <v/>
      </c>
      <c r="E9" s="5" t="s">
        <v>267</v>
      </c>
      <c r="F9" s="3"/>
    </row>
    <row r="10" spans="1:6" ht="30" x14ac:dyDescent="0.15">
      <c r="A10" s="3">
        <f ca="1">IFERROR(__xludf.DUMMYFUNCTION("""COMPUTED_VALUE"""),718628)</f>
        <v>718628</v>
      </c>
      <c r="B10" s="3" t="str">
        <f ca="1">IFERROR(__xludf.DUMMYFUNCTION("""COMPUTED_VALUE"""),"Beginner")</f>
        <v>Beginner</v>
      </c>
      <c r="C10" s="4" t="str">
        <f ca="1">IFERROR(__xludf.DUMMYFUNCTION("""COMPUTED_VALUE"""),"Cultivating a Growth Mindset")</f>
        <v>Cultivating a Growth Mindset</v>
      </c>
      <c r="D10" s="7" t="str">
        <f ca="1">IFERROR(__xludf.DUMMYFUNCTION("""COMPUTED_VALUE"""),"")</f>
        <v/>
      </c>
      <c r="E10" s="5" t="s">
        <v>268</v>
      </c>
      <c r="F10" s="3"/>
    </row>
    <row r="11" spans="1:6" ht="30" x14ac:dyDescent="0.15">
      <c r="A11" s="3">
        <f ca="1">IFERROR(__xludf.DUMMYFUNCTION("""COMPUTED_VALUE"""),777381)</f>
        <v>777381</v>
      </c>
      <c r="B11" s="3" t="str">
        <f ca="1">IFERROR(__xludf.DUMMYFUNCTION("""COMPUTED_VALUE"""),"Beginner")</f>
        <v>Beginner</v>
      </c>
      <c r="C11" s="4" t="str">
        <f ca="1">IFERROR(__xludf.DUMMYFUNCTION("""COMPUTED_VALUE"""),"Delivering Results Effectively")</f>
        <v>Delivering Results Effectively</v>
      </c>
      <c r="D11" s="13" t="str">
        <f ca="1">IFERROR(__xludf.DUMMYFUNCTION("""COMPUTED_VALUE"""),"")</f>
        <v/>
      </c>
      <c r="E11" s="5" t="s">
        <v>270</v>
      </c>
      <c r="F11" s="3"/>
    </row>
    <row r="12" spans="1:6" ht="30" x14ac:dyDescent="0.15">
      <c r="A12" s="3">
        <f ca="1">IFERROR(__xludf.DUMMYFUNCTION("""COMPUTED_VALUE"""),661751)</f>
        <v>661751</v>
      </c>
      <c r="B12" s="3" t="str">
        <f ca="1">IFERROR(__xludf.DUMMYFUNCTION("""COMPUTED_VALUE"""),"Beginner")</f>
        <v>Beginner</v>
      </c>
      <c r="C12" s="4" t="str">
        <f ca="1">IFERROR(__xludf.DUMMYFUNCTION("""COMPUTED_VALUE"""),"Developing a Learning Mindset")</f>
        <v>Developing a Learning Mindset</v>
      </c>
      <c r="D12" s="7" t="str">
        <f ca="1">IFERROR(__xludf.DUMMYFUNCTION("""COMPUTED_VALUE"""),"")</f>
        <v/>
      </c>
      <c r="E12" s="5" t="s">
        <v>271</v>
      </c>
      <c r="F12" s="3"/>
    </row>
    <row r="13" spans="1:6" ht="30" x14ac:dyDescent="0.15">
      <c r="A13" s="3">
        <f ca="1">IFERROR(__xludf.DUMMYFUNCTION("""COMPUTED_VALUE"""),5015862)</f>
        <v>5015862</v>
      </c>
      <c r="B13" s="3" t="str">
        <f ca="1">IFERROR(__xludf.DUMMYFUNCTION("""COMPUTED_VALUE"""),"Beginner")</f>
        <v>Beginner</v>
      </c>
      <c r="C13" s="4" t="str">
        <f ca="1">IFERROR(__xludf.DUMMYFUNCTION("""COMPUTED_VALUE"""),"Embracing Unexpected Change")</f>
        <v>Embracing Unexpected Change</v>
      </c>
      <c r="D13" s="7" t="str">
        <f ca="1">IFERROR(__xludf.DUMMYFUNCTION("""COMPUTED_VALUE"""),"")</f>
        <v/>
      </c>
      <c r="E13" s="5" t="s">
        <v>354</v>
      </c>
      <c r="F13" s="3"/>
    </row>
    <row r="14" spans="1:6" ht="30" x14ac:dyDescent="0.15">
      <c r="A14" s="3">
        <f ca="1">IFERROR(__xludf.DUMMYFUNCTION("""COMPUTED_VALUE"""),718618)</f>
        <v>718618</v>
      </c>
      <c r="B14" s="3" t="str">
        <f ca="1">IFERROR(__xludf.DUMMYFUNCTION("""COMPUTED_VALUE"""),"Beginner")</f>
        <v>Beginner</v>
      </c>
      <c r="C14" s="4" t="str">
        <f ca="1">IFERROR(__xludf.DUMMYFUNCTION("""COMPUTED_VALUE"""),"Enhancing Resilience")</f>
        <v>Enhancing Resilience</v>
      </c>
      <c r="D14" s="13" t="str">
        <f ca="1">IFERROR(__xludf.DUMMYFUNCTION("""COMPUTED_VALUE"""),"")</f>
        <v/>
      </c>
      <c r="E14" s="5" t="s">
        <v>272</v>
      </c>
      <c r="F14" s="3"/>
    </row>
    <row r="15" spans="1:6" ht="30" x14ac:dyDescent="0.15">
      <c r="A15" s="3">
        <f ca="1">IFERROR(__xludf.DUMMYFUNCTION("""COMPUTED_VALUE"""),495346)</f>
        <v>495346</v>
      </c>
      <c r="B15" s="3" t="str">
        <f ca="1">IFERROR(__xludf.DUMMYFUNCTION("""COMPUTED_VALUE"""),"Beginner")</f>
        <v>Beginner</v>
      </c>
      <c r="C15" s="4" t="str">
        <f ca="1">IFERROR(__xludf.DUMMYFUNCTION("""COMPUTED_VALUE"""),"Gary Hamel on Busting Bureaucracy")</f>
        <v>Gary Hamel on Busting Bureaucracy</v>
      </c>
      <c r="D15" s="7" t="str">
        <f ca="1">IFERROR(__xludf.DUMMYFUNCTION("""COMPUTED_VALUE"""),"")</f>
        <v/>
      </c>
      <c r="E15" s="5" t="s">
        <v>355</v>
      </c>
      <c r="F15" s="3"/>
    </row>
    <row r="16" spans="1:6" ht="15" x14ac:dyDescent="0.15">
      <c r="A16" s="3">
        <f ca="1">IFERROR(__xludf.DUMMYFUNCTION("""COMPUTED_VALUE"""),661749)</f>
        <v>661749</v>
      </c>
      <c r="B16" s="3" t="str">
        <f ca="1">IFERROR(__xludf.DUMMYFUNCTION("""COMPUTED_VALUE"""),"Beginner")</f>
        <v>Beginner</v>
      </c>
      <c r="C16" s="4" t="str">
        <f ca="1">IFERROR(__xludf.DUMMYFUNCTION("""COMPUTED_VALUE"""),"Learning Agility")</f>
        <v>Learning Agility</v>
      </c>
      <c r="D16" s="7" t="str">
        <f ca="1">IFERROR(__xludf.DUMMYFUNCTION("""COMPUTED_VALUE"""),"")</f>
        <v/>
      </c>
      <c r="E16" s="5" t="s">
        <v>277</v>
      </c>
      <c r="F16" s="3"/>
    </row>
    <row r="17" spans="1:6" ht="30" x14ac:dyDescent="0.15">
      <c r="A17" s="3">
        <f ca="1">IFERROR(__xludf.DUMMYFUNCTION("""COMPUTED_VALUE"""),363225)</f>
        <v>363225</v>
      </c>
      <c r="B17" s="3" t="str">
        <f ca="1">IFERROR(__xludf.DUMMYFUNCTION("""COMPUTED_VALUE"""),"Beginner")</f>
        <v>Beginner</v>
      </c>
      <c r="C17" s="4" t="str">
        <f ca="1">IFERROR(__xludf.DUMMYFUNCTION("""COMPUTED_VALUE"""),"Learning from Failure")</f>
        <v>Learning from Failure</v>
      </c>
      <c r="D17" s="7" t="str">
        <f ca="1">IFERROR(__xludf.DUMMYFUNCTION("""COMPUTED_VALUE"""),"")</f>
        <v/>
      </c>
      <c r="E17" s="5" t="s">
        <v>278</v>
      </c>
      <c r="F17" s="3"/>
    </row>
    <row r="18" spans="1:6" ht="30" x14ac:dyDescent="0.15">
      <c r="A18" s="3">
        <f ca="1">IFERROR(__xludf.DUMMYFUNCTION("""COMPUTED_VALUE"""),599597)</f>
        <v>599597</v>
      </c>
      <c r="B18" s="3" t="str">
        <f ca="1">IFERROR(__xludf.DUMMYFUNCTION("""COMPUTED_VALUE"""),"Beginner")</f>
        <v>Beginner</v>
      </c>
      <c r="C18" s="4" t="str">
        <f ca="1">IFERROR(__xludf.DUMMYFUNCTION("""COMPUTED_VALUE"""),"Performing under Pressure")</f>
        <v>Performing under Pressure</v>
      </c>
      <c r="D18" s="7" t="str">
        <f ca="1">IFERROR(__xludf.DUMMYFUNCTION("""COMPUTED_VALUE"""),"")</f>
        <v/>
      </c>
      <c r="E18" s="5" t="s">
        <v>356</v>
      </c>
      <c r="F18" s="3"/>
    </row>
    <row r="19" spans="1:6" ht="30" x14ac:dyDescent="0.15">
      <c r="A19" s="3">
        <f ca="1">IFERROR(__xludf.DUMMYFUNCTION("""COMPUTED_VALUE"""),669533)</f>
        <v>669533</v>
      </c>
      <c r="B19" s="3" t="str">
        <f ca="1">IFERROR(__xludf.DUMMYFUNCTION("""COMPUTED_VALUE"""),"Beginner")</f>
        <v>Beginner</v>
      </c>
      <c r="C19" s="4" t="str">
        <f ca="1">IFERROR(__xludf.DUMMYFUNCTION("""COMPUTED_VALUE"""),"Sheryl Sandberg and Adam Grant on Option B: Building Resilience")</f>
        <v>Sheryl Sandberg and Adam Grant on Option B: Building Resilience</v>
      </c>
      <c r="D19" s="7" t="str">
        <f ca="1">IFERROR(__xludf.DUMMYFUNCTION("""COMPUTED_VALUE"""),"")</f>
        <v/>
      </c>
      <c r="E19" s="5" t="s">
        <v>284</v>
      </c>
      <c r="F19" s="3"/>
    </row>
    <row r="20" spans="1:6" ht="30" x14ac:dyDescent="0.15">
      <c r="A20" s="3">
        <f ca="1">IFERROR(__xludf.DUMMYFUNCTION("""COMPUTED_VALUE"""),2807856)</f>
        <v>2807856</v>
      </c>
      <c r="B20" s="3" t="str">
        <f ca="1">IFERROR(__xludf.DUMMYFUNCTION("""COMPUTED_VALUE"""),"Beginner")</f>
        <v>Beginner</v>
      </c>
      <c r="C20" s="4" t="str">
        <f ca="1">IFERROR(__xludf.DUMMYFUNCTION("""COMPUTED_VALUE"""),"Unlock Your Team's Creativity")</f>
        <v>Unlock Your Team's Creativity</v>
      </c>
      <c r="D20" s="7" t="str">
        <f ca="1">IFERROR(__xludf.DUMMYFUNCTION("""COMPUTED_VALUE"""),"")</f>
        <v/>
      </c>
      <c r="E20" s="5" t="s">
        <v>357</v>
      </c>
      <c r="F20" s="3"/>
    </row>
    <row r="21" spans="1:6" ht="30" x14ac:dyDescent="0.15">
      <c r="A21" s="3">
        <f ca="1">IFERROR(__xludf.DUMMYFUNCTION("""COMPUTED_VALUE"""),622050)</f>
        <v>622050</v>
      </c>
      <c r="B21" s="3" t="str">
        <f ca="1">IFERROR(__xludf.DUMMYFUNCTION("""COMPUTED_VALUE"""),"Beginner, Intermediate")</f>
        <v>Beginner, Intermediate</v>
      </c>
      <c r="C21" s="4" t="str">
        <f ca="1">IFERROR(__xludf.DUMMYFUNCTION("""COMPUTED_VALUE"""),"Developing Adaptable Employees")</f>
        <v>Developing Adaptable Employees</v>
      </c>
      <c r="D21" s="7" t="str">
        <f ca="1">IFERROR(__xludf.DUMMYFUNCTION("""COMPUTED_VALUE"""),"")</f>
        <v/>
      </c>
      <c r="E21" s="5" t="s">
        <v>358</v>
      </c>
      <c r="F21" s="3"/>
    </row>
    <row r="22" spans="1:6" ht="30" x14ac:dyDescent="0.15">
      <c r="A22" s="3">
        <f ca="1">IFERROR(__xludf.DUMMYFUNCTION("""COMPUTED_VALUE"""),515156)</f>
        <v>515156</v>
      </c>
      <c r="B22" s="3" t="str">
        <f ca="1">IFERROR(__xludf.DUMMYFUNCTION("""COMPUTED_VALUE"""),"Beginner, Intermediate")</f>
        <v>Beginner, Intermediate</v>
      </c>
      <c r="C22" s="4" t="str">
        <f ca="1">IFERROR(__xludf.DUMMYFUNCTION("""COMPUTED_VALUE"""),"Handling Workplace Change as an Employee")</f>
        <v>Handling Workplace Change as an Employee</v>
      </c>
      <c r="D22" s="7" t="str">
        <f ca="1">IFERROR(__xludf.DUMMYFUNCTION("""COMPUTED_VALUE"""),"")</f>
        <v/>
      </c>
      <c r="E22" s="5" t="s">
        <v>359</v>
      </c>
      <c r="F22" s="3"/>
    </row>
    <row r="23" spans="1:6" ht="30" x14ac:dyDescent="0.15">
      <c r="A23" s="3">
        <f ca="1">IFERROR(__xludf.DUMMYFUNCTION("""COMPUTED_VALUE"""),659269)</f>
        <v>659269</v>
      </c>
      <c r="B23" s="3" t="str">
        <f ca="1">IFERROR(__xludf.DUMMYFUNCTION("""COMPUTED_VALUE"""),"Beginner, Intermediate")</f>
        <v>Beginner, Intermediate</v>
      </c>
      <c r="C23" s="4" t="str">
        <f ca="1">IFERROR(__xludf.DUMMYFUNCTION("""COMPUTED_VALUE"""),"Managing Stress for Positive Change")</f>
        <v>Managing Stress for Positive Change</v>
      </c>
      <c r="D23" s="7" t="str">
        <f ca="1">IFERROR(__xludf.DUMMYFUNCTION("""COMPUTED_VALUE"""),"")</f>
        <v/>
      </c>
      <c r="E23" s="5" t="s">
        <v>360</v>
      </c>
      <c r="F23" s="3"/>
    </row>
    <row r="24" spans="1:6" ht="30" x14ac:dyDescent="0.15">
      <c r="A24" s="3">
        <f ca="1">IFERROR(__xludf.DUMMYFUNCTION("""COMPUTED_VALUE"""),387349)</f>
        <v>387349</v>
      </c>
      <c r="B24" s="3" t="str">
        <f ca="1">IFERROR(__xludf.DUMMYFUNCTION("""COMPUTED_VALUE"""),"Beginner, Intermediate")</f>
        <v>Beginner, Intermediate</v>
      </c>
      <c r="C24" s="4" t="str">
        <f ca="1">IFERROR(__xludf.DUMMYFUNCTION("""COMPUTED_VALUE"""),"Powerless to Powerful: Taking Control")</f>
        <v>Powerless to Powerful: Taking Control</v>
      </c>
      <c r="D24" s="7" t="str">
        <f ca="1">IFERROR(__xludf.DUMMYFUNCTION("""COMPUTED_VALUE"""),"")</f>
        <v/>
      </c>
      <c r="E24" s="5" t="s">
        <v>289</v>
      </c>
      <c r="F24" s="3"/>
    </row>
    <row r="25" spans="1:6" ht="30" x14ac:dyDescent="0.15">
      <c r="A25" s="3">
        <f ca="1">IFERROR(__xludf.DUMMYFUNCTION("""COMPUTED_VALUE"""),699331)</f>
        <v>699331</v>
      </c>
      <c r="B25" s="3" t="str">
        <f ca="1">IFERROR(__xludf.DUMMYFUNCTION("""COMPUTED_VALUE"""),"Intermediate")</f>
        <v>Intermediate</v>
      </c>
      <c r="C25" s="4" t="str">
        <f ca="1">IFERROR(__xludf.DUMMYFUNCTION("""COMPUTED_VALUE"""),"Adaptive Project Leadership")</f>
        <v>Adaptive Project Leadership</v>
      </c>
      <c r="D25" s="7" t="str">
        <f ca="1">IFERROR(__xludf.DUMMYFUNCTION("""COMPUTED_VALUE"""),"")</f>
        <v/>
      </c>
      <c r="E25" s="5" t="s">
        <v>361</v>
      </c>
      <c r="F25" s="3"/>
    </row>
    <row r="26" spans="1:6" ht="30" x14ac:dyDescent="0.15">
      <c r="A26" s="3">
        <f ca="1">IFERROR(__xludf.DUMMYFUNCTION("""COMPUTED_VALUE"""),456826)</f>
        <v>456826</v>
      </c>
      <c r="B26" s="3" t="str">
        <f ca="1">IFERROR(__xludf.DUMMYFUNCTION("""COMPUTED_VALUE"""),"Intermediate")</f>
        <v>Intermediate</v>
      </c>
      <c r="C26" s="4" t="str">
        <f ca="1">IFERROR(__xludf.DUMMYFUNCTION("""COMPUTED_VALUE"""),"Change Management Foundations")</f>
        <v>Change Management Foundations</v>
      </c>
      <c r="D26" s="7" t="str">
        <f ca="1">IFERROR(__xludf.DUMMYFUNCTION("""COMPUTED_VALUE"""),"")</f>
        <v/>
      </c>
      <c r="E26" s="5" t="s">
        <v>362</v>
      </c>
      <c r="F26" s="3"/>
    </row>
    <row r="27" spans="1:6" ht="30" x14ac:dyDescent="0.15">
      <c r="A27" s="3">
        <f ca="1">IFERROR(__xludf.DUMMYFUNCTION("""COMPUTED_VALUE"""),580624)</f>
        <v>580624</v>
      </c>
      <c r="B27" s="3" t="str">
        <f ca="1">IFERROR(__xludf.DUMMYFUNCTION("""COMPUTED_VALUE"""),"Intermediate")</f>
        <v>Intermediate</v>
      </c>
      <c r="C27" s="4" t="str">
        <f ca="1">IFERROR(__xludf.DUMMYFUNCTION("""COMPUTED_VALUE"""),"Communicating in Times of Change")</f>
        <v>Communicating in Times of Change</v>
      </c>
      <c r="D27" s="7" t="str">
        <f ca="1">IFERROR(__xludf.DUMMYFUNCTION("""COMPUTED_VALUE"""),"")</f>
        <v/>
      </c>
      <c r="E27" s="5" t="s">
        <v>363</v>
      </c>
      <c r="F27" s="3"/>
    </row>
    <row r="28" spans="1:6" ht="30" x14ac:dyDescent="0.15">
      <c r="A28" s="3">
        <f ca="1">IFERROR(__xludf.DUMMYFUNCTION("""COMPUTED_VALUE"""),585003)</f>
        <v>585003</v>
      </c>
      <c r="B28" s="3" t="str">
        <f ca="1">IFERROR(__xludf.DUMMYFUNCTION("""COMPUTED_VALUE"""),"Intermediate")</f>
        <v>Intermediate</v>
      </c>
      <c r="C28" s="4" t="str">
        <f ca="1">IFERROR(__xludf.DUMMYFUNCTION("""COMPUTED_VALUE"""),"Creating a Culture of Learning")</f>
        <v>Creating a Culture of Learning</v>
      </c>
      <c r="D28" s="7" t="str">
        <f ca="1">IFERROR(__xludf.DUMMYFUNCTION("""COMPUTED_VALUE"""),"")</f>
        <v/>
      </c>
      <c r="E28" s="5" t="s">
        <v>364</v>
      </c>
      <c r="F28" s="3"/>
    </row>
    <row r="29" spans="1:6" ht="30" x14ac:dyDescent="0.15">
      <c r="A29" s="3">
        <f ca="1">IFERROR(__xludf.DUMMYFUNCTION("""COMPUTED_VALUE"""),753898)</f>
        <v>753898</v>
      </c>
      <c r="B29" s="3" t="str">
        <f ca="1">IFERROR(__xludf.DUMMYFUNCTION("""COMPUTED_VALUE"""),"Intermediate")</f>
        <v>Intermediate</v>
      </c>
      <c r="C29" s="4" t="str">
        <f ca="1">IFERROR(__xludf.DUMMYFUNCTION("""COMPUTED_VALUE"""),"Cultivating Mental Agility")</f>
        <v>Cultivating Mental Agility</v>
      </c>
      <c r="D29" s="7" t="str">
        <f ca="1">IFERROR(__xludf.DUMMYFUNCTION("""COMPUTED_VALUE"""),"")</f>
        <v/>
      </c>
      <c r="E29" s="5" t="s">
        <v>290</v>
      </c>
      <c r="F29" s="3"/>
    </row>
    <row r="30" spans="1:6" ht="45" x14ac:dyDescent="0.15">
      <c r="A30" s="3">
        <f ca="1">IFERROR(__xludf.DUMMYFUNCTION("""COMPUTED_VALUE"""),753899)</f>
        <v>753899</v>
      </c>
      <c r="B30" s="3" t="str">
        <f ca="1">IFERROR(__xludf.DUMMYFUNCTION("""COMPUTED_VALUE"""),"Intermediate")</f>
        <v>Intermediate</v>
      </c>
      <c r="C30" s="4" t="str">
        <f ca="1">IFERROR(__xludf.DUMMYFUNCTION("""COMPUTED_VALUE"""),"Developing Adaptability as a Manager")</f>
        <v>Developing Adaptability as a Manager</v>
      </c>
      <c r="D30" s="7" t="str">
        <f ca="1">IFERROR(__xludf.DUMMYFUNCTION("""COMPUTED_VALUE"""),"")</f>
        <v/>
      </c>
      <c r="E30" s="5" t="s">
        <v>365</v>
      </c>
      <c r="F30" s="3"/>
    </row>
    <row r="31" spans="1:6" ht="30" x14ac:dyDescent="0.15">
      <c r="A31" s="3">
        <f ca="1">IFERROR(__xludf.DUMMYFUNCTION("""COMPUTED_VALUE"""),622051)</f>
        <v>622051</v>
      </c>
      <c r="B31" s="3" t="str">
        <f ca="1">IFERROR(__xludf.DUMMYFUNCTION("""COMPUTED_VALUE"""),"Intermediate")</f>
        <v>Intermediate</v>
      </c>
      <c r="C31" s="4" t="str">
        <f ca="1">IFERROR(__xludf.DUMMYFUNCTION("""COMPUTED_VALUE"""),"Developing Adaptable Managers")</f>
        <v>Developing Adaptable Managers</v>
      </c>
      <c r="D31" s="7" t="str">
        <f ca="1">IFERROR(__xludf.DUMMYFUNCTION("""COMPUTED_VALUE"""),"")</f>
        <v/>
      </c>
      <c r="E31" s="5" t="s">
        <v>366</v>
      </c>
      <c r="F31" s="3"/>
    </row>
    <row r="32" spans="1:6" ht="30" x14ac:dyDescent="0.15">
      <c r="A32" s="3">
        <f ca="1">IFERROR(__xludf.DUMMYFUNCTION("""COMPUTED_VALUE"""),150003)</f>
        <v>150003</v>
      </c>
      <c r="B32" s="3" t="str">
        <f ca="1">IFERROR(__xludf.DUMMYFUNCTION("""COMPUTED_VALUE"""),"Intermediate")</f>
        <v>Intermediate</v>
      </c>
      <c r="C32" s="4" t="str">
        <f ca="1">IFERROR(__xludf.DUMMYFUNCTION("""COMPUTED_VALUE"""),"Embracing Change")</f>
        <v>Embracing Change</v>
      </c>
      <c r="D32" s="7" t="str">
        <f ca="1">IFERROR(__xludf.DUMMYFUNCTION("""COMPUTED_VALUE"""),"")</f>
        <v/>
      </c>
      <c r="E32" s="5" t="s">
        <v>367</v>
      </c>
      <c r="F32" s="3"/>
    </row>
    <row r="33" spans="1:6" ht="30" x14ac:dyDescent="0.15">
      <c r="A33" s="3">
        <f ca="1">IFERROR(__xludf.DUMMYFUNCTION("""COMPUTED_VALUE"""),2802464)</f>
        <v>2802464</v>
      </c>
      <c r="B33" s="3" t="str">
        <f ca="1">IFERROR(__xludf.DUMMYFUNCTION("""COMPUTED_VALUE"""),"Intermediate")</f>
        <v>Intermediate</v>
      </c>
      <c r="C33" s="4" t="str">
        <f ca="1">IFERROR(__xludf.DUMMYFUNCTION("""COMPUTED_VALUE"""),"Leaders: Make Your Teams More Agile, Creative, and United")</f>
        <v>Leaders: Make Your Teams More Agile, Creative, and United</v>
      </c>
      <c r="D33" s="7" t="str">
        <f ca="1">IFERROR(__xludf.DUMMYFUNCTION("""COMPUTED_VALUE"""),"")</f>
        <v/>
      </c>
      <c r="E33" s="5" t="s">
        <v>368</v>
      </c>
      <c r="F33" s="3"/>
    </row>
    <row r="34" spans="1:6" ht="30" x14ac:dyDescent="0.15">
      <c r="A34" s="3">
        <f ca="1">IFERROR(__xludf.DUMMYFUNCTION("""COMPUTED_VALUE"""),5022327)</f>
        <v>5022327</v>
      </c>
      <c r="B34" s="3" t="str">
        <f ca="1">IFERROR(__xludf.DUMMYFUNCTION("""COMPUTED_VALUE"""),"Intermediate")</f>
        <v>Intermediate</v>
      </c>
      <c r="C34" s="4" t="str">
        <f ca="1">IFERROR(__xludf.DUMMYFUNCTION("""COMPUTED_VALUE"""),"Leading Your Team Through Change")</f>
        <v>Leading Your Team Through Change</v>
      </c>
      <c r="D34" s="7" t="str">
        <f ca="1">IFERROR(__xludf.DUMMYFUNCTION("""COMPUTED_VALUE"""),"")</f>
        <v/>
      </c>
      <c r="E34" s="5" t="s">
        <v>369</v>
      </c>
      <c r="F34" s="3"/>
    </row>
    <row r="35" spans="1:6" ht="30" x14ac:dyDescent="0.15">
      <c r="A35" s="3">
        <f ca="1">IFERROR(__xludf.DUMMYFUNCTION("""COMPUTED_VALUE"""),711796)</f>
        <v>711796</v>
      </c>
      <c r="B35" s="3" t="str">
        <f ca="1">IFERROR(__xludf.DUMMYFUNCTION("""COMPUTED_VALUE"""),"Intermediate")</f>
        <v>Intermediate</v>
      </c>
      <c r="C35" s="4" t="str">
        <f ca="1">IFERROR(__xludf.DUMMYFUNCTION("""COMPUTED_VALUE"""),"Managing Organizational Change for Managers")</f>
        <v>Managing Organizational Change for Managers</v>
      </c>
      <c r="D35" s="7" t="str">
        <f ca="1">IFERROR(__xludf.DUMMYFUNCTION("""COMPUTED_VALUE"""),"")</f>
        <v/>
      </c>
      <c r="E35" s="5" t="s">
        <v>370</v>
      </c>
      <c r="F35" s="3"/>
    </row>
    <row r="36" spans="1:6" ht="30" x14ac:dyDescent="0.15">
      <c r="A36" s="3">
        <f ca="1">IFERROR(__xludf.DUMMYFUNCTION("""COMPUTED_VALUE"""),520220)</f>
        <v>520220</v>
      </c>
      <c r="B36" s="3" t="str">
        <f ca="1">IFERROR(__xludf.DUMMYFUNCTION("""COMPUTED_VALUE"""),"Intermediate")</f>
        <v>Intermediate</v>
      </c>
      <c r="C36" s="4" t="str">
        <f ca="1">IFERROR(__xludf.DUMMYFUNCTION("""COMPUTED_VALUE"""),"Organizational Learning and Development")</f>
        <v>Organizational Learning and Development</v>
      </c>
      <c r="D36" s="7" t="str">
        <f ca="1">IFERROR(__xludf.DUMMYFUNCTION("""COMPUTED_VALUE"""),"")</f>
        <v/>
      </c>
      <c r="E36" s="5" t="s">
        <v>371</v>
      </c>
      <c r="F36" s="3"/>
    </row>
    <row r="37" spans="1:6" ht="30" x14ac:dyDescent="0.15">
      <c r="A37" s="3">
        <f ca="1">IFERROR(__xludf.DUMMYFUNCTION("""COMPUTED_VALUE"""),636110)</f>
        <v>636110</v>
      </c>
      <c r="B37" s="3" t="str">
        <f ca="1">IFERROR(__xludf.DUMMYFUNCTION("""COMPUTED_VALUE"""),"Intermediate")</f>
        <v>Intermediate</v>
      </c>
      <c r="C37" s="4" t="str">
        <f ca="1">IFERROR(__xludf.DUMMYFUNCTION("""COMPUTED_VALUE"""),"Taking Charge of Technology for Maximum Productivity")</f>
        <v>Taking Charge of Technology for Maximum Productivity</v>
      </c>
      <c r="D37" s="7" t="str">
        <f ca="1">IFERROR(__xludf.DUMMYFUNCTION("""COMPUTED_VALUE"""),"")</f>
        <v/>
      </c>
      <c r="E37" s="5" t="s">
        <v>372</v>
      </c>
      <c r="F37" s="3"/>
    </row>
    <row r="38" spans="1:6" ht="30" x14ac:dyDescent="0.15">
      <c r="A38" s="3">
        <f ca="1">IFERROR(__xludf.DUMMYFUNCTION("""COMPUTED_VALUE"""),794117)</f>
        <v>794117</v>
      </c>
      <c r="B38" s="3" t="str">
        <f ca="1">IFERROR(__xludf.DUMMYFUNCTION("""COMPUTED_VALUE"""),"Intermediate")</f>
        <v>Intermediate</v>
      </c>
      <c r="C38" s="4" t="str">
        <f ca="1">IFERROR(__xludf.DUMMYFUNCTION("""COMPUTED_VALUE"""),"Your L&amp;D Organization as a Competitive Advantage")</f>
        <v>Your L&amp;D Organization as a Competitive Advantage</v>
      </c>
      <c r="D38" s="7" t="str">
        <f ca="1">IFERROR(__xludf.DUMMYFUNCTION("""COMPUTED_VALUE"""),"")</f>
        <v/>
      </c>
      <c r="E38" s="5" t="s">
        <v>373</v>
      </c>
      <c r="F38" s="3"/>
    </row>
    <row r="39" spans="1:6" ht="14" x14ac:dyDescent="0.15">
      <c r="A39" s="3"/>
      <c r="B39" s="3"/>
      <c r="C39" s="16"/>
      <c r="D39" s="7"/>
    </row>
    <row r="40" spans="1:6" ht="14" x14ac:dyDescent="0.15">
      <c r="A40" s="3"/>
      <c r="B40" s="3"/>
      <c r="C40" s="16"/>
      <c r="D40" s="7"/>
    </row>
    <row r="41" spans="1:6" ht="14" x14ac:dyDescent="0.15">
      <c r="A41" s="3"/>
      <c r="B41" s="3"/>
      <c r="C41" s="16"/>
      <c r="D41" s="7"/>
    </row>
    <row r="42" spans="1:6" ht="14" x14ac:dyDescent="0.15">
      <c r="A42" s="3"/>
      <c r="B42" s="3"/>
      <c r="C42" s="16"/>
      <c r="D42" s="7"/>
    </row>
    <row r="43" spans="1:6" ht="14" x14ac:dyDescent="0.15">
      <c r="A43" s="3"/>
      <c r="B43" s="3"/>
      <c r="C43" s="16"/>
      <c r="D43" s="7"/>
    </row>
    <row r="44" spans="1:6" ht="14" x14ac:dyDescent="0.15">
      <c r="A44" s="3"/>
      <c r="B44" s="3"/>
      <c r="C44" s="16"/>
      <c r="D44" s="7"/>
    </row>
    <row r="45" spans="1:6" ht="14" x14ac:dyDescent="0.15">
      <c r="A45" s="3"/>
      <c r="B45" s="3"/>
      <c r="C45" s="16"/>
      <c r="D45" s="7"/>
    </row>
    <row r="46" spans="1:6" ht="14" x14ac:dyDescent="0.15">
      <c r="A46" s="3"/>
      <c r="B46" s="3"/>
      <c r="C46" s="16"/>
      <c r="D46" s="7"/>
    </row>
    <row r="47" spans="1:6" ht="14" x14ac:dyDescent="0.15">
      <c r="A47" s="3"/>
      <c r="B47" s="3"/>
      <c r="C47" s="16"/>
      <c r="D47" s="7"/>
    </row>
    <row r="48" spans="1:6" ht="14" x14ac:dyDescent="0.15">
      <c r="A48" s="3"/>
      <c r="B48" s="3"/>
      <c r="C48" s="16"/>
      <c r="D48" s="7"/>
    </row>
    <row r="49" spans="1:4" ht="14" x14ac:dyDescent="0.15">
      <c r="A49" s="3"/>
      <c r="B49" s="3"/>
      <c r="C49" s="16"/>
      <c r="D49" s="7"/>
    </row>
    <row r="50" spans="1:4" ht="14" x14ac:dyDescent="0.15">
      <c r="A50" s="3"/>
      <c r="B50" s="3"/>
      <c r="C50" s="16"/>
      <c r="D50" s="7"/>
    </row>
    <row r="51" spans="1:4" ht="14" x14ac:dyDescent="0.15">
      <c r="A51" s="3"/>
      <c r="B51" s="3"/>
      <c r="C51" s="16"/>
      <c r="D51" s="7"/>
    </row>
    <row r="52" spans="1:4" ht="14" x14ac:dyDescent="0.15">
      <c r="A52" s="3"/>
      <c r="B52" s="3"/>
      <c r="C52" s="16"/>
      <c r="D52" s="7"/>
    </row>
    <row r="53" spans="1:4" ht="14" x14ac:dyDescent="0.15">
      <c r="A53" s="3"/>
      <c r="B53" s="3"/>
      <c r="C53" s="16"/>
      <c r="D53" s="7"/>
    </row>
    <row r="54" spans="1:4" ht="14" x14ac:dyDescent="0.15">
      <c r="A54" s="3"/>
      <c r="B54" s="3"/>
      <c r="C54" s="16"/>
      <c r="D54" s="7"/>
    </row>
    <row r="55" spans="1:4" ht="14" x14ac:dyDescent="0.15">
      <c r="A55" s="3"/>
      <c r="B55" s="3"/>
      <c r="C55" s="16"/>
      <c r="D55" s="7"/>
    </row>
    <row r="56" spans="1:4" ht="14" x14ac:dyDescent="0.15">
      <c r="A56" s="3"/>
      <c r="B56" s="3"/>
      <c r="C56" s="16"/>
      <c r="D56" s="7"/>
    </row>
    <row r="57" spans="1:4" ht="14" x14ac:dyDescent="0.15">
      <c r="A57" s="3"/>
      <c r="B57" s="3"/>
      <c r="C57" s="16"/>
      <c r="D57" s="7"/>
    </row>
    <row r="58" spans="1:4" ht="14" x14ac:dyDescent="0.15">
      <c r="A58" s="3"/>
      <c r="B58" s="3"/>
      <c r="C58" s="16"/>
      <c r="D58" s="7"/>
    </row>
    <row r="59" spans="1:4" ht="14" x14ac:dyDescent="0.15">
      <c r="A59" s="3"/>
      <c r="B59" s="3"/>
      <c r="C59" s="16"/>
      <c r="D59" s="7"/>
    </row>
    <row r="60" spans="1:4" ht="14" x14ac:dyDescent="0.15">
      <c r="A60" s="3"/>
      <c r="B60" s="3"/>
      <c r="C60" s="16"/>
      <c r="D60" s="7"/>
    </row>
    <row r="61" spans="1:4" ht="14" x14ac:dyDescent="0.15">
      <c r="A61" s="3"/>
      <c r="B61" s="3"/>
      <c r="C61" s="16"/>
      <c r="D61" s="7"/>
    </row>
    <row r="62" spans="1:4" ht="14" x14ac:dyDescent="0.15">
      <c r="A62" s="3"/>
      <c r="B62" s="3"/>
      <c r="C62" s="16"/>
      <c r="D62" s="7"/>
    </row>
    <row r="63" spans="1:4" ht="14" x14ac:dyDescent="0.15">
      <c r="A63" s="3"/>
      <c r="B63" s="3"/>
      <c r="C63" s="16"/>
      <c r="D63" s="7"/>
    </row>
    <row r="64" spans="1:4" ht="14" x14ac:dyDescent="0.15">
      <c r="A64" s="3"/>
      <c r="B64" s="3"/>
      <c r="C64" s="16"/>
      <c r="D64" s="7"/>
    </row>
    <row r="65" spans="1:4" ht="14" x14ac:dyDescent="0.15">
      <c r="A65" s="3"/>
      <c r="B65" s="3"/>
      <c r="C65" s="16"/>
      <c r="D65" s="7"/>
    </row>
    <row r="66" spans="1:4" ht="14" x14ac:dyDescent="0.15">
      <c r="A66" s="3"/>
      <c r="B66" s="3"/>
      <c r="C66" s="16"/>
      <c r="D66" s="7"/>
    </row>
    <row r="67" spans="1:4" ht="14" x14ac:dyDescent="0.15">
      <c r="A67" s="3"/>
      <c r="B67" s="3"/>
      <c r="C67" s="16"/>
      <c r="D67" s="7"/>
    </row>
    <row r="68" spans="1:4" ht="14" x14ac:dyDescent="0.15">
      <c r="A68" s="3"/>
      <c r="B68" s="3"/>
      <c r="C68" s="16"/>
      <c r="D68" s="7"/>
    </row>
    <row r="69" spans="1:4" ht="14" x14ac:dyDescent="0.15">
      <c r="A69" s="3"/>
      <c r="B69" s="3"/>
      <c r="C69" s="16"/>
      <c r="D69" s="7"/>
    </row>
    <row r="70" spans="1:4" ht="14" x14ac:dyDescent="0.15">
      <c r="A70" s="3"/>
      <c r="B70" s="3"/>
      <c r="C70" s="16"/>
      <c r="D70" s="7"/>
    </row>
    <row r="71" spans="1:4" ht="14" x14ac:dyDescent="0.15">
      <c r="A71" s="3"/>
      <c r="B71" s="3"/>
      <c r="C71" s="16"/>
      <c r="D71" s="7"/>
    </row>
    <row r="72" spans="1:4" ht="14" x14ac:dyDescent="0.15">
      <c r="A72" s="3"/>
      <c r="B72" s="3"/>
      <c r="C72" s="16"/>
      <c r="D72" s="7"/>
    </row>
    <row r="73" spans="1:4" ht="14" x14ac:dyDescent="0.15">
      <c r="A73" s="3"/>
      <c r="B73" s="3"/>
      <c r="C73" s="16"/>
      <c r="D73" s="7"/>
    </row>
    <row r="74" spans="1:4" ht="14" x14ac:dyDescent="0.15">
      <c r="A74" s="3"/>
      <c r="B74" s="3"/>
      <c r="C74" s="16"/>
      <c r="D74" s="7"/>
    </row>
    <row r="75" spans="1:4" ht="14" x14ac:dyDescent="0.15">
      <c r="A75" s="3"/>
      <c r="B75" s="3"/>
      <c r="C75" s="16"/>
      <c r="D75" s="7"/>
    </row>
    <row r="76" spans="1:4" ht="14" x14ac:dyDescent="0.15">
      <c r="A76" s="3"/>
      <c r="B76" s="3"/>
      <c r="C76" s="16"/>
      <c r="D76" s="7"/>
    </row>
    <row r="77" spans="1:4" ht="14" x14ac:dyDescent="0.15">
      <c r="A77" s="3"/>
      <c r="B77" s="3"/>
      <c r="C77" s="16"/>
      <c r="D77" s="7"/>
    </row>
    <row r="78" spans="1:4" ht="14" x14ac:dyDescent="0.15">
      <c r="A78" s="3"/>
      <c r="B78" s="3"/>
      <c r="C78" s="16"/>
      <c r="D78" s="7"/>
    </row>
    <row r="79" spans="1:4" ht="14" x14ac:dyDescent="0.15">
      <c r="A79" s="3"/>
      <c r="B79" s="3"/>
      <c r="C79" s="16"/>
      <c r="D79" s="7"/>
    </row>
    <row r="80" spans="1:4" ht="14" x14ac:dyDescent="0.15">
      <c r="A80" s="3"/>
      <c r="B80" s="3"/>
      <c r="C80" s="16"/>
      <c r="D80" s="7"/>
    </row>
    <row r="81" spans="1:4" ht="14" x14ac:dyDescent="0.15">
      <c r="A81" s="3"/>
      <c r="B81" s="3"/>
      <c r="C81" s="16"/>
      <c r="D81" s="7"/>
    </row>
    <row r="82" spans="1:4" ht="14" x14ac:dyDescent="0.15">
      <c r="A82" s="3"/>
      <c r="B82" s="3"/>
      <c r="C82" s="16"/>
      <c r="D82" s="7"/>
    </row>
    <row r="83" spans="1:4" ht="14" x14ac:dyDescent="0.15">
      <c r="A83" s="3"/>
      <c r="B83" s="3"/>
      <c r="C83" s="16"/>
      <c r="D83" s="7"/>
    </row>
    <row r="84" spans="1:4" ht="14" x14ac:dyDescent="0.15">
      <c r="A84" s="3"/>
      <c r="B84" s="3"/>
      <c r="C84" s="16"/>
      <c r="D84" s="7"/>
    </row>
    <row r="85" spans="1:4" ht="14" x14ac:dyDescent="0.15">
      <c r="A85" s="3"/>
      <c r="B85" s="3"/>
      <c r="C85" s="16"/>
      <c r="D85" s="7"/>
    </row>
    <row r="86" spans="1:4" ht="14" x14ac:dyDescent="0.15">
      <c r="A86" s="3"/>
      <c r="B86" s="3"/>
      <c r="C86" s="16"/>
      <c r="D86" s="7"/>
    </row>
    <row r="87" spans="1:4" ht="14" x14ac:dyDescent="0.15">
      <c r="A87" s="3"/>
      <c r="B87" s="3"/>
      <c r="C87" s="16"/>
      <c r="D87" s="7"/>
    </row>
    <row r="88" spans="1:4" ht="14" x14ac:dyDescent="0.15">
      <c r="A88" s="3"/>
      <c r="B88" s="3"/>
      <c r="C88" s="16"/>
      <c r="D88" s="7"/>
    </row>
    <row r="89" spans="1:4" ht="14" x14ac:dyDescent="0.15">
      <c r="A89" s="3"/>
      <c r="B89" s="3"/>
      <c r="C89" s="16"/>
      <c r="D89" s="7"/>
    </row>
    <row r="90" spans="1:4" ht="14" x14ac:dyDescent="0.15">
      <c r="A90" s="3"/>
      <c r="B90" s="3"/>
      <c r="C90" s="16"/>
      <c r="D90" s="7"/>
    </row>
    <row r="91" spans="1:4" ht="14" x14ac:dyDescent="0.15">
      <c r="A91" s="3"/>
      <c r="B91" s="3"/>
      <c r="C91" s="16"/>
      <c r="D91" s="7"/>
    </row>
    <row r="92" spans="1:4" ht="14" x14ac:dyDescent="0.15">
      <c r="A92" s="3"/>
      <c r="B92" s="3"/>
      <c r="C92" s="16"/>
      <c r="D92" s="7"/>
    </row>
    <row r="93" spans="1:4" ht="14" x14ac:dyDescent="0.15">
      <c r="A93" s="3"/>
      <c r="B93" s="3"/>
      <c r="C93" s="16"/>
      <c r="D93" s="7"/>
    </row>
    <row r="94" spans="1:4" ht="14" x14ac:dyDescent="0.15">
      <c r="A94" s="3"/>
      <c r="B94" s="3"/>
      <c r="C94" s="16"/>
      <c r="D94" s="7"/>
    </row>
    <row r="95" spans="1:4" ht="14" x14ac:dyDescent="0.15">
      <c r="A95" s="3"/>
      <c r="B95" s="3"/>
      <c r="C95" s="16"/>
      <c r="D95" s="7"/>
    </row>
    <row r="96" spans="1:4" ht="14" x14ac:dyDescent="0.15">
      <c r="A96" s="3"/>
      <c r="B96" s="3"/>
      <c r="C96" s="16"/>
      <c r="D96" s="7"/>
    </row>
    <row r="97" spans="1:4" ht="14" x14ac:dyDescent="0.15">
      <c r="A97" s="3"/>
      <c r="B97" s="3"/>
      <c r="C97" s="16"/>
      <c r="D97" s="7"/>
    </row>
    <row r="98" spans="1:4" ht="14" x14ac:dyDescent="0.15">
      <c r="A98" s="3"/>
      <c r="B98" s="3"/>
      <c r="C98" s="16"/>
      <c r="D98" s="7"/>
    </row>
    <row r="99" spans="1:4" ht="14" x14ac:dyDescent="0.15">
      <c r="A99" s="3"/>
      <c r="B99" s="3"/>
      <c r="C99" s="16"/>
      <c r="D99" s="7"/>
    </row>
    <row r="100" spans="1:4" ht="14" x14ac:dyDescent="0.15">
      <c r="A100" s="3"/>
      <c r="B100" s="3"/>
      <c r="C100" s="16"/>
      <c r="D100" s="7"/>
    </row>
    <row r="101" spans="1:4" ht="14" x14ac:dyDescent="0.15">
      <c r="A101" s="3"/>
      <c r="B101" s="3"/>
      <c r="C101" s="16"/>
      <c r="D101" s="7"/>
    </row>
  </sheetData>
  <mergeCells count="3">
    <mergeCell ref="A2:D2"/>
    <mergeCell ref="A1:D1"/>
    <mergeCell ref="A3:D3"/>
  </mergeCells>
  <dataValidations count="1">
    <dataValidation type="list" allowBlank="1" showErrorMessage="1" sqref="A1" xr:uid="{00000000-0002-0000-0400-000000000000}">
      <formula1>#REF!</formula1>
    </dataValidation>
  </dataValidations>
  <hyperlinks>
    <hyperlink ref="C6" r:id="rId1" display="https://www.linkedin.com/learning/aaron-dignan-on-transformational-change" xr:uid="{00000000-0004-0000-0400-000000000000}"/>
    <hyperlink ref="C7" r:id="rId2" display="https://www.linkedin.com/learning/building-resilience" xr:uid="{00000000-0004-0000-0400-000001000000}"/>
    <hyperlink ref="C8" r:id="rId3" display="https://www.linkedin.com/learning/business-innovation-foundations" xr:uid="{00000000-0004-0000-0400-000002000000}"/>
    <hyperlink ref="C9" r:id="rId4" display="https://www.linkedin.com/learning/critical-thinking" xr:uid="{00000000-0004-0000-0400-000003000000}"/>
    <hyperlink ref="C10" r:id="rId5" display="https://www.linkedin.com/learning/cultivating-a-growth-mindset" xr:uid="{00000000-0004-0000-0400-000004000000}"/>
    <hyperlink ref="C11" r:id="rId6" display="https://www.linkedin.com/learning/delivering-results-effectively" xr:uid="{00000000-0004-0000-0400-000005000000}"/>
    <hyperlink ref="C12" r:id="rId7" display="https://www.linkedin.com/learning/developing-a-learning-mindset" xr:uid="{00000000-0004-0000-0400-000006000000}"/>
    <hyperlink ref="C13" r:id="rId8" display="https://www.linkedin.com/learning/embracing-unexpected-change" xr:uid="{00000000-0004-0000-0400-000007000000}"/>
    <hyperlink ref="C14" r:id="rId9" display="https://www.linkedin.com/learning/enhancing-resilience" xr:uid="{00000000-0004-0000-0400-000008000000}"/>
    <hyperlink ref="C15" r:id="rId10" display="https://www.linkedin.com/learning/gary-hamel-on-busting-bureaucracy" xr:uid="{00000000-0004-0000-0400-000009000000}"/>
    <hyperlink ref="C16" r:id="rId11" display="https://www.linkedin.com/learning/learning-agility" xr:uid="{00000000-0004-0000-0400-00000A000000}"/>
    <hyperlink ref="C17" r:id="rId12" display="https://www.linkedin.com/learning/learning-from-failure" xr:uid="{00000000-0004-0000-0400-00000B000000}"/>
    <hyperlink ref="C18" r:id="rId13" display="https://www.linkedin.com/learning/performing-under-pressure" xr:uid="{00000000-0004-0000-0400-00000C000000}"/>
    <hyperlink ref="C19" r:id="rId14" display="https://www.linkedin.com/learning/sheryl-sandberg-and-adam-grant-on-option-b-building-resilience" xr:uid="{00000000-0004-0000-0400-00000D000000}"/>
    <hyperlink ref="C20" r:id="rId15" display="https://www.linkedin.com/learning/unlock-your-team-s-creativity" xr:uid="{00000000-0004-0000-0400-00000E000000}"/>
    <hyperlink ref="C21" r:id="rId16" display="https://www.linkedin.com/learning/developing-adaptable-employees" xr:uid="{00000000-0004-0000-0400-00000F000000}"/>
    <hyperlink ref="C22" r:id="rId17" display="https://www.linkedin.com/learning/handling-workplace-change-as-an-employee" xr:uid="{00000000-0004-0000-0400-000010000000}"/>
    <hyperlink ref="C23" r:id="rId18" display="https://www.linkedin.com/learning/managing-stress-for-positive-change/how-to-use-this-course" xr:uid="{00000000-0004-0000-0400-000011000000}"/>
    <hyperlink ref="C24" r:id="rId19" display="https://www.linkedin.com/learning/powerless-to-powerful-taking-control" xr:uid="{00000000-0004-0000-0400-000012000000}"/>
    <hyperlink ref="C25" r:id="rId20" display="https://www.linkedin.com/learning/adaptive-project-leadership/adaptive-thinking-in-practice" xr:uid="{00000000-0004-0000-0400-000013000000}"/>
    <hyperlink ref="C26" r:id="rId21" display="https://www.linkedin.com/learning/change-management-foundations/welcome" xr:uid="{00000000-0004-0000-0400-000014000000}"/>
    <hyperlink ref="C27" r:id="rId22" display="https://www.linkedin.com/learning/communicating-in-times-of-change/welcome" xr:uid="{00000000-0004-0000-0400-000015000000}"/>
    <hyperlink ref="C28" r:id="rId23" display="https://www.linkedin.com/learning/creating-a-culture-of-learning" xr:uid="{00000000-0004-0000-0400-000016000000}"/>
    <hyperlink ref="C29" r:id="rId24" display="https://www.linkedin.com/learning/cultivating-mental-agility" xr:uid="{00000000-0004-0000-0400-000017000000}"/>
    <hyperlink ref="C30" r:id="rId25" display="https://www.linkedin.com/learning/developing-adaptability-as-a-manager/predicting-and-planning-amidst-uncertainty" xr:uid="{00000000-0004-0000-0400-000018000000}"/>
    <hyperlink ref="C31" r:id="rId26" display="https://www.linkedin.com/learning/developing-adaptable-managers" xr:uid="{00000000-0004-0000-0400-000019000000}"/>
    <hyperlink ref="C32" r:id="rId27" display="https://www.linkedin.com/learning/embracing-change" xr:uid="{00000000-0004-0000-0400-00001A000000}"/>
    <hyperlink ref="C33" r:id="rId28" display="https://www.linkedin.com/learning/leaders-make-your-teams-more-agile-creative-and-united" xr:uid="{00000000-0004-0000-0400-00001B000000}"/>
    <hyperlink ref="C34" r:id="rId29" display="https://www.linkedin.com/learning/leading-your-team-through-change" xr:uid="{00000000-0004-0000-0400-00001C000000}"/>
    <hyperlink ref="C35" r:id="rId30" display="https://www.linkedin.com/learning/managing-organizational-change-for-managers" xr:uid="{00000000-0004-0000-0400-00001D000000}"/>
    <hyperlink ref="C36" r:id="rId31" display="https://www.linkedin.com/learning/organizational-learning-and-development" xr:uid="{00000000-0004-0000-0400-00001E000000}"/>
    <hyperlink ref="C37" r:id="rId32" display="https://www.linkedin.com/learning/taking-charge-of-technology-for-maximum-productivity/creativity" xr:uid="{00000000-0004-0000-0400-00001F000000}"/>
    <hyperlink ref="C38" r:id="rId33" display="https://www.linkedin.com/learning/your-l-d-organization-as-a-competitive-advantage/flexibility-and-adaptability" xr:uid="{00000000-0004-0000-0400-000020000000}"/>
    <hyperlink ref="C5" r:id="rId34" display="https://www.linkedin.com/learning/creating-a-culture-of-change" xr:uid="{00000000-0004-0000-0400-000021000000}"/>
    <hyperlink ref="F5" r:id="rId35" display="https://www.linkedin.com/learning/paths/linkedin-managing-change" xr:uid="{5ACB539D-B2ED-294C-8766-7FA8186CB52C}"/>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theme="4"/>
  </sheetPr>
  <dimension ref="A1:M101"/>
  <sheetViews>
    <sheetView workbookViewId="0">
      <selection sqref="A1:D1"/>
    </sheetView>
  </sheetViews>
  <sheetFormatPr baseColWidth="10" defaultColWidth="8.83203125" defaultRowHeight="13" x14ac:dyDescent="0.15"/>
  <cols>
    <col min="1" max="1" width="11.5" bestFit="1" customWidth="1"/>
    <col min="2" max="2" width="11.6640625" bestFit="1" customWidth="1"/>
    <col min="3" max="3" width="36.83203125" customWidth="1"/>
    <col min="4" max="4" width="37.5" customWidth="1"/>
    <col min="5" max="5" width="95.6640625" customWidth="1"/>
    <col min="6" max="6" width="22.33203125" customWidth="1"/>
  </cols>
  <sheetData>
    <row r="1" spans="1:13" ht="33.5" customHeight="1" x14ac:dyDescent="0.15">
      <c r="A1" s="47" t="s">
        <v>3</v>
      </c>
      <c r="B1" s="41"/>
      <c r="C1" s="41"/>
      <c r="D1" s="41"/>
      <c r="M1" s="39" t="s">
        <v>216</v>
      </c>
    </row>
    <row r="2" spans="1:13" x14ac:dyDescent="0.15">
      <c r="A2" s="40" t="s">
        <v>6</v>
      </c>
      <c r="B2" s="41"/>
      <c r="C2" s="41"/>
      <c r="D2" s="41"/>
    </row>
    <row r="3" spans="1:13" ht="62.5" customHeight="1" x14ac:dyDescent="0.15">
      <c r="A3" s="48" t="str">
        <f ca="1">IFERROR(__xludf.DUMMYFUNCTION("IFERROR(UNIQUE(FILTER('Top 25 Competency Collections'!O:O,'Top 25 Competency Collections'!A:A= F1)))"),"Leadership, Leading People, Inspiring Others, Leading Through Vision and Values")</f>
        <v>Leadership, Leading People, Inspiring Others, Leading Through Vision and Values</v>
      </c>
      <c r="B3" s="41"/>
      <c r="C3" s="41"/>
      <c r="D3" s="41"/>
    </row>
    <row r="4" spans="1:13" ht="14" x14ac:dyDescent="0.15">
      <c r="A4" s="2" t="s">
        <v>7</v>
      </c>
      <c r="B4" s="2" t="s">
        <v>8</v>
      </c>
      <c r="C4" s="2" t="s">
        <v>9</v>
      </c>
      <c r="D4" s="2" t="s">
        <v>10</v>
      </c>
      <c r="E4" s="36" t="s">
        <v>297</v>
      </c>
      <c r="F4" s="36" t="s">
        <v>261</v>
      </c>
    </row>
    <row r="5" spans="1:13" ht="30" x14ac:dyDescent="0.15">
      <c r="A5" s="3">
        <f ca="1">IFERROR(__xludf.DUMMYFUNCTION("FILTER('All Competencies'!B:B,'All Competencies'!A:A=F1)"),2806194)</f>
        <v>2806194</v>
      </c>
      <c r="B5" s="3" t="str">
        <f ca="1">IFERROR(__xludf.DUMMYFUNCTION("FILTER('All Competencies'!C:C,'All Competencies'!A:A=F1)"),"Advanced")</f>
        <v>Advanced</v>
      </c>
      <c r="C5" s="4" t="str">
        <f ca="1">IFERROR(__xludf.DUMMYFUNCTION("FILTER('All Competencies'!D:D,'All Competencies'!A:A=F1)"),"Counterintuitive Leadership Strategies for a VUCA Environment")</f>
        <v>Counterintuitive Leadership Strategies for a VUCA Environment</v>
      </c>
      <c r="D5" s="5" t="str">
        <f ca="1">IFERROR(__xludf.DUMMYFUNCTION("FILTER('All Competencies'!E:E,'All Competencies'!A:A=F1)"),"Become a Leader")</f>
        <v>Become a Leader</v>
      </c>
      <c r="E5" s="31" t="s">
        <v>217</v>
      </c>
      <c r="F5" s="31" t="s">
        <v>262</v>
      </c>
    </row>
    <row r="6" spans="1:13" ht="15" x14ac:dyDescent="0.15">
      <c r="A6" s="3">
        <f ca="1">IFERROR(__xludf.DUMMYFUNCTION("""COMPUTED_VALUE"""),758617)</f>
        <v>758617</v>
      </c>
      <c r="B6" s="3" t="str">
        <f ca="1">IFERROR(__xludf.DUMMYFUNCTION("""COMPUTED_VALUE"""),"Advanced")</f>
        <v>Advanced</v>
      </c>
      <c r="C6" s="4" t="str">
        <f ca="1">IFERROR(__xludf.DUMMYFUNCTION("""COMPUTED_VALUE"""),"Leading Change")</f>
        <v>Leading Change</v>
      </c>
      <c r="D6" s="5" t="str">
        <f ca="1">IFERROR(__xludf.DUMMYFUNCTION("""COMPUTED_VALUE"""),"Become an Inclusive Leader")</f>
        <v>Become an Inclusive Leader</v>
      </c>
      <c r="E6" s="31" t="s">
        <v>218</v>
      </c>
      <c r="F6" s="31" t="s">
        <v>263</v>
      </c>
    </row>
    <row r="7" spans="1:13" ht="15" x14ac:dyDescent="0.15">
      <c r="A7" s="3">
        <f ca="1">IFERROR(__xludf.DUMMYFUNCTION("""COMPUTED_VALUE"""),685023)</f>
        <v>685023</v>
      </c>
      <c r="B7" s="3" t="str">
        <f ca="1">IFERROR(__xludf.DUMMYFUNCTION("""COMPUTED_VALUE"""),"Advanced")</f>
        <v>Advanced</v>
      </c>
      <c r="C7" s="4" t="str">
        <f ca="1">IFERROR(__xludf.DUMMYFUNCTION("""COMPUTED_VALUE"""),"Leading with Vision")</f>
        <v>Leading with Vision</v>
      </c>
      <c r="D7" s="5" t="str">
        <f ca="1">IFERROR(__xludf.DUMMYFUNCTION("""COMPUTED_VALUE"""),"Manager to Leader")</f>
        <v>Manager to Leader</v>
      </c>
      <c r="E7" s="31" t="s">
        <v>219</v>
      </c>
      <c r="F7" s="31" t="s">
        <v>264</v>
      </c>
    </row>
    <row r="8" spans="1:13" ht="30" x14ac:dyDescent="0.15">
      <c r="A8" s="3">
        <f ca="1">IFERROR(__xludf.DUMMYFUNCTION("""COMPUTED_VALUE"""),512773)</f>
        <v>512773</v>
      </c>
      <c r="B8" s="3" t="str">
        <f ca="1">IFERROR(__xludf.DUMMYFUNCTION("""COMPUTED_VALUE"""),"Beginner")</f>
        <v>Beginner</v>
      </c>
      <c r="C8" s="4" t="str">
        <f ca="1">IFERROR(__xludf.DUMMYFUNCTION("""COMPUTED_VALUE"""),"Bill George on Self Awareness, Authenticity, and Leadership")</f>
        <v>Bill George on Self Awareness, Authenticity, and Leadership</v>
      </c>
      <c r="D8" s="5" t="str">
        <f ca="1">IFERROR(__xludf.DUMMYFUNCTION("""COMPUTED_VALUE"""),"Master In-Demand Skills for Technology Leadership")</f>
        <v>Master In-Demand Skills for Technology Leadership</v>
      </c>
      <c r="E8" s="31" t="s">
        <v>220</v>
      </c>
      <c r="F8" s="31" t="s">
        <v>265</v>
      </c>
    </row>
    <row r="9" spans="1:13" ht="15" x14ac:dyDescent="0.15">
      <c r="A9" s="3">
        <f ca="1">IFERROR(__xludf.DUMMYFUNCTION("""COMPUTED_VALUE"""),2809355)</f>
        <v>2809355</v>
      </c>
      <c r="B9" s="3" t="str">
        <f ca="1">IFERROR(__xludf.DUMMYFUNCTION("""COMPUTED_VALUE"""),"Beginner")</f>
        <v>Beginner</v>
      </c>
      <c r="C9" s="4" t="str">
        <f ca="1">IFERROR(__xludf.DUMMYFUNCTION("""COMPUTED_VALUE"""),"Body Language for Leaders")</f>
        <v>Body Language for Leaders</v>
      </c>
      <c r="D9" s="13" t="str">
        <f ca="1">IFERROR(__xludf.DUMMYFUNCTION("""COMPUTED_VALUE"""),"")</f>
        <v/>
      </c>
      <c r="E9" s="31" t="s">
        <v>221</v>
      </c>
    </row>
    <row r="10" spans="1:13" ht="15" x14ac:dyDescent="0.15">
      <c r="A10" s="3">
        <f ca="1">IFERROR(__xludf.DUMMYFUNCTION("""COMPUTED_VALUE"""),5034158)</f>
        <v>5034158</v>
      </c>
      <c r="B10" s="3" t="str">
        <f ca="1">IFERROR(__xludf.DUMMYFUNCTION("""COMPUTED_VALUE"""),"Beginner")</f>
        <v>Beginner</v>
      </c>
      <c r="C10" s="4" t="str">
        <f ca="1">IFERROR(__xludf.DUMMYFUNCTION("""COMPUTED_VALUE"""),"Developing Credibility as a Leader")</f>
        <v>Developing Credibility as a Leader</v>
      </c>
      <c r="D10" s="13" t="str">
        <f ca="1">IFERROR(__xludf.DUMMYFUNCTION("""COMPUTED_VALUE"""),"")</f>
        <v/>
      </c>
      <c r="E10" s="31" t="s">
        <v>222</v>
      </c>
    </row>
    <row r="11" spans="1:13" ht="15" x14ac:dyDescent="0.15">
      <c r="A11" s="3">
        <f ca="1">IFERROR(__xludf.DUMMYFUNCTION("""COMPUTED_VALUE"""),651185)</f>
        <v>651185</v>
      </c>
      <c r="B11" s="3" t="str">
        <f ca="1">IFERROR(__xludf.DUMMYFUNCTION("""COMPUTED_VALUE"""),"Beginner")</f>
        <v>Beginner</v>
      </c>
      <c r="C11" s="4" t="str">
        <f ca="1">IFERROR(__xludf.DUMMYFUNCTION("""COMPUTED_VALUE"""),"Emerging Leader Foundations")</f>
        <v>Emerging Leader Foundations</v>
      </c>
      <c r="D11" s="13" t="str">
        <f ca="1">IFERROR(__xludf.DUMMYFUNCTION("""COMPUTED_VALUE"""),"")</f>
        <v/>
      </c>
      <c r="E11" s="31" t="s">
        <v>223</v>
      </c>
    </row>
    <row r="12" spans="1:13" ht="15" x14ac:dyDescent="0.15">
      <c r="A12" s="3">
        <f ca="1">IFERROR(__xludf.DUMMYFUNCTION("""COMPUTED_VALUE"""),458640)</f>
        <v>458640</v>
      </c>
      <c r="B12" s="3" t="str">
        <f ca="1">IFERROR(__xludf.DUMMYFUNCTION("""COMPUTED_VALUE"""),"Beginner")</f>
        <v>Beginner</v>
      </c>
      <c r="C12" s="4" t="str">
        <f ca="1">IFERROR(__xludf.DUMMYFUNCTION("""COMPUTED_VALUE"""),"Fred Kofman on Accountability")</f>
        <v>Fred Kofman on Accountability</v>
      </c>
      <c r="D12" s="13" t="str">
        <f ca="1">IFERROR(__xludf.DUMMYFUNCTION("""COMPUTED_VALUE"""),"")</f>
        <v/>
      </c>
      <c r="E12" s="31" t="s">
        <v>224</v>
      </c>
    </row>
    <row r="13" spans="1:13" ht="15" x14ac:dyDescent="0.15">
      <c r="A13" s="3">
        <f ca="1">IFERROR(__xludf.DUMMYFUNCTION("""COMPUTED_VALUE"""),564548)</f>
        <v>564548</v>
      </c>
      <c r="B13" s="3" t="str">
        <f ca="1">IFERROR(__xludf.DUMMYFUNCTION("""COMPUTED_VALUE"""),"Beginner")</f>
        <v>Beginner</v>
      </c>
      <c r="C13" s="4" t="str">
        <f ca="1">IFERROR(__xludf.DUMMYFUNCTION("""COMPUTED_VALUE"""),"Jeff Weiner on Managing Compassionately")</f>
        <v>Jeff Weiner on Managing Compassionately</v>
      </c>
      <c r="D13" s="13" t="str">
        <f ca="1">IFERROR(__xludf.DUMMYFUNCTION("""COMPUTED_VALUE"""),"")</f>
        <v/>
      </c>
      <c r="E13" s="31" t="s">
        <v>225</v>
      </c>
    </row>
    <row r="14" spans="1:13" ht="15" x14ac:dyDescent="0.15">
      <c r="A14" s="3">
        <f ca="1">IFERROR(__xludf.DUMMYFUNCTION("""COMPUTED_VALUE"""),696872)</f>
        <v>696872</v>
      </c>
      <c r="B14" s="3" t="str">
        <f ca="1">IFERROR(__xludf.DUMMYFUNCTION("""COMPUTED_VALUE"""),"Beginner")</f>
        <v>Beginner</v>
      </c>
      <c r="C14" s="4" t="str">
        <f ca="1">IFERROR(__xludf.DUMMYFUNCTION("""COMPUTED_VALUE"""),"Ken Blanchard on Servant Leadership")</f>
        <v>Ken Blanchard on Servant Leadership</v>
      </c>
      <c r="D14" s="13" t="str">
        <f ca="1">IFERROR(__xludf.DUMMYFUNCTION("""COMPUTED_VALUE"""),"")</f>
        <v/>
      </c>
      <c r="E14" s="31" t="s">
        <v>226</v>
      </c>
    </row>
    <row r="15" spans="1:13" ht="15" x14ac:dyDescent="0.15">
      <c r="A15" s="3">
        <f ca="1">IFERROR(__xludf.DUMMYFUNCTION("""COMPUTED_VALUE"""),122471)</f>
        <v>122471</v>
      </c>
      <c r="B15" s="3" t="str">
        <f ca="1">IFERROR(__xludf.DUMMYFUNCTION("""COMPUTED_VALUE"""),"Beginner")</f>
        <v>Beginner</v>
      </c>
      <c r="C15" s="4" t="str">
        <f ca="1">IFERROR(__xludf.DUMMYFUNCTION("""COMPUTED_VALUE"""),"Leadership Foundations")</f>
        <v>Leadership Foundations</v>
      </c>
      <c r="D15" s="13" t="str">
        <f ca="1">IFERROR(__xludf.DUMMYFUNCTION("""COMPUTED_VALUE"""),"")</f>
        <v/>
      </c>
      <c r="E15" s="31" t="s">
        <v>227</v>
      </c>
    </row>
    <row r="16" spans="1:13" ht="30" x14ac:dyDescent="0.15">
      <c r="A16" s="3">
        <f ca="1">IFERROR(__xludf.DUMMYFUNCTION("""COMPUTED_VALUE"""),802830)</f>
        <v>802830</v>
      </c>
      <c r="B16" s="3" t="str">
        <f ca="1">IFERROR(__xludf.DUMMYFUNCTION("""COMPUTED_VALUE"""),"Beginner")</f>
        <v>Beginner</v>
      </c>
      <c r="C16" s="4" t="str">
        <f ca="1">IFERROR(__xludf.DUMMYFUNCTION("""COMPUTED_VALUE"""),"Leadership Foundations: Leadership Styles and Models")</f>
        <v>Leadership Foundations: Leadership Styles and Models</v>
      </c>
      <c r="D16" s="13" t="str">
        <f ca="1">IFERROR(__xludf.DUMMYFUNCTION("""COMPUTED_VALUE"""),"")</f>
        <v/>
      </c>
      <c r="E16" s="31" t="s">
        <v>228</v>
      </c>
    </row>
    <row r="17" spans="1:5" ht="15" x14ac:dyDescent="0.15">
      <c r="A17" s="3">
        <f ca="1">IFERROR(__xludf.DUMMYFUNCTION("""COMPUTED_VALUE"""),143341)</f>
        <v>143341</v>
      </c>
      <c r="B17" s="3" t="str">
        <f ca="1">IFERROR(__xludf.DUMMYFUNCTION("""COMPUTED_VALUE"""),"Beginner")</f>
        <v>Beginner</v>
      </c>
      <c r="C17" s="4" t="str">
        <f ca="1">IFERROR(__xludf.DUMMYFUNCTION("""COMPUTED_VALUE"""),"Leadership Insights from Dan Rockwell")</f>
        <v>Leadership Insights from Dan Rockwell</v>
      </c>
      <c r="D17" s="13" t="str">
        <f ca="1">IFERROR(__xludf.DUMMYFUNCTION("""COMPUTED_VALUE"""),"")</f>
        <v/>
      </c>
      <c r="E17" s="31" t="s">
        <v>229</v>
      </c>
    </row>
    <row r="18" spans="1:5" ht="15" x14ac:dyDescent="0.15">
      <c r="A18" s="3">
        <f ca="1">IFERROR(__xludf.DUMMYFUNCTION("""COMPUTED_VALUE"""),689764)</f>
        <v>689764</v>
      </c>
      <c r="B18" s="3" t="str">
        <f ca="1">IFERROR(__xludf.DUMMYFUNCTION("""COMPUTED_VALUE"""),"Beginner")</f>
        <v>Beginner</v>
      </c>
      <c r="C18" s="4" t="str">
        <f ca="1">IFERROR(__xludf.DUMMYFUNCTION("""COMPUTED_VALUE"""),"Leadership Stories Weekly")</f>
        <v>Leadership Stories Weekly</v>
      </c>
      <c r="D18" s="13" t="str">
        <f ca="1">IFERROR(__xludf.DUMMYFUNCTION("""COMPUTED_VALUE"""),"")</f>
        <v/>
      </c>
      <c r="E18" s="31" t="s">
        <v>230</v>
      </c>
    </row>
    <row r="19" spans="1:5" ht="15" x14ac:dyDescent="0.15">
      <c r="A19" s="3">
        <f ca="1">IFERROR(__xludf.DUMMYFUNCTION("""COMPUTED_VALUE"""),721910)</f>
        <v>721910</v>
      </c>
      <c r="B19" s="3" t="str">
        <f ca="1">IFERROR(__xludf.DUMMYFUNCTION("""COMPUTED_VALUE"""),"Beginner")</f>
        <v>Beginner</v>
      </c>
      <c r="C19" s="4" t="str">
        <f ca="1">IFERROR(__xludf.DUMMYFUNCTION("""COMPUTED_VALUE"""),"Leadership: Practical Skills")</f>
        <v>Leadership: Practical Skills</v>
      </c>
      <c r="D19" s="13" t="str">
        <f ca="1">IFERROR(__xludf.DUMMYFUNCTION("""COMPUTED_VALUE"""),"")</f>
        <v/>
      </c>
      <c r="E19" s="31" t="s">
        <v>231</v>
      </c>
    </row>
    <row r="20" spans="1:5" ht="15" x14ac:dyDescent="0.15">
      <c r="A20" s="3">
        <f ca="1">IFERROR(__xludf.DUMMYFUNCTION("""COMPUTED_VALUE"""),5022323)</f>
        <v>5022323</v>
      </c>
      <c r="B20" s="3" t="str">
        <f ca="1">IFERROR(__xludf.DUMMYFUNCTION("""COMPUTED_VALUE"""),"Beginner")</f>
        <v>Beginner</v>
      </c>
      <c r="C20" s="4" t="str">
        <f ca="1">IFERROR(__xludf.DUMMYFUNCTION("""COMPUTED_VALUE"""),"Leading with Stories")</f>
        <v>Leading with Stories</v>
      </c>
      <c r="D20" s="13" t="str">
        <f ca="1">IFERROR(__xludf.DUMMYFUNCTION("""COMPUTED_VALUE"""),"")</f>
        <v/>
      </c>
      <c r="E20" s="31" t="s">
        <v>232</v>
      </c>
    </row>
    <row r="21" spans="1:5" ht="15" x14ac:dyDescent="0.15">
      <c r="A21" s="3">
        <f ca="1">IFERROR(__xludf.DUMMYFUNCTION("""COMPUTED_VALUE"""),585228)</f>
        <v>585228</v>
      </c>
      <c r="B21" s="3" t="str">
        <f ca="1">IFERROR(__xludf.DUMMYFUNCTION("""COMPUTED_VALUE"""),"Beginner")</f>
        <v>Beginner</v>
      </c>
      <c r="C21" s="4" t="str">
        <f ca="1">IFERROR(__xludf.DUMMYFUNCTION("""COMPUTED_VALUE"""),"Leading Yourself")</f>
        <v>Leading Yourself</v>
      </c>
      <c r="D21" s="13" t="str">
        <f ca="1">IFERROR(__xludf.DUMMYFUNCTION("""COMPUTED_VALUE"""),"")</f>
        <v/>
      </c>
      <c r="E21" s="31" t="s">
        <v>233</v>
      </c>
    </row>
    <row r="22" spans="1:5" ht="15" x14ac:dyDescent="0.15">
      <c r="A22" s="3">
        <f ca="1">IFERROR(__xludf.DUMMYFUNCTION("""COMPUTED_VALUE"""),645018)</f>
        <v>645018</v>
      </c>
      <c r="B22" s="3" t="str">
        <f ca="1">IFERROR(__xludf.DUMMYFUNCTION("""COMPUTED_VALUE"""),"Beginner")</f>
        <v>Beginner</v>
      </c>
      <c r="C22" s="4" t="str">
        <f ca="1">IFERROR(__xludf.DUMMYFUNCTION("""COMPUTED_VALUE"""),"Ryan Holmes on Social Leadership")</f>
        <v>Ryan Holmes on Social Leadership</v>
      </c>
      <c r="D22" s="13" t="str">
        <f ca="1">IFERROR(__xludf.DUMMYFUNCTION("""COMPUTED_VALUE"""),"")</f>
        <v/>
      </c>
      <c r="E22" s="31" t="s">
        <v>234</v>
      </c>
    </row>
    <row r="23" spans="1:5" ht="15" x14ac:dyDescent="0.15">
      <c r="A23" s="3">
        <f ca="1">IFERROR(__xludf.DUMMYFUNCTION("""COMPUTED_VALUE"""),518758)</f>
        <v>518758</v>
      </c>
      <c r="B23" s="3" t="str">
        <f ca="1">IFERROR(__xludf.DUMMYFUNCTION("""COMPUTED_VALUE"""),"Beginner")</f>
        <v>Beginner</v>
      </c>
      <c r="C23" s="4" t="str">
        <f ca="1">IFERROR(__xludf.DUMMYFUNCTION("""COMPUTED_VALUE"""),"Transitioning from Manager to Leader")</f>
        <v>Transitioning from Manager to Leader</v>
      </c>
      <c r="D23" s="13" t="str">
        <f ca="1">IFERROR(__xludf.DUMMYFUNCTION("""COMPUTED_VALUE"""),"")</f>
        <v/>
      </c>
      <c r="E23" s="31" t="s">
        <v>235</v>
      </c>
    </row>
    <row r="24" spans="1:5" ht="30" x14ac:dyDescent="0.15">
      <c r="A24" s="3">
        <f ca="1">IFERROR(__xludf.DUMMYFUNCTION("""COMPUTED_VALUE"""),756283)</f>
        <v>756283</v>
      </c>
      <c r="B24" s="3" t="str">
        <f ca="1">IFERROR(__xludf.DUMMYFUNCTION("""COMPUTED_VALUE"""),"Beginner, Intermediate")</f>
        <v>Beginner, Intermediate</v>
      </c>
      <c r="C24" s="4" t="str">
        <f ca="1">IFERROR(__xludf.DUMMYFUNCTION("""COMPUTED_VALUE"""),"Leading with Emotional Intelligence")</f>
        <v>Leading with Emotional Intelligence</v>
      </c>
      <c r="D24" s="13" t="str">
        <f ca="1">IFERROR(__xludf.DUMMYFUNCTION("""COMPUTED_VALUE"""),"")</f>
        <v/>
      </c>
      <c r="E24" s="31" t="s">
        <v>236</v>
      </c>
    </row>
    <row r="25" spans="1:5" ht="30" x14ac:dyDescent="0.15">
      <c r="A25" s="3">
        <f ca="1">IFERROR(__xludf.DUMMYFUNCTION("""COMPUTED_VALUE"""),585010)</f>
        <v>585010</v>
      </c>
      <c r="B25" s="3" t="str">
        <f ca="1">IFERROR(__xludf.DUMMYFUNCTION("""COMPUTED_VALUE"""),"Beginner, Intermediate")</f>
        <v>Beginner, Intermediate</v>
      </c>
      <c r="C25" s="4" t="str">
        <f ca="1">IFERROR(__xludf.DUMMYFUNCTION("""COMPUTED_VALUE"""),"Leading with Innovation")</f>
        <v>Leading with Innovation</v>
      </c>
      <c r="D25" s="13" t="str">
        <f ca="1">IFERROR(__xludf.DUMMYFUNCTION("""COMPUTED_VALUE"""),"")</f>
        <v/>
      </c>
      <c r="E25" s="31" t="s">
        <v>237</v>
      </c>
    </row>
    <row r="26" spans="1:5" ht="30" x14ac:dyDescent="0.15">
      <c r="A26" s="3">
        <f ca="1">IFERROR(__xludf.DUMMYFUNCTION("""COMPUTED_VALUE"""),777382)</f>
        <v>777382</v>
      </c>
      <c r="B26" s="3" t="str">
        <f ca="1">IFERROR(__xludf.DUMMYFUNCTION("""COMPUTED_VALUE"""),"Beginner, Intermediate")</f>
        <v>Beginner, Intermediate</v>
      </c>
      <c r="C26" s="4" t="str">
        <f ca="1">IFERROR(__xludf.DUMMYFUNCTION("""COMPUTED_VALUE"""),"Transformational Leadership")</f>
        <v>Transformational Leadership</v>
      </c>
      <c r="D26" s="13" t="str">
        <f ca="1">IFERROR(__xludf.DUMMYFUNCTION("""COMPUTED_VALUE"""),"")</f>
        <v/>
      </c>
      <c r="E26" s="31" t="s">
        <v>238</v>
      </c>
    </row>
    <row r="27" spans="1:5" ht="15" x14ac:dyDescent="0.15">
      <c r="A27" s="3">
        <f ca="1">IFERROR(__xludf.DUMMYFUNCTION("""COMPUTED_VALUE"""),5010646)</f>
        <v>5010646</v>
      </c>
      <c r="B27" s="3" t="str">
        <f ca="1">IFERROR(__xludf.DUMMYFUNCTION("""COMPUTED_VALUE"""),"Intermediate")</f>
        <v>Intermediate</v>
      </c>
      <c r="C27" s="4" t="str">
        <f ca="1">IFERROR(__xludf.DUMMYFUNCTION("""COMPUTED_VALUE"""),"Building Resilience as a Leader")</f>
        <v>Building Resilience as a Leader</v>
      </c>
      <c r="D27" s="13" t="str">
        <f ca="1">IFERROR(__xludf.DUMMYFUNCTION("""COMPUTED_VALUE"""),"")</f>
        <v/>
      </c>
      <c r="E27" s="31" t="s">
        <v>239</v>
      </c>
    </row>
    <row r="28" spans="1:5" ht="15" x14ac:dyDescent="0.15">
      <c r="A28" s="3">
        <f ca="1">IFERROR(__xludf.DUMMYFUNCTION("""COMPUTED_VALUE"""),713373)</f>
        <v>713373</v>
      </c>
      <c r="B28" s="3" t="str">
        <f ca="1">IFERROR(__xludf.DUMMYFUNCTION("""COMPUTED_VALUE"""),"Intermediate")</f>
        <v>Intermediate</v>
      </c>
      <c r="C28" s="4" t="str">
        <f ca="1">IFERROR(__xludf.DUMMYFUNCTION("""COMPUTED_VALUE"""),"Coaching Skills for Leaders and Managers")</f>
        <v>Coaching Skills for Leaders and Managers</v>
      </c>
      <c r="D28" s="13" t="str">
        <f ca="1">IFERROR(__xludf.DUMMYFUNCTION("""COMPUTED_VALUE"""),"")</f>
        <v/>
      </c>
      <c r="E28" s="31" t="s">
        <v>240</v>
      </c>
    </row>
    <row r="29" spans="1:5" ht="15" x14ac:dyDescent="0.15">
      <c r="A29" s="3">
        <f ca="1">IFERROR(__xludf.DUMMYFUNCTION("""COMPUTED_VALUE"""),5022331)</f>
        <v>5022331</v>
      </c>
      <c r="B29" s="3" t="str">
        <f ca="1">IFERROR(__xludf.DUMMYFUNCTION("""COMPUTED_VALUE"""),"Intermediate")</f>
        <v>Intermediate</v>
      </c>
      <c r="C29" s="4" t="str">
        <f ca="1">IFERROR(__xludf.DUMMYFUNCTION("""COMPUTED_VALUE"""),"Collaborative Leadership")</f>
        <v>Collaborative Leadership</v>
      </c>
      <c r="D29" s="13" t="str">
        <f ca="1">IFERROR(__xludf.DUMMYFUNCTION("""COMPUTED_VALUE"""),"")</f>
        <v/>
      </c>
      <c r="E29" s="31" t="s">
        <v>241</v>
      </c>
    </row>
    <row r="30" spans="1:5" ht="15" x14ac:dyDescent="0.15">
      <c r="A30" s="3">
        <f ca="1">IFERROR(__xludf.DUMMYFUNCTION("""COMPUTED_VALUE"""),160362)</f>
        <v>160362</v>
      </c>
      <c r="B30" s="3" t="str">
        <f ca="1">IFERROR(__xludf.DUMMYFUNCTION("""COMPUTED_VALUE"""),"Intermediate")</f>
        <v>Intermediate</v>
      </c>
      <c r="C30" s="4" t="str">
        <f ca="1">IFERROR(__xludf.DUMMYFUNCTION("""COMPUTED_VALUE"""),"Developing Your Leadership Philosophy")</f>
        <v>Developing Your Leadership Philosophy</v>
      </c>
      <c r="D30" s="13" t="str">
        <f ca="1">IFERROR(__xludf.DUMMYFUNCTION("""COMPUTED_VALUE"""),"")</f>
        <v/>
      </c>
      <c r="E30" s="31" t="s">
        <v>242</v>
      </c>
    </row>
    <row r="31" spans="1:5" ht="15" x14ac:dyDescent="0.15">
      <c r="A31" s="3">
        <f ca="1">IFERROR(__xludf.DUMMYFUNCTION("""COMPUTED_VALUE"""),373992)</f>
        <v>373992</v>
      </c>
      <c r="B31" s="3" t="str">
        <f ca="1">IFERROR(__xludf.DUMMYFUNCTION("""COMPUTED_VALUE"""),"Intermediate")</f>
        <v>Intermediate</v>
      </c>
      <c r="C31" s="4" t="str">
        <f ca="1">IFERROR(__xludf.DUMMYFUNCTION("""COMPUTED_VALUE"""),"Executive Decision Making")</f>
        <v>Executive Decision Making</v>
      </c>
      <c r="D31" s="13" t="str">
        <f ca="1">IFERROR(__xludf.DUMMYFUNCTION("""COMPUTED_VALUE"""),"")</f>
        <v/>
      </c>
      <c r="E31" s="31" t="s">
        <v>243</v>
      </c>
    </row>
    <row r="32" spans="1:5" ht="15" x14ac:dyDescent="0.15">
      <c r="A32" s="3">
        <f ca="1">IFERROR(__xludf.DUMMYFUNCTION("""COMPUTED_VALUE"""),167027)</f>
        <v>167027</v>
      </c>
      <c r="B32" s="3" t="str">
        <f ca="1">IFERROR(__xludf.DUMMYFUNCTION("""COMPUTED_VALUE"""),"Intermediate")</f>
        <v>Intermediate</v>
      </c>
      <c r="C32" s="4" t="str">
        <f ca="1">IFERROR(__xludf.DUMMYFUNCTION("""COMPUTED_VALUE"""),"Executive Leadership")</f>
        <v>Executive Leadership</v>
      </c>
      <c r="D32" s="13" t="str">
        <f ca="1">IFERROR(__xludf.DUMMYFUNCTION("""COMPUTED_VALUE"""),"")</f>
        <v/>
      </c>
      <c r="E32" s="31" t="s">
        <v>244</v>
      </c>
    </row>
    <row r="33" spans="1:5" ht="15" x14ac:dyDescent="0.15">
      <c r="A33" s="3">
        <f ca="1">IFERROR(__xludf.DUMMYFUNCTION("""COMPUTED_VALUE"""),2806197)</f>
        <v>2806197</v>
      </c>
      <c r="B33" s="3" t="str">
        <f ca="1">IFERROR(__xludf.DUMMYFUNCTION("""COMPUTED_VALUE"""),"Intermediate")</f>
        <v>Intermediate</v>
      </c>
      <c r="C33" s="4" t="str">
        <f ca="1">IFERROR(__xludf.DUMMYFUNCTION("""COMPUTED_VALUE"""),"Human-Centered Leadership")</f>
        <v>Human-Centered Leadership</v>
      </c>
      <c r="D33" s="13" t="str">
        <f ca="1">IFERROR(__xludf.DUMMYFUNCTION("""COMPUTED_VALUE"""),"")</f>
        <v/>
      </c>
      <c r="E33" s="31" t="s">
        <v>245</v>
      </c>
    </row>
    <row r="34" spans="1:5" ht="15" x14ac:dyDescent="0.15">
      <c r="A34" s="3">
        <f ca="1">IFERROR(__xludf.DUMMYFUNCTION("""COMPUTED_VALUE"""),645013)</f>
        <v>645013</v>
      </c>
      <c r="B34" s="3" t="str">
        <f ca="1">IFERROR(__xludf.DUMMYFUNCTION("""COMPUTED_VALUE"""),"Intermediate")</f>
        <v>Intermediate</v>
      </c>
      <c r="C34" s="4" t="str">
        <f ca="1">IFERROR(__xludf.DUMMYFUNCTION("""COMPUTED_VALUE"""),"Inclusive Leadership")</f>
        <v>Inclusive Leadership</v>
      </c>
      <c r="D34" s="13" t="str">
        <f ca="1">IFERROR(__xludf.DUMMYFUNCTION("""COMPUTED_VALUE"""),"")</f>
        <v/>
      </c>
      <c r="E34" s="31" t="s">
        <v>246</v>
      </c>
    </row>
    <row r="35" spans="1:5" ht="15" x14ac:dyDescent="0.15">
      <c r="A35" s="3">
        <f ca="1">IFERROR(__xludf.DUMMYFUNCTION("""COMPUTED_VALUE"""),672869)</f>
        <v>672869</v>
      </c>
      <c r="B35" s="3" t="str">
        <f ca="1">IFERROR(__xludf.DUMMYFUNCTION("""COMPUTED_VALUE"""),"Intermediate")</f>
        <v>Intermediate</v>
      </c>
      <c r="C35" s="4" t="str">
        <f ca="1">IFERROR(__xludf.DUMMYFUNCTION("""COMPUTED_VALUE"""),"Lead Like a Boss")</f>
        <v>Lead Like a Boss</v>
      </c>
      <c r="D35" s="13" t="str">
        <f ca="1">IFERROR(__xludf.DUMMYFUNCTION("""COMPUTED_VALUE"""),"")</f>
        <v/>
      </c>
      <c r="E35" s="31" t="s">
        <v>247</v>
      </c>
    </row>
    <row r="36" spans="1:5" ht="15" x14ac:dyDescent="0.15">
      <c r="A36" s="3">
        <f ca="1">IFERROR(__xludf.DUMMYFUNCTION("""COMPUTED_VALUE"""),565362)</f>
        <v>565362</v>
      </c>
      <c r="B36" s="3" t="str">
        <f ca="1">IFERROR(__xludf.DUMMYFUNCTION("""COMPUTED_VALUE"""),"Intermediate")</f>
        <v>Intermediate</v>
      </c>
      <c r="C36" s="4" t="str">
        <f ca="1">IFERROR(__xludf.DUMMYFUNCTION("""COMPUTED_VALUE"""),"Leadership Blind Spots")</f>
        <v>Leadership Blind Spots</v>
      </c>
      <c r="D36" s="13" t="str">
        <f ca="1">IFERROR(__xludf.DUMMYFUNCTION("""COMPUTED_VALUE"""),"")</f>
        <v/>
      </c>
      <c r="E36" s="31" t="s">
        <v>248</v>
      </c>
    </row>
    <row r="37" spans="1:5" ht="15" x14ac:dyDescent="0.15">
      <c r="A37" s="17">
        <f ca="1">IFERROR(__xludf.DUMMYFUNCTION("""COMPUTED_VALUE"""),175129)</f>
        <v>175129</v>
      </c>
      <c r="B37" s="17" t="str">
        <f ca="1">IFERROR(__xludf.DUMMYFUNCTION("""COMPUTED_VALUE"""),"Intermediate")</f>
        <v>Intermediate</v>
      </c>
      <c r="C37" s="4" t="str">
        <f ca="1">IFERROR(__xludf.DUMMYFUNCTION("""COMPUTED_VALUE"""),"Leading and Working in Teams")</f>
        <v>Leading and Working in Teams</v>
      </c>
      <c r="D37" s="13" t="str">
        <f ca="1">IFERROR(__xludf.DUMMYFUNCTION("""COMPUTED_VALUE"""),"")</f>
        <v/>
      </c>
      <c r="E37" s="31" t="s">
        <v>249</v>
      </c>
    </row>
    <row r="38" spans="1:5" ht="15" x14ac:dyDescent="0.15">
      <c r="A38" s="3">
        <f ca="1">IFERROR(__xludf.DUMMYFUNCTION("""COMPUTED_VALUE"""),647651)</f>
        <v>647651</v>
      </c>
      <c r="B38" s="3" t="str">
        <f ca="1">IFERROR(__xludf.DUMMYFUNCTION("""COMPUTED_VALUE"""),"Intermediate")</f>
        <v>Intermediate</v>
      </c>
      <c r="C38" s="4" t="str">
        <f ca="1">IFERROR(__xludf.DUMMYFUNCTION("""COMPUTED_VALUE"""),"Leading Effectively")</f>
        <v>Leading Effectively</v>
      </c>
      <c r="D38" s="13" t="str">
        <f ca="1">IFERROR(__xludf.DUMMYFUNCTION("""COMPUTED_VALUE"""),"")</f>
        <v/>
      </c>
      <c r="E38" s="31" t="s">
        <v>250</v>
      </c>
    </row>
    <row r="39" spans="1:5" ht="15" x14ac:dyDescent="0.15">
      <c r="A39" s="3">
        <f ca="1">IFERROR(__xludf.DUMMYFUNCTION("""COMPUTED_VALUE"""),483102)</f>
        <v>483102</v>
      </c>
      <c r="B39" s="3" t="str">
        <f ca="1">IFERROR(__xludf.DUMMYFUNCTION("""COMPUTED_VALUE"""),"Intermediate")</f>
        <v>Intermediate</v>
      </c>
      <c r="C39" s="4" t="str">
        <f ca="1">IFERROR(__xludf.DUMMYFUNCTION("""COMPUTED_VALUE"""),"Leading Projects")</f>
        <v>Leading Projects</v>
      </c>
      <c r="D39" s="13" t="str">
        <f ca="1">IFERROR(__xludf.DUMMYFUNCTION("""COMPUTED_VALUE"""),"")</f>
        <v/>
      </c>
      <c r="E39" s="31" t="s">
        <v>251</v>
      </c>
    </row>
    <row r="40" spans="1:5" ht="15" x14ac:dyDescent="0.15">
      <c r="A40" s="3">
        <f ca="1">IFERROR(__xludf.DUMMYFUNCTION("""COMPUTED_VALUE"""),808670)</f>
        <v>808670</v>
      </c>
      <c r="B40" s="3" t="str">
        <f ca="1">IFERROR(__xludf.DUMMYFUNCTION("""COMPUTED_VALUE"""),"Intermediate")</f>
        <v>Intermediate</v>
      </c>
      <c r="C40" s="4" t="str">
        <f ca="1">IFERROR(__xludf.DUMMYFUNCTION("""COMPUTED_VALUE"""),"Leading through Relationships")</f>
        <v>Leading through Relationships</v>
      </c>
      <c r="D40" s="13" t="str">
        <f ca="1">IFERROR(__xludf.DUMMYFUNCTION("""COMPUTED_VALUE"""),"")</f>
        <v/>
      </c>
      <c r="E40" s="31" t="s">
        <v>252</v>
      </c>
    </row>
    <row r="41" spans="1:5" ht="15" x14ac:dyDescent="0.15">
      <c r="A41" s="3">
        <f ca="1">IFERROR(__xludf.DUMMYFUNCTION("""COMPUTED_VALUE"""),2814066)</f>
        <v>2814066</v>
      </c>
      <c r="B41" s="3" t="str">
        <f ca="1">IFERROR(__xludf.DUMMYFUNCTION("""COMPUTED_VALUE"""),"Intermediate")</f>
        <v>Intermediate</v>
      </c>
      <c r="C41" s="4" t="str">
        <f ca="1">IFERROR(__xludf.DUMMYFUNCTION("""COMPUTED_VALUE"""),"Leading with Kindness and Strength")</f>
        <v>Leading with Kindness and Strength</v>
      </c>
      <c r="D41" s="13" t="str">
        <f ca="1">IFERROR(__xludf.DUMMYFUNCTION("""COMPUTED_VALUE"""),"")</f>
        <v/>
      </c>
      <c r="E41" s="31" t="s">
        <v>253</v>
      </c>
    </row>
    <row r="42" spans="1:5" ht="15" x14ac:dyDescent="0.15">
      <c r="A42" s="3">
        <f ca="1">IFERROR(__xludf.DUMMYFUNCTION("""COMPUTED_VALUE"""),756285)</f>
        <v>756285</v>
      </c>
      <c r="B42" s="3" t="str">
        <f ca="1">IFERROR(__xludf.DUMMYFUNCTION("""COMPUTED_VALUE"""),"Intermediate")</f>
        <v>Intermediate</v>
      </c>
      <c r="C42" s="4" t="str">
        <f ca="1">IFERROR(__xludf.DUMMYFUNCTION("""COMPUTED_VALUE"""),"Leading with Purpose")</f>
        <v>Leading with Purpose</v>
      </c>
      <c r="D42" s="13" t="str">
        <f ca="1">IFERROR(__xludf.DUMMYFUNCTION("""COMPUTED_VALUE"""),"")</f>
        <v/>
      </c>
      <c r="E42" s="31" t="s">
        <v>254</v>
      </c>
    </row>
    <row r="43" spans="1:5" ht="15" x14ac:dyDescent="0.15">
      <c r="A43" s="3">
        <f ca="1">IFERROR(__xludf.DUMMYFUNCTION("""COMPUTED_VALUE"""),585229)</f>
        <v>585229</v>
      </c>
      <c r="B43" s="3" t="str">
        <f ca="1">IFERROR(__xludf.DUMMYFUNCTION("""COMPUTED_VALUE"""),"Intermediate")</f>
        <v>Intermediate</v>
      </c>
      <c r="C43" s="4" t="str">
        <f ca="1">IFERROR(__xludf.DUMMYFUNCTION("""COMPUTED_VALUE"""),"Leading without Formal Authority")</f>
        <v>Leading without Formal Authority</v>
      </c>
      <c r="D43" s="13" t="str">
        <f ca="1">IFERROR(__xludf.DUMMYFUNCTION("""COMPUTED_VALUE"""),"")</f>
        <v/>
      </c>
      <c r="E43" s="31" t="s">
        <v>255</v>
      </c>
    </row>
    <row r="44" spans="1:5" ht="15" x14ac:dyDescent="0.15">
      <c r="A44" s="3">
        <f ca="1">IFERROR(__xludf.DUMMYFUNCTION("""COMPUTED_VALUE"""),2802465)</f>
        <v>2802465</v>
      </c>
      <c r="B44" s="3" t="str">
        <f ca="1">IFERROR(__xludf.DUMMYFUNCTION("""COMPUTED_VALUE"""),"Intermediate")</f>
        <v>Intermediate</v>
      </c>
      <c r="C44" s="4" t="str">
        <f ca="1">IFERROR(__xludf.DUMMYFUNCTION("""COMPUTED_VALUE"""),"Learn the Process of Effective Leadership")</f>
        <v>Learn the Process of Effective Leadership</v>
      </c>
      <c r="D44" s="13" t="str">
        <f ca="1">IFERROR(__xludf.DUMMYFUNCTION("""COMPUTED_VALUE"""),"")</f>
        <v/>
      </c>
      <c r="E44" s="31" t="s">
        <v>256</v>
      </c>
    </row>
    <row r="45" spans="1:5" ht="30" x14ac:dyDescent="0.15">
      <c r="A45" s="3">
        <f ca="1">IFERROR(__xludf.DUMMYFUNCTION("""COMPUTED_VALUE"""),137908)</f>
        <v>137908</v>
      </c>
      <c r="B45" s="3" t="str">
        <f ca="1">IFERROR(__xludf.DUMMYFUNCTION("""COMPUTED_VALUE"""),"Intermediate")</f>
        <v>Intermediate</v>
      </c>
      <c r="C45" s="4" t="str">
        <f ca="1">IFERROR(__xludf.DUMMYFUNCTION("""COMPUTED_VALUE"""),"Modeling Courageous Leadership: Intelligent Disobedience")</f>
        <v>Modeling Courageous Leadership: Intelligent Disobedience</v>
      </c>
      <c r="D45" s="13" t="str">
        <f ca="1">IFERROR(__xludf.DUMMYFUNCTION("""COMPUTED_VALUE"""),"")</f>
        <v/>
      </c>
      <c r="E45" s="31" t="s">
        <v>257</v>
      </c>
    </row>
    <row r="46" spans="1:5" ht="15" x14ac:dyDescent="0.15">
      <c r="A46" s="3">
        <f ca="1">IFERROR(__xludf.DUMMYFUNCTION("""COMPUTED_VALUE"""),553472)</f>
        <v>553472</v>
      </c>
      <c r="B46" s="3" t="str">
        <f ca="1">IFERROR(__xludf.DUMMYFUNCTION("""COMPUTED_VALUE"""),"Intermediate")</f>
        <v>Intermediate</v>
      </c>
      <c r="C46" s="4" t="str">
        <f ca="1">IFERROR(__xludf.DUMMYFUNCTION("""COMPUTED_VALUE"""),"Negotiating Your Leadership Success")</f>
        <v>Negotiating Your Leadership Success</v>
      </c>
      <c r="D46" s="13" t="str">
        <f ca="1">IFERROR(__xludf.DUMMYFUNCTION("""COMPUTED_VALUE"""),"")</f>
        <v/>
      </c>
      <c r="E46" s="31" t="s">
        <v>258</v>
      </c>
    </row>
    <row r="47" spans="1:5" ht="15" x14ac:dyDescent="0.15">
      <c r="A47" s="3">
        <f ca="1">IFERROR(__xludf.DUMMYFUNCTION("""COMPUTED_VALUE"""),387349)</f>
        <v>387349</v>
      </c>
      <c r="B47" s="3" t="str">
        <f ca="1">IFERROR(__xludf.DUMMYFUNCTION("""COMPUTED_VALUE"""),"Intermediate")</f>
        <v>Intermediate</v>
      </c>
      <c r="C47" s="4" t="str">
        <f ca="1">IFERROR(__xludf.DUMMYFUNCTION("""COMPUTED_VALUE"""),"Powerless to Powerful")</f>
        <v>Powerless to Powerful</v>
      </c>
      <c r="D47" s="13" t="str">
        <f ca="1">IFERROR(__xludf.DUMMYFUNCTION("""COMPUTED_VALUE"""),"")</f>
        <v/>
      </c>
      <c r="E47" s="31" t="s">
        <v>259</v>
      </c>
    </row>
    <row r="48" spans="1:5" ht="15" x14ac:dyDescent="0.15">
      <c r="A48" s="3">
        <f ca="1">IFERROR(__xludf.DUMMYFUNCTION("""COMPUTED_VALUE"""),420309)</f>
        <v>420309</v>
      </c>
      <c r="B48" s="3" t="str">
        <f ca="1">IFERROR(__xludf.DUMMYFUNCTION("""COMPUTED_VALUE"""),"Intermediate")</f>
        <v>Intermediate</v>
      </c>
      <c r="C48" s="4" t="str">
        <f ca="1">IFERROR(__xludf.DUMMYFUNCTION("""COMPUTED_VALUE"""),"Risk-Taking for Leaders")</f>
        <v>Risk-Taking for Leaders</v>
      </c>
      <c r="D48" s="13" t="str">
        <f ca="1">IFERROR(__xludf.DUMMYFUNCTION("""COMPUTED_VALUE"""),"")</f>
        <v/>
      </c>
      <c r="E48" s="31" t="s">
        <v>260</v>
      </c>
    </row>
    <row r="49" spans="1:4" ht="14" x14ac:dyDescent="0.15">
      <c r="A49" s="3"/>
      <c r="B49" s="3"/>
      <c r="C49" s="16"/>
      <c r="D49" s="13"/>
    </row>
    <row r="50" spans="1:4" ht="14" x14ac:dyDescent="0.15">
      <c r="A50" s="3"/>
      <c r="B50" s="3"/>
      <c r="C50" s="16"/>
      <c r="D50" s="13"/>
    </row>
    <row r="51" spans="1:4" ht="14" x14ac:dyDescent="0.15">
      <c r="A51" s="3"/>
      <c r="B51" s="3"/>
      <c r="C51" s="16"/>
      <c r="D51" s="13"/>
    </row>
    <row r="52" spans="1:4" ht="14" x14ac:dyDescent="0.15">
      <c r="A52" s="3"/>
      <c r="B52" s="3"/>
      <c r="C52" s="16"/>
      <c r="D52" s="13"/>
    </row>
    <row r="53" spans="1:4" ht="14" x14ac:dyDescent="0.15">
      <c r="A53" s="3"/>
      <c r="B53" s="3"/>
      <c r="C53" s="16"/>
      <c r="D53" s="13"/>
    </row>
    <row r="54" spans="1:4" ht="14" x14ac:dyDescent="0.15">
      <c r="A54" s="3"/>
      <c r="B54" s="3"/>
      <c r="C54" s="16"/>
      <c r="D54" s="13"/>
    </row>
    <row r="55" spans="1:4" ht="14" x14ac:dyDescent="0.15">
      <c r="A55" s="3"/>
      <c r="B55" s="3"/>
      <c r="C55" s="16"/>
      <c r="D55" s="13"/>
    </row>
    <row r="56" spans="1:4" ht="14" x14ac:dyDescent="0.15">
      <c r="A56" s="3"/>
      <c r="B56" s="3"/>
      <c r="C56" s="16"/>
      <c r="D56" s="13"/>
    </row>
    <row r="57" spans="1:4" ht="14" x14ac:dyDescent="0.15">
      <c r="A57" s="3"/>
      <c r="B57" s="3"/>
      <c r="C57" s="16"/>
      <c r="D57" s="13"/>
    </row>
    <row r="58" spans="1:4" ht="14" x14ac:dyDescent="0.15">
      <c r="A58" s="3"/>
      <c r="B58" s="3"/>
      <c r="C58" s="16"/>
      <c r="D58" s="13"/>
    </row>
    <row r="59" spans="1:4" ht="14" x14ac:dyDescent="0.15">
      <c r="A59" s="3"/>
      <c r="B59" s="3"/>
      <c r="C59" s="16"/>
      <c r="D59" s="13"/>
    </row>
    <row r="60" spans="1:4" ht="14" x14ac:dyDescent="0.15">
      <c r="A60" s="3"/>
      <c r="B60" s="3"/>
      <c r="C60" s="16"/>
      <c r="D60" s="13"/>
    </row>
    <row r="61" spans="1:4" ht="14" x14ac:dyDescent="0.15">
      <c r="A61" s="3"/>
      <c r="B61" s="3"/>
      <c r="C61" s="16"/>
      <c r="D61" s="13"/>
    </row>
    <row r="62" spans="1:4" ht="14" x14ac:dyDescent="0.15">
      <c r="A62" s="3"/>
      <c r="B62" s="3"/>
      <c r="C62" s="16"/>
      <c r="D62" s="13"/>
    </row>
    <row r="63" spans="1:4" ht="14" x14ac:dyDescent="0.15">
      <c r="A63" s="3"/>
      <c r="B63" s="3"/>
      <c r="C63" s="16"/>
      <c r="D63" s="13"/>
    </row>
    <row r="64" spans="1:4" ht="14" x14ac:dyDescent="0.15">
      <c r="A64" s="3"/>
      <c r="B64" s="3"/>
      <c r="C64" s="16"/>
      <c r="D64" s="13"/>
    </row>
    <row r="65" spans="1:4" ht="14" x14ac:dyDescent="0.15">
      <c r="A65" s="3"/>
      <c r="B65" s="3"/>
      <c r="C65" s="16"/>
      <c r="D65" s="13"/>
    </row>
    <row r="66" spans="1:4" ht="14" x14ac:dyDescent="0.15">
      <c r="A66" s="3"/>
      <c r="B66" s="3"/>
      <c r="C66" s="16"/>
      <c r="D66" s="13"/>
    </row>
    <row r="67" spans="1:4" ht="14" x14ac:dyDescent="0.15">
      <c r="A67" s="3"/>
      <c r="B67" s="3"/>
      <c r="C67" s="16"/>
      <c r="D67" s="13"/>
    </row>
    <row r="68" spans="1:4" ht="14" x14ac:dyDescent="0.15">
      <c r="A68" s="3"/>
      <c r="B68" s="3"/>
      <c r="C68" s="16"/>
      <c r="D68" s="13"/>
    </row>
    <row r="69" spans="1:4" ht="14" x14ac:dyDescent="0.15">
      <c r="A69" s="3"/>
      <c r="B69" s="3"/>
      <c r="C69" s="16"/>
      <c r="D69" s="13"/>
    </row>
    <row r="70" spans="1:4" ht="14" x14ac:dyDescent="0.15">
      <c r="A70" s="3"/>
      <c r="B70" s="3"/>
      <c r="C70" s="16"/>
      <c r="D70" s="13"/>
    </row>
    <row r="71" spans="1:4" ht="14" x14ac:dyDescent="0.15">
      <c r="A71" s="3"/>
      <c r="B71" s="3"/>
      <c r="C71" s="16"/>
      <c r="D71" s="13"/>
    </row>
    <row r="72" spans="1:4" ht="14" x14ac:dyDescent="0.15">
      <c r="A72" s="3"/>
      <c r="B72" s="3"/>
      <c r="C72" s="16"/>
      <c r="D72" s="13"/>
    </row>
    <row r="73" spans="1:4" ht="14" x14ac:dyDescent="0.15">
      <c r="A73" s="3"/>
      <c r="B73" s="3"/>
      <c r="C73" s="16"/>
      <c r="D73" s="13"/>
    </row>
    <row r="74" spans="1:4" ht="14" x14ac:dyDescent="0.15">
      <c r="A74" s="3"/>
      <c r="B74" s="3"/>
      <c r="C74" s="16"/>
      <c r="D74" s="13"/>
    </row>
    <row r="75" spans="1:4" ht="14" x14ac:dyDescent="0.15">
      <c r="A75" s="3"/>
      <c r="B75" s="3"/>
      <c r="C75" s="16"/>
      <c r="D75" s="13"/>
    </row>
    <row r="76" spans="1:4" ht="14" x14ac:dyDescent="0.15">
      <c r="A76" s="3"/>
      <c r="B76" s="3"/>
      <c r="C76" s="16"/>
      <c r="D76" s="13"/>
    </row>
    <row r="77" spans="1:4" ht="14" x14ac:dyDescent="0.15">
      <c r="A77" s="3"/>
      <c r="B77" s="3"/>
      <c r="C77" s="16"/>
      <c r="D77" s="13"/>
    </row>
    <row r="78" spans="1:4" ht="14" x14ac:dyDescent="0.15">
      <c r="A78" s="3"/>
      <c r="B78" s="3"/>
      <c r="C78" s="16"/>
      <c r="D78" s="13"/>
    </row>
    <row r="79" spans="1:4" ht="14" x14ac:dyDescent="0.15">
      <c r="A79" s="3"/>
      <c r="B79" s="3"/>
      <c r="C79" s="16"/>
      <c r="D79" s="13"/>
    </row>
    <row r="80" spans="1:4" ht="14" x14ac:dyDescent="0.15">
      <c r="A80" s="3"/>
      <c r="B80" s="3"/>
      <c r="C80" s="16"/>
      <c r="D80" s="13"/>
    </row>
    <row r="81" spans="1:4" ht="14" x14ac:dyDescent="0.15">
      <c r="A81" s="3"/>
      <c r="B81" s="3"/>
      <c r="C81" s="16"/>
      <c r="D81" s="13"/>
    </row>
    <row r="82" spans="1:4" ht="14" x14ac:dyDescent="0.15">
      <c r="A82" s="3"/>
      <c r="B82" s="3"/>
      <c r="C82" s="16"/>
      <c r="D82" s="13"/>
    </row>
    <row r="83" spans="1:4" ht="14" x14ac:dyDescent="0.15">
      <c r="A83" s="3"/>
      <c r="B83" s="3"/>
      <c r="C83" s="16"/>
      <c r="D83" s="13"/>
    </row>
    <row r="84" spans="1:4" ht="14" x14ac:dyDescent="0.15">
      <c r="A84" s="3"/>
      <c r="B84" s="3"/>
      <c r="C84" s="16"/>
      <c r="D84" s="13"/>
    </row>
    <row r="85" spans="1:4" ht="14" x14ac:dyDescent="0.15">
      <c r="A85" s="3"/>
      <c r="B85" s="3"/>
      <c r="C85" s="16"/>
      <c r="D85" s="13"/>
    </row>
    <row r="86" spans="1:4" ht="14" x14ac:dyDescent="0.15">
      <c r="A86" s="3"/>
      <c r="B86" s="3"/>
      <c r="C86" s="16"/>
      <c r="D86" s="13"/>
    </row>
    <row r="87" spans="1:4" ht="14" x14ac:dyDescent="0.15">
      <c r="A87" s="3"/>
      <c r="B87" s="3"/>
      <c r="C87" s="16"/>
      <c r="D87" s="13"/>
    </row>
    <row r="88" spans="1:4" ht="14" x14ac:dyDescent="0.15">
      <c r="A88" s="3"/>
      <c r="B88" s="3"/>
      <c r="C88" s="16"/>
      <c r="D88" s="13"/>
    </row>
    <row r="89" spans="1:4" ht="14" x14ac:dyDescent="0.15">
      <c r="A89" s="3"/>
      <c r="B89" s="3"/>
      <c r="C89" s="16"/>
      <c r="D89" s="13"/>
    </row>
    <row r="90" spans="1:4" ht="14" x14ac:dyDescent="0.15">
      <c r="A90" s="3"/>
      <c r="B90" s="3"/>
      <c r="C90" s="16"/>
      <c r="D90" s="13"/>
    </row>
    <row r="91" spans="1:4" ht="14" x14ac:dyDescent="0.15">
      <c r="A91" s="3"/>
      <c r="B91" s="3"/>
      <c r="C91" s="16"/>
      <c r="D91" s="13"/>
    </row>
    <row r="92" spans="1:4" ht="14" x14ac:dyDescent="0.15">
      <c r="A92" s="3"/>
      <c r="B92" s="3"/>
      <c r="C92" s="16"/>
      <c r="D92" s="13"/>
    </row>
    <row r="93" spans="1:4" ht="14" x14ac:dyDescent="0.15">
      <c r="A93" s="3"/>
      <c r="B93" s="3"/>
      <c r="C93" s="16"/>
      <c r="D93" s="13"/>
    </row>
    <row r="94" spans="1:4" ht="14" x14ac:dyDescent="0.15">
      <c r="A94" s="3"/>
      <c r="B94" s="3"/>
      <c r="C94" s="16"/>
      <c r="D94" s="13"/>
    </row>
    <row r="95" spans="1:4" ht="14" x14ac:dyDescent="0.15">
      <c r="A95" s="3"/>
      <c r="B95" s="3"/>
      <c r="C95" s="16"/>
      <c r="D95" s="13"/>
    </row>
    <row r="96" spans="1:4" ht="14" x14ac:dyDescent="0.15">
      <c r="A96" s="3"/>
      <c r="B96" s="3"/>
      <c r="C96" s="16"/>
      <c r="D96" s="13"/>
    </row>
    <row r="97" spans="1:4" ht="14" x14ac:dyDescent="0.15">
      <c r="A97" s="3"/>
      <c r="B97" s="3"/>
      <c r="C97" s="16"/>
      <c r="D97" s="13"/>
    </row>
    <row r="98" spans="1:4" ht="14" x14ac:dyDescent="0.15">
      <c r="A98" s="3"/>
      <c r="B98" s="3"/>
      <c r="C98" s="16"/>
      <c r="D98" s="13"/>
    </row>
    <row r="99" spans="1:4" ht="14" x14ac:dyDescent="0.15">
      <c r="A99" s="3"/>
      <c r="B99" s="3"/>
      <c r="C99" s="16"/>
      <c r="D99" s="13"/>
    </row>
    <row r="100" spans="1:4" ht="14" x14ac:dyDescent="0.15">
      <c r="A100" s="3"/>
      <c r="B100" s="3"/>
      <c r="C100" s="16"/>
      <c r="D100" s="13"/>
    </row>
    <row r="101" spans="1:4" ht="14" x14ac:dyDescent="0.15">
      <c r="A101" s="3"/>
      <c r="B101" s="3"/>
      <c r="C101" s="16"/>
      <c r="D101" s="13"/>
    </row>
  </sheetData>
  <mergeCells count="3">
    <mergeCell ref="A1:D1"/>
    <mergeCell ref="A2:D2"/>
    <mergeCell ref="A3:D3"/>
  </mergeCells>
  <dataValidations count="1">
    <dataValidation type="list" allowBlank="1" showErrorMessage="1" sqref="A1" xr:uid="{00000000-0002-0000-0500-000000000000}">
      <formula1>#REF!</formula1>
    </dataValidation>
  </dataValidations>
  <hyperlinks>
    <hyperlink ref="C6" r:id="rId1" display="https://www.linkedin.com/learning/leading-change-4" xr:uid="{00000000-0004-0000-0500-000000000000}"/>
    <hyperlink ref="D6" r:id="rId2" display="https://www.linkedin.com/learning/paths/become-an-inclusive-leader" xr:uid="{00000000-0004-0000-0500-000001000000}"/>
    <hyperlink ref="C7" r:id="rId3" display="https://www.linkedin.com/learning/leading-with-vision" xr:uid="{00000000-0004-0000-0500-000002000000}"/>
    <hyperlink ref="D7" r:id="rId4" display="https://www.linkedin.com/learning/paths/linkedin-manager-to-leader" xr:uid="{00000000-0004-0000-0500-000003000000}"/>
    <hyperlink ref="C8" r:id="rId5" display="https://www.linkedin.com/learning/bill-george-on-self-awareness-authenticity-and-leadership" xr:uid="{00000000-0004-0000-0500-000004000000}"/>
    <hyperlink ref="D8" r:id="rId6" display="https://www.linkedin.com/learning/paths/master-in-demand-skills-for-technology-leadership" xr:uid="{00000000-0004-0000-0500-000005000000}"/>
    <hyperlink ref="C9" r:id="rId7" display="https://www.linkedin.com/learning/body-language-for-leaders" xr:uid="{00000000-0004-0000-0500-000006000000}"/>
    <hyperlink ref="C10" r:id="rId8" display="https://www.linkedin.com/learning/developing-credibility-as-a-leader" xr:uid="{00000000-0004-0000-0500-000007000000}"/>
    <hyperlink ref="C11" r:id="rId9" display="https://www.linkedin.com/learning/emerging-leader-foundations/how-to-create-a-culture-of-learning" xr:uid="{00000000-0004-0000-0500-000008000000}"/>
    <hyperlink ref="C12" r:id="rId10" display="https://www.linkedin.com/learning/fred-kofman-on-accountability" xr:uid="{00000000-0004-0000-0500-000009000000}"/>
    <hyperlink ref="C13" r:id="rId11" display="https://www.linkedin.com/learning/jeff-weiner-on-managing-compassionately/what-is-compassionate-management" xr:uid="{00000000-0004-0000-0500-00000A000000}"/>
    <hyperlink ref="C14" r:id="rId12" display="https://www.linkedin.com/learning/ken-blanchard-on-servant-leadership" xr:uid="{00000000-0004-0000-0500-00000B000000}"/>
    <hyperlink ref="C15" r:id="rId13" display="https://www.linkedin.com/learning/leadership-foundations" xr:uid="{00000000-0004-0000-0500-00000C000000}"/>
    <hyperlink ref="C16" r:id="rId14" display="https://www.linkedin.com/learning/leadership-foundations-leadership-styles-and-models" xr:uid="{00000000-0004-0000-0500-00000D000000}"/>
    <hyperlink ref="C17" r:id="rId15" display="https://www.linkedin.com/learning/leadership-insights-from-dan-rockwell" xr:uid="{00000000-0004-0000-0500-00000E000000}"/>
    <hyperlink ref="C18" r:id="rId16" display="https://www.linkedin.com/learning/leadership-stories-weekly" xr:uid="{00000000-0004-0000-0500-00000F000000}"/>
    <hyperlink ref="C19" r:id="rId17" display="https://www.linkedin.com/learning/leadership-practical-skills/welcome" xr:uid="{00000000-0004-0000-0500-000010000000}"/>
    <hyperlink ref="C20" r:id="rId18" display="https://www.linkedin.com/learning/leading-with-stories" xr:uid="{00000000-0004-0000-0500-000011000000}"/>
    <hyperlink ref="C21" r:id="rId19" display="https://www.linkedin.com/learning/leading-yourself" xr:uid="{00000000-0004-0000-0500-000012000000}"/>
    <hyperlink ref="C22" r:id="rId20" display="https://www.linkedin.com/learning/ryan-holmes-on-social-leadership" xr:uid="{00000000-0004-0000-0500-000013000000}"/>
    <hyperlink ref="C23" r:id="rId21" display="https://www.linkedin.com/learning/transitioning-from-manager-to-leader" xr:uid="{00000000-0004-0000-0500-000014000000}"/>
    <hyperlink ref="C24" r:id="rId22" display="https://www.linkedin.com/learning/leading-with-emotional-intelligence-3" xr:uid="{00000000-0004-0000-0500-000015000000}"/>
    <hyperlink ref="C25" r:id="rId23" display="https://www.linkedin.com/learning/leading-with-innovation/welcome" xr:uid="{00000000-0004-0000-0500-000016000000}"/>
    <hyperlink ref="C26" r:id="rId24" display="https://www.linkedin.com/learning/transformational-leadership/being-powerful-in-transformation" xr:uid="{00000000-0004-0000-0500-000017000000}"/>
    <hyperlink ref="C27" r:id="rId25" display="https://www.linkedin.com/learning/building-resilience-as-a-leader" xr:uid="{00000000-0004-0000-0500-000018000000}"/>
    <hyperlink ref="C28" r:id="rId26" display="https://www.linkedin.com/learning/coaching-skills-for-leaders-and-managers" xr:uid="{00000000-0004-0000-0500-000019000000}"/>
    <hyperlink ref="C29" r:id="rId27" display="https://www.linkedin.com/learning/collaborative-leadership" xr:uid="{00000000-0004-0000-0500-00001A000000}"/>
    <hyperlink ref="C30" r:id="rId28" display="https://www.linkedin.com/learning/developing-your-leadership-philosophy" xr:uid="{00000000-0004-0000-0500-00001B000000}"/>
    <hyperlink ref="C31" r:id="rId29" display="https://www.linkedin.com/learning/executive-decision-making/welcome" xr:uid="{00000000-0004-0000-0500-00001C000000}"/>
    <hyperlink ref="C32" r:id="rId30" display="https://www.linkedin.com/learning/executive-leadership/communicate-to-motivate-and-inspire" xr:uid="{00000000-0004-0000-0500-00001D000000}"/>
    <hyperlink ref="C33" r:id="rId31" display="https://www.linkedin.com/learning/human-centered-leadership/leading-with-purpose" xr:uid="{00000000-0004-0000-0500-00001E000000}"/>
    <hyperlink ref="C34" r:id="rId32" display="https://www.linkedin.com/learning/inclusive-leadership" xr:uid="{00000000-0004-0000-0500-00001F000000}"/>
    <hyperlink ref="C35" r:id="rId33" display="https://www.linkedin.com/learning/lead-like-a-boss" xr:uid="{00000000-0004-0000-0500-000020000000}"/>
    <hyperlink ref="C36" r:id="rId34" display="https://www.linkedin.com/learning/leadership-blind-spots" xr:uid="{00000000-0004-0000-0500-000021000000}"/>
    <hyperlink ref="C37" r:id="rId35" display="https://www.linkedin.com/learning/leading-and-working-in-teams" xr:uid="{00000000-0004-0000-0500-000022000000}"/>
    <hyperlink ref="C38" r:id="rId36" display="https://www.linkedin.com/learning/leading-effectively" xr:uid="{00000000-0004-0000-0500-000023000000}"/>
    <hyperlink ref="C39" r:id="rId37" display="https://www.linkedin.com/learning/project-management-foundations-leading-projects" xr:uid="{00000000-0004-0000-0500-000024000000}"/>
    <hyperlink ref="C40" r:id="rId38" display="https://www.linkedin.com/learning/leading-through-relationships" xr:uid="{00000000-0004-0000-0500-000025000000}"/>
    <hyperlink ref="C41" r:id="rId39" display="https://www.linkedin.com/learning/leading-with-kindness-and-strength" xr:uid="{00000000-0004-0000-0500-000026000000}"/>
    <hyperlink ref="C42" r:id="rId40" display="https://www.linkedin.com/learning/leading-with-purpose/employees-crave-purpose" xr:uid="{00000000-0004-0000-0500-000027000000}"/>
    <hyperlink ref="C43" r:id="rId41" display="https://www.linkedin.com/learning/leading-without-formal-authority" xr:uid="{00000000-0004-0000-0500-000028000000}"/>
    <hyperlink ref="C44" r:id="rId42" display="https://www.linkedin.com/learning/learn-the-process-of-effective-leadership" xr:uid="{00000000-0004-0000-0500-000029000000}"/>
    <hyperlink ref="C45" r:id="rId43" display="https://www.linkedin.com/learning/modeling-courageous-leadership-intelligent-disobedience/taking-risks" xr:uid="{00000000-0004-0000-0500-00002A000000}"/>
    <hyperlink ref="C46" r:id="rId44" display="https://www.linkedin.com/learning/negotiating-your-leadership-success" xr:uid="{00000000-0004-0000-0500-00002B000000}"/>
    <hyperlink ref="C47" r:id="rId45" display="https://www.linkedin.com/learning/powerless-to-powerful-taking-control" xr:uid="{00000000-0004-0000-0500-00002C000000}"/>
    <hyperlink ref="C48" r:id="rId46" display="https://www.linkedin.com/learning/risk-taking-for-leaders/welcome" xr:uid="{00000000-0004-0000-0500-00002D000000}"/>
    <hyperlink ref="C5" r:id="rId47" display="https://www.linkedin.com/learning/counterintuitive-leadership-strategies-for-a-vuca-environment" xr:uid="{00000000-0004-0000-0500-00002E000000}"/>
    <hyperlink ref="F5" r:id="rId48" display="https://www.linkedin.com/learning/paths/become-a-leader" xr:uid="{FE590DB7-C522-7D49-B08C-B54778F93088}"/>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theme="4"/>
  </sheetPr>
  <dimension ref="A1:F72"/>
  <sheetViews>
    <sheetView workbookViewId="0">
      <selection activeCell="A3" sqref="A3:D3"/>
    </sheetView>
  </sheetViews>
  <sheetFormatPr baseColWidth="10" defaultColWidth="8.83203125" defaultRowHeight="13" x14ac:dyDescent="0.15"/>
  <cols>
    <col min="1" max="1" width="10.83203125" bestFit="1" customWidth="1"/>
    <col min="2" max="2" width="21" bestFit="1" customWidth="1"/>
    <col min="3" max="3" width="34.5" customWidth="1"/>
    <col min="4" max="4" width="42.5" customWidth="1"/>
    <col min="5" max="5" width="64.83203125" style="29" customWidth="1"/>
    <col min="6" max="6" width="80" bestFit="1" customWidth="1"/>
  </cols>
  <sheetData>
    <row r="1" spans="1:6" ht="44.5" customHeight="1" x14ac:dyDescent="0.15">
      <c r="A1" s="49" t="s">
        <v>102</v>
      </c>
      <c r="B1" s="50"/>
      <c r="C1" s="50"/>
      <c r="D1" s="50"/>
      <c r="E1" t="s">
        <v>216</v>
      </c>
    </row>
    <row r="2" spans="1:6" x14ac:dyDescent="0.15">
      <c r="A2" s="40" t="s">
        <v>6</v>
      </c>
      <c r="B2" s="41"/>
      <c r="C2" s="41"/>
      <c r="D2" s="41"/>
    </row>
    <row r="3" spans="1:6" ht="58" customHeight="1" x14ac:dyDescent="0.15">
      <c r="A3" s="51"/>
      <c r="B3" s="41"/>
      <c r="C3" s="41"/>
      <c r="D3" s="41"/>
    </row>
    <row r="4" spans="1:6" ht="14" x14ac:dyDescent="0.15">
      <c r="A4" s="2" t="s">
        <v>7</v>
      </c>
      <c r="B4" s="2" t="s">
        <v>8</v>
      </c>
      <c r="C4" s="2" t="s">
        <v>9</v>
      </c>
      <c r="D4" s="2" t="s">
        <v>10</v>
      </c>
      <c r="E4" s="36" t="s">
        <v>297</v>
      </c>
      <c r="F4" s="36" t="s">
        <v>261</v>
      </c>
    </row>
    <row r="5" spans="1:6" s="19" customFormat="1" ht="30" x14ac:dyDescent="0.15">
      <c r="A5" s="3">
        <v>647653</v>
      </c>
      <c r="B5" s="3" t="s">
        <v>103</v>
      </c>
      <c r="C5" s="4" t="s">
        <v>104</v>
      </c>
      <c r="D5" s="4" t="s">
        <v>209</v>
      </c>
      <c r="E5" s="5" t="s">
        <v>375</v>
      </c>
      <c r="F5" s="31" t="s">
        <v>408</v>
      </c>
    </row>
    <row r="6" spans="1:6" ht="30" x14ac:dyDescent="0.15">
      <c r="A6" s="3">
        <v>577354</v>
      </c>
      <c r="B6" s="3" t="s">
        <v>103</v>
      </c>
      <c r="C6" s="4" t="s">
        <v>105</v>
      </c>
      <c r="D6" s="4" t="s">
        <v>210</v>
      </c>
      <c r="E6" s="5" t="s">
        <v>376</v>
      </c>
      <c r="F6" s="31" t="s">
        <v>409</v>
      </c>
    </row>
    <row r="7" spans="1:6" ht="30" x14ac:dyDescent="0.15">
      <c r="A7" s="3">
        <v>2801187</v>
      </c>
      <c r="B7" s="3" t="s">
        <v>106</v>
      </c>
      <c r="C7" s="4" t="s">
        <v>107</v>
      </c>
      <c r="D7" s="4" t="s">
        <v>211</v>
      </c>
      <c r="E7" s="5" t="s">
        <v>377</v>
      </c>
      <c r="F7" s="31" t="s">
        <v>265</v>
      </c>
    </row>
    <row r="8" spans="1:6" ht="30" x14ac:dyDescent="0.15">
      <c r="A8" s="3">
        <v>379032</v>
      </c>
      <c r="B8" s="3" t="s">
        <v>106</v>
      </c>
      <c r="C8" s="4" t="s">
        <v>108</v>
      </c>
      <c r="D8" s="4" t="s">
        <v>212</v>
      </c>
      <c r="E8" s="5" t="s">
        <v>378</v>
      </c>
      <c r="F8" s="31" t="s">
        <v>410</v>
      </c>
    </row>
    <row r="9" spans="1:6" ht="30" x14ac:dyDescent="0.15">
      <c r="A9" s="3">
        <v>147532</v>
      </c>
      <c r="B9" s="3" t="s">
        <v>106</v>
      </c>
      <c r="C9" s="4" t="s">
        <v>109</v>
      </c>
      <c r="D9" s="4" t="s">
        <v>213</v>
      </c>
      <c r="E9" s="5" t="s">
        <v>300</v>
      </c>
      <c r="F9" s="31" t="s">
        <v>411</v>
      </c>
    </row>
    <row r="10" spans="1:6" ht="30" x14ac:dyDescent="0.15">
      <c r="A10" s="3">
        <v>2820012</v>
      </c>
      <c r="B10" s="3" t="s">
        <v>106</v>
      </c>
      <c r="C10" s="4" t="s">
        <v>110</v>
      </c>
      <c r="D10" s="4" t="s">
        <v>214</v>
      </c>
      <c r="E10" s="5" t="s">
        <v>379</v>
      </c>
      <c r="F10" s="31" t="s">
        <v>412</v>
      </c>
    </row>
    <row r="11" spans="1:6" ht="30" x14ac:dyDescent="0.15">
      <c r="A11" s="3">
        <v>578057</v>
      </c>
      <c r="B11" s="3" t="s">
        <v>106</v>
      </c>
      <c r="C11" s="4" t="s">
        <v>111</v>
      </c>
      <c r="D11" s="4" t="s">
        <v>215</v>
      </c>
      <c r="E11" s="5" t="s">
        <v>380</v>
      </c>
      <c r="F11" s="31" t="s">
        <v>296</v>
      </c>
    </row>
    <row r="12" spans="1:6" ht="30" x14ac:dyDescent="0.15">
      <c r="A12" s="3">
        <v>570965</v>
      </c>
      <c r="B12" s="3" t="s">
        <v>106</v>
      </c>
      <c r="C12" s="4" t="s">
        <v>112</v>
      </c>
      <c r="D12" s="4"/>
      <c r="E12" s="5" t="s">
        <v>381</v>
      </c>
      <c r="F12" s="28"/>
    </row>
    <row r="13" spans="1:6" ht="30" x14ac:dyDescent="0.15">
      <c r="A13" s="3">
        <v>784278</v>
      </c>
      <c r="B13" s="3" t="s">
        <v>106</v>
      </c>
      <c r="C13" s="4" t="s">
        <v>113</v>
      </c>
      <c r="D13" s="4"/>
      <c r="E13" s="5" t="s">
        <v>382</v>
      </c>
      <c r="F13" s="28"/>
    </row>
    <row r="14" spans="1:6" ht="30" x14ac:dyDescent="0.15">
      <c r="A14" s="3">
        <v>458640</v>
      </c>
      <c r="B14" s="3" t="s">
        <v>106</v>
      </c>
      <c r="C14" s="4" t="s">
        <v>114</v>
      </c>
      <c r="D14" s="4"/>
      <c r="E14" s="5" t="s">
        <v>383</v>
      </c>
      <c r="F14" s="28"/>
    </row>
    <row r="15" spans="1:6" ht="30" x14ac:dyDescent="0.15">
      <c r="A15" s="3">
        <v>458641</v>
      </c>
      <c r="B15" s="3" t="s">
        <v>106</v>
      </c>
      <c r="C15" s="4" t="s">
        <v>115</v>
      </c>
      <c r="D15" s="5"/>
      <c r="E15" s="5" t="s">
        <v>274</v>
      </c>
      <c r="F15" s="28"/>
    </row>
    <row r="16" spans="1:6" ht="30" x14ac:dyDescent="0.15">
      <c r="A16" s="3">
        <v>746262</v>
      </c>
      <c r="B16" s="3" t="s">
        <v>106</v>
      </c>
      <c r="C16" s="4" t="s">
        <v>116</v>
      </c>
      <c r="D16" s="5"/>
      <c r="E16" s="5" t="s">
        <v>384</v>
      </c>
      <c r="F16" s="28"/>
    </row>
    <row r="17" spans="1:6" ht="30" x14ac:dyDescent="0.15">
      <c r="A17" s="3">
        <v>587595</v>
      </c>
      <c r="B17" s="3" t="s">
        <v>117</v>
      </c>
      <c r="C17" s="4" t="s">
        <v>118</v>
      </c>
      <c r="D17" s="5"/>
      <c r="E17" s="5" t="s">
        <v>385</v>
      </c>
      <c r="F17" s="28"/>
    </row>
    <row r="18" spans="1:6" ht="30" x14ac:dyDescent="0.15">
      <c r="A18" s="3">
        <v>758614</v>
      </c>
      <c r="B18" s="3" t="s">
        <v>117</v>
      </c>
      <c r="C18" s="4" t="s">
        <v>119</v>
      </c>
      <c r="D18" s="5"/>
      <c r="E18" s="5" t="s">
        <v>327</v>
      </c>
      <c r="F18" s="28"/>
    </row>
    <row r="19" spans="1:6" ht="30" x14ac:dyDescent="0.15">
      <c r="A19" s="3">
        <v>5035820</v>
      </c>
      <c r="B19" s="3" t="s">
        <v>117</v>
      </c>
      <c r="C19" s="4" t="s">
        <v>120</v>
      </c>
      <c r="D19" s="5"/>
      <c r="E19" s="5" t="s">
        <v>386</v>
      </c>
      <c r="F19" s="28"/>
    </row>
    <row r="20" spans="1:6" ht="30" x14ac:dyDescent="0.15">
      <c r="A20" s="3">
        <v>5034166</v>
      </c>
      <c r="B20" s="3" t="s">
        <v>117</v>
      </c>
      <c r="C20" s="4" t="s">
        <v>121</v>
      </c>
      <c r="D20" s="5"/>
      <c r="E20" s="5" t="s">
        <v>387</v>
      </c>
      <c r="F20" s="28"/>
    </row>
    <row r="21" spans="1:6" ht="30" x14ac:dyDescent="0.15">
      <c r="A21" s="3">
        <v>628687</v>
      </c>
      <c r="B21" s="3" t="s">
        <v>117</v>
      </c>
      <c r="C21" s="4" t="s">
        <v>122</v>
      </c>
      <c r="D21" s="5"/>
      <c r="E21" s="5" t="s">
        <v>388</v>
      </c>
      <c r="F21" s="28"/>
    </row>
    <row r="22" spans="1:6" ht="30" x14ac:dyDescent="0.15">
      <c r="A22" s="3">
        <v>365216</v>
      </c>
      <c r="B22" s="3" t="s">
        <v>117</v>
      </c>
      <c r="C22" s="4" t="s">
        <v>123</v>
      </c>
      <c r="D22" s="5"/>
      <c r="E22" s="5" t="s">
        <v>389</v>
      </c>
      <c r="F22" s="28"/>
    </row>
    <row r="23" spans="1:6" ht="30" x14ac:dyDescent="0.15">
      <c r="A23" s="3">
        <v>534584</v>
      </c>
      <c r="B23" s="3" t="s">
        <v>117</v>
      </c>
      <c r="C23" s="4" t="s">
        <v>124</v>
      </c>
      <c r="D23" s="5"/>
      <c r="E23" s="5" t="s">
        <v>328</v>
      </c>
      <c r="F23" s="28"/>
    </row>
    <row r="24" spans="1:6" ht="30" x14ac:dyDescent="0.15">
      <c r="A24" s="3">
        <v>753914</v>
      </c>
      <c r="B24" s="3" t="s">
        <v>117</v>
      </c>
      <c r="C24" s="4" t="s">
        <v>125</v>
      </c>
      <c r="D24" s="5"/>
      <c r="E24" s="5" t="s">
        <v>390</v>
      </c>
      <c r="F24" s="28"/>
    </row>
    <row r="25" spans="1:6" ht="30" x14ac:dyDescent="0.15">
      <c r="A25" s="3">
        <v>633843</v>
      </c>
      <c r="B25" s="3" t="s">
        <v>117</v>
      </c>
      <c r="C25" s="4" t="s">
        <v>126</v>
      </c>
      <c r="D25" s="5"/>
      <c r="E25" s="5" t="s">
        <v>329</v>
      </c>
      <c r="F25" s="28"/>
    </row>
    <row r="26" spans="1:6" ht="30" x14ac:dyDescent="0.15">
      <c r="A26" s="3">
        <v>625908</v>
      </c>
      <c r="B26" s="3" t="s">
        <v>117</v>
      </c>
      <c r="C26" s="4" t="s">
        <v>127</v>
      </c>
      <c r="D26" s="5"/>
      <c r="E26" s="5" t="s">
        <v>391</v>
      </c>
      <c r="F26" s="28"/>
    </row>
    <row r="27" spans="1:6" ht="30" x14ac:dyDescent="0.15">
      <c r="A27" s="3">
        <v>616666</v>
      </c>
      <c r="B27" s="3" t="s">
        <v>128</v>
      </c>
      <c r="C27" s="4" t="s">
        <v>129</v>
      </c>
      <c r="D27" s="5"/>
      <c r="E27" s="5" t="s">
        <v>392</v>
      </c>
      <c r="F27" s="28"/>
    </row>
    <row r="28" spans="1:6" ht="30" x14ac:dyDescent="0.15">
      <c r="A28" s="3">
        <v>698662</v>
      </c>
      <c r="B28" s="3" t="s">
        <v>128</v>
      </c>
      <c r="C28" s="4" t="s">
        <v>130</v>
      </c>
      <c r="D28" s="5"/>
      <c r="E28" s="5" t="s">
        <v>393</v>
      </c>
      <c r="F28" s="28"/>
    </row>
    <row r="29" spans="1:6" ht="30" x14ac:dyDescent="0.15">
      <c r="A29" s="3">
        <v>145210</v>
      </c>
      <c r="B29" s="3" t="s">
        <v>128</v>
      </c>
      <c r="C29" s="4" t="s">
        <v>131</v>
      </c>
      <c r="D29" s="5"/>
      <c r="E29" s="5" t="s">
        <v>394</v>
      </c>
      <c r="F29" s="28"/>
    </row>
    <row r="30" spans="1:6" ht="30" x14ac:dyDescent="0.15">
      <c r="A30" s="3">
        <v>628686</v>
      </c>
      <c r="B30" s="3" t="s">
        <v>128</v>
      </c>
      <c r="C30" s="4" t="s">
        <v>132</v>
      </c>
      <c r="D30" s="5"/>
      <c r="E30" s="5" t="s">
        <v>395</v>
      </c>
      <c r="F30" s="28"/>
    </row>
    <row r="31" spans="1:6" ht="30" x14ac:dyDescent="0.15">
      <c r="A31" s="3">
        <v>5015864</v>
      </c>
      <c r="B31" s="3" t="s">
        <v>128</v>
      </c>
      <c r="C31" s="4" t="s">
        <v>133</v>
      </c>
      <c r="D31" s="5"/>
      <c r="E31" s="5" t="s">
        <v>396</v>
      </c>
      <c r="F31" s="28"/>
    </row>
    <row r="32" spans="1:6" ht="30" x14ac:dyDescent="0.15">
      <c r="A32" s="3">
        <v>645012</v>
      </c>
      <c r="B32" s="3" t="s">
        <v>128</v>
      </c>
      <c r="C32" s="4" t="s">
        <v>134</v>
      </c>
      <c r="D32" s="5"/>
      <c r="E32" s="5" t="s">
        <v>397</v>
      </c>
      <c r="F32" s="28"/>
    </row>
    <row r="33" spans="1:6" ht="30" x14ac:dyDescent="0.15">
      <c r="A33" s="3">
        <v>746304</v>
      </c>
      <c r="B33" s="3" t="s">
        <v>128</v>
      </c>
      <c r="C33" s="4" t="s">
        <v>135</v>
      </c>
      <c r="D33" s="5"/>
      <c r="E33" s="5" t="s">
        <v>398</v>
      </c>
      <c r="F33" s="28"/>
    </row>
    <row r="34" spans="1:6" ht="30" x14ac:dyDescent="0.15">
      <c r="A34" s="3">
        <v>808669</v>
      </c>
      <c r="B34" s="3" t="s">
        <v>128</v>
      </c>
      <c r="C34" s="4" t="s">
        <v>136</v>
      </c>
      <c r="D34" s="5"/>
      <c r="E34" s="5" t="s">
        <v>399</v>
      </c>
      <c r="F34" s="28"/>
    </row>
    <row r="35" spans="1:6" ht="30" x14ac:dyDescent="0.15">
      <c r="A35" s="3">
        <v>661755</v>
      </c>
      <c r="B35" s="3" t="s">
        <v>137</v>
      </c>
      <c r="C35" s="4" t="s">
        <v>138</v>
      </c>
      <c r="D35" s="5"/>
      <c r="E35" s="5" t="s">
        <v>400</v>
      </c>
      <c r="F35" s="28"/>
    </row>
    <row r="36" spans="1:6" ht="30" x14ac:dyDescent="0.15">
      <c r="A36" s="3">
        <v>2802024</v>
      </c>
      <c r="B36" s="3" t="s">
        <v>137</v>
      </c>
      <c r="C36" s="4" t="s">
        <v>139</v>
      </c>
      <c r="D36" s="5"/>
      <c r="E36" s="5" t="s">
        <v>401</v>
      </c>
      <c r="F36" s="28"/>
    </row>
    <row r="37" spans="1:6" ht="30" x14ac:dyDescent="0.15">
      <c r="A37" s="3">
        <v>5028617</v>
      </c>
      <c r="B37" s="3" t="s">
        <v>137</v>
      </c>
      <c r="C37" s="4" t="s">
        <v>140</v>
      </c>
      <c r="D37" s="5"/>
      <c r="E37" s="5" t="s">
        <v>402</v>
      </c>
      <c r="F37" s="28"/>
    </row>
    <row r="38" spans="1:6" ht="30" x14ac:dyDescent="0.15">
      <c r="A38" s="3">
        <v>179045</v>
      </c>
      <c r="B38" s="3" t="s">
        <v>137</v>
      </c>
      <c r="C38" s="4" t="s">
        <v>141</v>
      </c>
      <c r="D38" s="5"/>
      <c r="E38" s="5" t="s">
        <v>403</v>
      </c>
      <c r="F38" s="28"/>
    </row>
    <row r="39" spans="1:6" ht="30" x14ac:dyDescent="0.15">
      <c r="A39" s="3">
        <v>184923</v>
      </c>
      <c r="B39" s="3" t="s">
        <v>137</v>
      </c>
      <c r="C39" s="4" t="s">
        <v>142</v>
      </c>
      <c r="D39" s="5"/>
      <c r="E39" s="5" t="s">
        <v>404</v>
      </c>
      <c r="F39" s="28"/>
    </row>
    <row r="40" spans="1:6" ht="30" x14ac:dyDescent="0.15">
      <c r="A40" s="3">
        <v>659267</v>
      </c>
      <c r="B40" s="3" t="s">
        <v>137</v>
      </c>
      <c r="C40" s="4" t="s">
        <v>143</v>
      </c>
      <c r="D40" s="5"/>
      <c r="E40" s="5" t="s">
        <v>405</v>
      </c>
      <c r="F40" s="28"/>
    </row>
    <row r="41" spans="1:6" ht="30" x14ac:dyDescent="0.15">
      <c r="A41" s="3">
        <v>808670</v>
      </c>
      <c r="B41" s="3" t="s">
        <v>137</v>
      </c>
      <c r="C41" s="4" t="s">
        <v>144</v>
      </c>
      <c r="D41" s="5"/>
      <c r="E41" s="5" t="s">
        <v>406</v>
      </c>
      <c r="F41" s="28"/>
    </row>
    <row r="42" spans="1:6" ht="30" x14ac:dyDescent="0.15">
      <c r="A42" s="3">
        <v>5015878</v>
      </c>
      <c r="B42" s="3" t="s">
        <v>137</v>
      </c>
      <c r="C42" s="4" t="s">
        <v>145</v>
      </c>
      <c r="D42" s="5"/>
      <c r="E42" s="5" t="s">
        <v>407</v>
      </c>
      <c r="F42" s="28"/>
    </row>
    <row r="43" spans="1:6" ht="30" x14ac:dyDescent="0.15">
      <c r="A43" s="3">
        <v>700792</v>
      </c>
      <c r="B43" s="3" t="s">
        <v>137</v>
      </c>
      <c r="C43" s="4" t="s">
        <v>146</v>
      </c>
      <c r="D43" s="5"/>
      <c r="E43" s="5" t="s">
        <v>346</v>
      </c>
      <c r="F43" s="28"/>
    </row>
    <row r="44" spans="1:6" ht="14" x14ac:dyDescent="0.15">
      <c r="A44" s="3"/>
      <c r="B44" s="3"/>
      <c r="C44" s="4"/>
      <c r="D44" s="5"/>
    </row>
    <row r="45" spans="1:6" ht="14" x14ac:dyDescent="0.15">
      <c r="A45" s="3"/>
      <c r="B45" s="3"/>
      <c r="C45" s="4"/>
      <c r="D45" s="5"/>
    </row>
    <row r="46" spans="1:6" ht="14" x14ac:dyDescent="0.15">
      <c r="A46" s="3"/>
      <c r="B46" s="3"/>
      <c r="C46" s="4"/>
      <c r="D46" s="5"/>
    </row>
    <row r="47" spans="1:6" ht="14" x14ac:dyDescent="0.15">
      <c r="A47" s="3"/>
      <c r="B47" s="3"/>
      <c r="C47" s="4"/>
      <c r="D47" s="5"/>
    </row>
    <row r="48" spans="1:6" ht="14" x14ac:dyDescent="0.15">
      <c r="A48" s="3"/>
      <c r="B48" s="3"/>
      <c r="C48" s="4"/>
      <c r="D48" s="5"/>
    </row>
    <row r="49" spans="1:4" ht="14" x14ac:dyDescent="0.15">
      <c r="A49" s="3"/>
      <c r="B49" s="3"/>
      <c r="C49" s="4"/>
      <c r="D49" s="5"/>
    </row>
    <row r="50" spans="1:4" ht="14" x14ac:dyDescent="0.15">
      <c r="A50" s="3"/>
      <c r="B50" s="3"/>
      <c r="C50" s="4"/>
      <c r="D50" s="5"/>
    </row>
    <row r="51" spans="1:4" ht="14" x14ac:dyDescent="0.15">
      <c r="A51" s="3"/>
      <c r="B51" s="3"/>
      <c r="C51" s="4"/>
      <c r="D51" s="5"/>
    </row>
    <row r="52" spans="1:4" ht="14" x14ac:dyDescent="0.15">
      <c r="A52" s="3"/>
      <c r="B52" s="3"/>
      <c r="C52" s="4"/>
      <c r="D52" s="5"/>
    </row>
    <row r="53" spans="1:4" ht="14" x14ac:dyDescent="0.15">
      <c r="A53" s="3"/>
      <c r="B53" s="3"/>
      <c r="C53" s="4"/>
      <c r="D53" s="5"/>
    </row>
    <row r="54" spans="1:4" ht="14" x14ac:dyDescent="0.15">
      <c r="A54" s="3"/>
      <c r="B54" s="3"/>
      <c r="C54" s="4"/>
      <c r="D54" s="5"/>
    </row>
    <row r="55" spans="1:4" ht="14" x14ac:dyDescent="0.15">
      <c r="A55" s="3"/>
      <c r="B55" s="3"/>
      <c r="C55" s="4"/>
      <c r="D55" s="5"/>
    </row>
    <row r="56" spans="1:4" ht="14" x14ac:dyDescent="0.15">
      <c r="A56" s="3"/>
      <c r="B56" s="3"/>
      <c r="C56" s="4"/>
      <c r="D56" s="5"/>
    </row>
    <row r="57" spans="1:4" ht="14" x14ac:dyDescent="0.15">
      <c r="A57" s="3"/>
      <c r="B57" s="3"/>
      <c r="C57" s="4"/>
      <c r="D57" s="5"/>
    </row>
    <row r="58" spans="1:4" ht="14" x14ac:dyDescent="0.15">
      <c r="A58" s="3"/>
      <c r="B58" s="3"/>
      <c r="C58" s="4"/>
      <c r="D58" s="5"/>
    </row>
    <row r="59" spans="1:4" ht="14" x14ac:dyDescent="0.15">
      <c r="A59" s="3"/>
      <c r="B59" s="3"/>
      <c r="C59" s="4"/>
      <c r="D59" s="5"/>
    </row>
    <row r="60" spans="1:4" ht="14" x14ac:dyDescent="0.15">
      <c r="A60" s="3"/>
      <c r="B60" s="3"/>
      <c r="C60" s="4"/>
      <c r="D60" s="5"/>
    </row>
    <row r="61" spans="1:4" ht="14" x14ac:dyDescent="0.15">
      <c r="A61" s="3"/>
      <c r="B61" s="3"/>
      <c r="C61" s="4"/>
      <c r="D61" s="5"/>
    </row>
    <row r="62" spans="1:4" ht="14" x14ac:dyDescent="0.15">
      <c r="A62" s="3"/>
      <c r="B62" s="3"/>
      <c r="C62" s="4"/>
      <c r="D62" s="5"/>
    </row>
    <row r="63" spans="1:4" ht="14" x14ac:dyDescent="0.15">
      <c r="A63" s="3"/>
      <c r="B63" s="3"/>
      <c r="C63" s="4"/>
      <c r="D63" s="5"/>
    </row>
    <row r="64" spans="1:4" ht="14" x14ac:dyDescent="0.15">
      <c r="A64" s="3"/>
      <c r="B64" s="3"/>
      <c r="C64" s="4"/>
      <c r="D64" s="5"/>
    </row>
    <row r="65" spans="1:4" ht="14" x14ac:dyDescent="0.15">
      <c r="A65" s="3"/>
      <c r="B65" s="3"/>
      <c r="C65" s="4"/>
      <c r="D65" s="5"/>
    </row>
    <row r="66" spans="1:4" ht="14" x14ac:dyDescent="0.15">
      <c r="A66" s="3"/>
      <c r="B66" s="3"/>
      <c r="C66" s="4"/>
      <c r="D66" s="5"/>
    </row>
    <row r="67" spans="1:4" ht="14" x14ac:dyDescent="0.15">
      <c r="A67" s="3"/>
      <c r="B67" s="3"/>
      <c r="C67" s="4"/>
      <c r="D67" s="5"/>
    </row>
    <row r="68" spans="1:4" ht="14" x14ac:dyDescent="0.15">
      <c r="A68" s="3"/>
      <c r="B68" s="3"/>
      <c r="C68" s="4"/>
      <c r="D68" s="5"/>
    </row>
    <row r="69" spans="1:4" ht="14" x14ac:dyDescent="0.15">
      <c r="A69" s="3"/>
      <c r="B69" s="3"/>
      <c r="C69" s="4"/>
      <c r="D69" s="5"/>
    </row>
    <row r="70" spans="1:4" ht="14" x14ac:dyDescent="0.15">
      <c r="A70" s="3"/>
      <c r="B70" s="3"/>
      <c r="C70" s="4"/>
      <c r="D70" s="5"/>
    </row>
    <row r="71" spans="1:4" ht="14" x14ac:dyDescent="0.15">
      <c r="A71" s="3"/>
      <c r="B71" s="3"/>
      <c r="C71" s="4"/>
      <c r="D71" s="5"/>
    </row>
    <row r="72" spans="1:4" ht="14" x14ac:dyDescent="0.15">
      <c r="A72" s="3"/>
      <c r="B72" s="3"/>
      <c r="C72" s="4"/>
      <c r="D72" s="5"/>
    </row>
  </sheetData>
  <mergeCells count="3">
    <mergeCell ref="A1:D1"/>
    <mergeCell ref="A2:D2"/>
    <mergeCell ref="A3:D3"/>
  </mergeCells>
  <hyperlinks>
    <hyperlink ref="C27" r:id="rId1" display="https://www.linkedin.com/learning/administrative-professional-foundations" xr:uid="{00000000-0004-0000-0600-000000000000}"/>
    <hyperlink ref="C35" r:id="rId2" display="https://www.linkedin.com/learning/administrative-professional-weekly-tips" xr:uid="{00000000-0004-0000-0600-000001000000}"/>
    <hyperlink ref="C7" r:id="rId3" display="https://www.linkedin.com/learning/business-ethics-2019" xr:uid="{00000000-0004-0000-0600-000002000000}"/>
    <hyperlink ref="C8" r:id="rId4" display="https://www.linkedin.com/learning/business-ethics" xr:uid="{00000000-0004-0000-0600-000003000000}"/>
    <hyperlink ref="C36" r:id="rId5" display="https://www.linkedin.com/learning/business-ethics-for-managers-and-leaders-2019" xr:uid="{00000000-0004-0000-0600-000004000000}"/>
    <hyperlink ref="C17" r:id="rId6" display="https://www.linkedin.com/learning/business-ethics-for-sales-professionals" xr:uid="{00000000-0004-0000-0600-000005000000}"/>
    <hyperlink ref="C28" r:id="rId7" display="https://www.linkedin.com/learning/business-law-for-managers" xr:uid="{00000000-0004-0000-0600-000006000000}"/>
    <hyperlink ref="C9" r:id="rId8" display="https://www.linkedin.com/learning/business-writing-principles" xr:uid="{00000000-0004-0000-0600-000007000000}"/>
    <hyperlink ref="C18" r:id="rId9" display="https://www.linkedin.com/learning/collaboration-principles-and-process" xr:uid="{00000000-0004-0000-0600-000008000000}"/>
    <hyperlink ref="C37" r:id="rId10" display="https://www.linkedin.com/learning/communicating-values" xr:uid="{00000000-0004-0000-0600-000009000000}"/>
    <hyperlink ref="C10" r:id="rId11" display="https://www.linkedin.com/learning/conducting-motivational-1-on-1-reviews" xr:uid="{00000000-0004-0000-0600-00000A000000}"/>
    <hyperlink ref="C11" r:id="rId12" display="https://www.linkedin.com/learning/defining-and-achieving-professional-goals" xr:uid="{00000000-0004-0000-0600-00000B000000}"/>
    <hyperlink ref="C12" r:id="rId13" display="https://www.linkedin.com/learning/developing-your-professional-image" xr:uid="{00000000-0004-0000-0600-00000C000000}"/>
    <hyperlink ref="C19" r:id="rId14" display="https://www.linkedin.com/learning/ethics-and-law-in-data-analytics" xr:uid="{00000000-0004-0000-0600-00000D000000}"/>
    <hyperlink ref="C29" r:id="rId15" display="https://www.linkedin.com/learning/graphic-design-for-business-professionals" xr:uid="{00000000-0004-0000-0600-00000E000000}"/>
    <hyperlink ref="C13" r:id="rId16" display="https://www.linkedin.com/learning/managing-and-working-with-a-technical-team-for-nontechnical-professionals" xr:uid="{00000000-0004-0000-0600-00000F000000}"/>
    <hyperlink ref="C30" r:id="rId17" display="https://www.linkedin.com/learning/managing-technical-professionals" xr:uid="{00000000-0004-0000-0600-000010000000}"/>
    <hyperlink ref="C31" r:id="rId18" display="https://www.linkedin.com/learning/performance-management-conducting-performance-reviews" xr:uid="{00000000-0004-0000-0600-000011000000}"/>
    <hyperlink ref="C20" r:id="rId19" display="https://www.linkedin.com/learning/project-management-foundations-ethics-2019" xr:uid="{00000000-0004-0000-0600-000012000000}"/>
    <hyperlink ref="C38" r:id="rId20" display="https://www.linkedin.com/learning/setting-up-your-small-business-as-a-legal-entity" xr:uid="{00000000-0004-0000-0600-000013000000}"/>
    <hyperlink ref="C21" r:id="rId21" display="https://www.linkedin.com/learning/transitioning-from-technical-professional-to-manager" xr:uid="{00000000-0004-0000-0600-000014000000}"/>
    <hyperlink ref="C5" r:id="rId22" display="https://www.linkedin.com/learning/creating-a-culture-of-service" xr:uid="{00000000-0004-0000-0600-000015000000}"/>
    <hyperlink ref="C32" r:id="rId23" display="https://www.linkedin.com/learning/developing-a-service-mindset" xr:uid="{00000000-0004-0000-0600-000016000000}"/>
    <hyperlink ref="C22" r:id="rId24" display="https://www.linkedin.com/learning/business-etiquette-phone-email-and-text" xr:uid="{00000000-0004-0000-0600-000017000000}"/>
    <hyperlink ref="C6" r:id="rId25" display="https://www.linkedin.com/learning/employer-branding-to-attract-talent" xr:uid="{00000000-0004-0000-0600-000018000000}"/>
    <hyperlink ref="C23" r:id="rId26" display="https://www.linkedin.com/learning/communicating-with-empathy" xr:uid="{00000000-0004-0000-0600-000019000000}"/>
    <hyperlink ref="C24" r:id="rId27" display="https://www.linkedin.com/learning/managing-brand-reputation" xr:uid="{00000000-0004-0000-0600-00001A000000}"/>
    <hyperlink ref="C14" r:id="rId28" display="https://www.linkedin.com/learning/fred-kofman-on-accountability" xr:uid="{00000000-0004-0000-0600-00001B000000}"/>
    <hyperlink ref="C25" r:id="rId29" display="https://www.linkedin.com/learning/communication-within-teams" xr:uid="{00000000-0004-0000-0600-00001C000000}"/>
    <hyperlink ref="C26" r:id="rId30" display="https://www.linkedin.com/learning/holding-yourself-accountable" xr:uid="{00000000-0004-0000-0600-00001D000000}"/>
    <hyperlink ref="C39" r:id="rId31" display="https://www.linkedin.com/learning/building-accountability-into-your-culture" xr:uid="{00000000-0004-0000-0600-00001E000000}"/>
    <hyperlink ref="C15" r:id="rId32" display="https://www.linkedin.com/learning/fred-kofman-on-making-commitments" xr:uid="{00000000-0004-0000-0600-00001F000000}"/>
    <hyperlink ref="C33" r:id="rId33" display="https://www.linkedin.com/learning/managing-teams-3" xr:uid="{00000000-0004-0000-0600-000020000000}"/>
    <hyperlink ref="C16" r:id="rId34" display="https://www.linkedin.com/learning/creating-personal-connections" xr:uid="{00000000-0004-0000-0600-000021000000}"/>
    <hyperlink ref="C40" r:id="rId35" display="https://www.linkedin.com/learning/managing-a-cross-functional-team" xr:uid="{00000000-0004-0000-0600-000022000000}"/>
    <hyperlink ref="C34" r:id="rId36" display="https://www.linkedin.com/learning/building-business-relationships-2" xr:uid="{00000000-0004-0000-0600-000023000000}"/>
    <hyperlink ref="C41" r:id="rId37" display="https://www.linkedin.com/learning/leading-through-relationships" xr:uid="{00000000-0004-0000-0600-000024000000}"/>
    <hyperlink ref="C42" r:id="rId38" display="https://www.linkedin.com/learning/dream-teams-working-together-without-falling-apart-blinkist" xr:uid="{00000000-0004-0000-0600-000025000000}"/>
    <hyperlink ref="C43" r:id="rId39" display="https://www.linkedin.com/learning/employee-experience" xr:uid="{00000000-0004-0000-0600-000026000000}"/>
    <hyperlink ref="D5" r:id="rId40" xr:uid="{00000000-0004-0000-0600-000027000000}"/>
    <hyperlink ref="D6" r:id="rId41" xr:uid="{00000000-0004-0000-0600-000028000000}"/>
    <hyperlink ref="D7" r:id="rId42" xr:uid="{00000000-0004-0000-0600-000029000000}"/>
    <hyperlink ref="D8" r:id="rId43" xr:uid="{00000000-0004-0000-0600-00002A000000}"/>
    <hyperlink ref="D9" r:id="rId44" xr:uid="{00000000-0004-0000-0600-00002B000000}"/>
    <hyperlink ref="D10" r:id="rId45" xr:uid="{00000000-0004-0000-0600-00002C000000}"/>
    <hyperlink ref="D11" r:id="rId46" xr:uid="{00000000-0004-0000-0600-00002D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theme="4"/>
  </sheetPr>
  <dimension ref="A1:F64"/>
  <sheetViews>
    <sheetView workbookViewId="0">
      <selection activeCell="C7" sqref="C7"/>
    </sheetView>
  </sheetViews>
  <sheetFormatPr baseColWidth="10" defaultColWidth="8.83203125" defaultRowHeight="13" x14ac:dyDescent="0.15"/>
  <cols>
    <col min="1" max="1" width="10.83203125" style="29" bestFit="1" customWidth="1"/>
    <col min="2" max="2" width="10.6640625" style="29" bestFit="1" customWidth="1"/>
    <col min="3" max="3" width="39.83203125" style="29" customWidth="1"/>
    <col min="4" max="4" width="39.5" style="29" customWidth="1"/>
    <col min="5" max="5" width="57.33203125" style="29" customWidth="1"/>
    <col min="6" max="6" width="65" style="29" customWidth="1"/>
    <col min="7" max="16384" width="8.83203125" style="29"/>
  </cols>
  <sheetData>
    <row r="1" spans="1:6" ht="47" customHeight="1" x14ac:dyDescent="0.15">
      <c r="A1" s="66" t="s">
        <v>98</v>
      </c>
      <c r="B1" s="67"/>
      <c r="C1" s="67"/>
      <c r="D1" s="67"/>
    </row>
    <row r="2" spans="1:6" x14ac:dyDescent="0.15">
      <c r="A2" s="40" t="s">
        <v>6</v>
      </c>
      <c r="B2" s="64"/>
      <c r="C2" s="64"/>
      <c r="D2" s="64"/>
    </row>
    <row r="3" spans="1:6" ht="16" x14ac:dyDescent="0.15">
      <c r="A3" s="51"/>
      <c r="B3" s="64"/>
      <c r="C3" s="64"/>
      <c r="D3" s="64"/>
    </row>
    <row r="4" spans="1:6" ht="15" x14ac:dyDescent="0.15">
      <c r="A4" s="30" t="s">
        <v>7</v>
      </c>
      <c r="B4" s="30" t="s">
        <v>8</v>
      </c>
      <c r="C4" s="30" t="s">
        <v>9</v>
      </c>
      <c r="D4" s="30" t="s">
        <v>10</v>
      </c>
      <c r="E4" s="65" t="s">
        <v>297</v>
      </c>
      <c r="F4" s="65" t="s">
        <v>261</v>
      </c>
    </row>
    <row r="5" spans="1:6" ht="30" x14ac:dyDescent="0.15">
      <c r="A5" s="3">
        <v>153829</v>
      </c>
      <c r="B5" s="3" t="s">
        <v>106</v>
      </c>
      <c r="C5" s="4" t="s">
        <v>147</v>
      </c>
      <c r="D5" s="4" t="s">
        <v>205</v>
      </c>
      <c r="E5" s="5" t="s">
        <v>413</v>
      </c>
      <c r="F5" s="34" t="s">
        <v>469</v>
      </c>
    </row>
    <row r="6" spans="1:6" ht="30" x14ac:dyDescent="0.15">
      <c r="A6" s="3">
        <v>156089</v>
      </c>
      <c r="B6" s="3" t="s">
        <v>106</v>
      </c>
      <c r="C6" s="4" t="s">
        <v>148</v>
      </c>
      <c r="D6" s="4" t="s">
        <v>206</v>
      </c>
      <c r="E6" s="5" t="s">
        <v>309</v>
      </c>
      <c r="F6" s="34" t="s">
        <v>470</v>
      </c>
    </row>
    <row r="7" spans="1:6" ht="30" x14ac:dyDescent="0.15">
      <c r="A7" s="3">
        <v>157139</v>
      </c>
      <c r="B7" s="3" t="s">
        <v>106</v>
      </c>
      <c r="C7" s="4" t="s">
        <v>149</v>
      </c>
      <c r="D7" s="4" t="s">
        <v>207</v>
      </c>
      <c r="E7" s="5" t="s">
        <v>414</v>
      </c>
      <c r="F7" s="34" t="s">
        <v>471</v>
      </c>
    </row>
    <row r="8" spans="1:6" ht="30" x14ac:dyDescent="0.15">
      <c r="A8" s="3">
        <v>175640</v>
      </c>
      <c r="B8" s="3" t="s">
        <v>106</v>
      </c>
      <c r="C8" s="4" t="s">
        <v>150</v>
      </c>
      <c r="D8" s="4" t="s">
        <v>208</v>
      </c>
      <c r="E8" s="5" t="s">
        <v>415</v>
      </c>
      <c r="F8" s="34" t="s">
        <v>472</v>
      </c>
    </row>
    <row r="9" spans="1:6" ht="30" x14ac:dyDescent="0.15">
      <c r="A9" s="3">
        <v>363226</v>
      </c>
      <c r="B9" s="3" t="s">
        <v>106</v>
      </c>
      <c r="C9" s="4" t="s">
        <v>151</v>
      </c>
      <c r="D9" s="4"/>
      <c r="E9" s="5" t="s">
        <v>416</v>
      </c>
    </row>
    <row r="10" spans="1:6" ht="30" x14ac:dyDescent="0.15">
      <c r="A10" s="3">
        <v>454669</v>
      </c>
      <c r="B10" s="3" t="s">
        <v>106</v>
      </c>
      <c r="C10" s="4" t="s">
        <v>152</v>
      </c>
      <c r="D10" s="4"/>
      <c r="E10" s="5" t="s">
        <v>417</v>
      </c>
    </row>
    <row r="11" spans="1:6" ht="30" x14ac:dyDescent="0.15">
      <c r="A11" s="3">
        <v>441830</v>
      </c>
      <c r="B11" s="3" t="s">
        <v>106</v>
      </c>
      <c r="C11" s="4" t="s">
        <v>153</v>
      </c>
      <c r="D11" s="5"/>
      <c r="E11" s="5" t="s">
        <v>418</v>
      </c>
    </row>
    <row r="12" spans="1:6" ht="30" x14ac:dyDescent="0.15">
      <c r="A12" s="3">
        <v>466175</v>
      </c>
      <c r="B12" s="3" t="s">
        <v>106</v>
      </c>
      <c r="C12" s="4" t="s">
        <v>154</v>
      </c>
      <c r="D12" s="5"/>
      <c r="E12" s="5" t="s">
        <v>419</v>
      </c>
    </row>
    <row r="13" spans="1:6" ht="30" x14ac:dyDescent="0.15">
      <c r="A13" s="3">
        <v>461033</v>
      </c>
      <c r="B13" s="3" t="s">
        <v>106</v>
      </c>
      <c r="C13" s="4" t="s">
        <v>155</v>
      </c>
      <c r="D13" s="5"/>
      <c r="E13" s="5" t="s">
        <v>420</v>
      </c>
    </row>
    <row r="14" spans="1:6" ht="30" x14ac:dyDescent="0.15">
      <c r="A14" s="3">
        <v>466177</v>
      </c>
      <c r="B14" s="3" t="s">
        <v>106</v>
      </c>
      <c r="C14" s="4" t="s">
        <v>156</v>
      </c>
      <c r="D14" s="5"/>
      <c r="E14" s="5" t="s">
        <v>421</v>
      </c>
    </row>
    <row r="15" spans="1:6" ht="30" x14ac:dyDescent="0.15">
      <c r="A15" s="3">
        <v>441832</v>
      </c>
      <c r="B15" s="3" t="s">
        <v>106</v>
      </c>
      <c r="C15" s="4" t="s">
        <v>157</v>
      </c>
      <c r="D15" s="5"/>
      <c r="E15" s="5" t="s">
        <v>422</v>
      </c>
    </row>
    <row r="16" spans="1:6" ht="30" x14ac:dyDescent="0.15">
      <c r="A16" s="3">
        <v>475452</v>
      </c>
      <c r="B16" s="3" t="s">
        <v>106</v>
      </c>
      <c r="C16" s="4" t="s">
        <v>158</v>
      </c>
      <c r="D16" s="5"/>
      <c r="E16" s="5" t="s">
        <v>423</v>
      </c>
    </row>
    <row r="17" spans="1:5" ht="30" x14ac:dyDescent="0.15">
      <c r="A17" s="3">
        <v>475451</v>
      </c>
      <c r="B17" s="3" t="s">
        <v>106</v>
      </c>
      <c r="C17" s="4" t="s">
        <v>159</v>
      </c>
      <c r="D17" s="5"/>
      <c r="E17" s="5" t="s">
        <v>424</v>
      </c>
    </row>
    <row r="18" spans="1:5" ht="30" x14ac:dyDescent="0.15">
      <c r="A18" s="3">
        <v>504298</v>
      </c>
      <c r="B18" s="3" t="s">
        <v>106</v>
      </c>
      <c r="C18" s="4" t="s">
        <v>160</v>
      </c>
      <c r="D18" s="5"/>
      <c r="E18" s="5" t="s">
        <v>425</v>
      </c>
    </row>
    <row r="19" spans="1:5" ht="30" x14ac:dyDescent="0.15">
      <c r="A19" s="3">
        <v>514234</v>
      </c>
      <c r="B19" s="3" t="s">
        <v>106</v>
      </c>
      <c r="C19" s="4" t="s">
        <v>161</v>
      </c>
      <c r="D19" s="5"/>
      <c r="E19" s="5" t="s">
        <v>426</v>
      </c>
    </row>
    <row r="20" spans="1:5" ht="30" x14ac:dyDescent="0.15">
      <c r="A20" s="3">
        <v>567789</v>
      </c>
      <c r="B20" s="3" t="s">
        <v>106</v>
      </c>
      <c r="C20" s="4" t="s">
        <v>162</v>
      </c>
      <c r="D20" s="5"/>
      <c r="E20" s="5" t="s">
        <v>427</v>
      </c>
    </row>
    <row r="21" spans="1:5" ht="30" x14ac:dyDescent="0.15">
      <c r="A21" s="3">
        <v>585225</v>
      </c>
      <c r="B21" s="3" t="s">
        <v>106</v>
      </c>
      <c r="C21" s="4" t="s">
        <v>163</v>
      </c>
      <c r="D21" s="5"/>
      <c r="E21" s="5" t="s">
        <v>428</v>
      </c>
    </row>
    <row r="22" spans="1:5" ht="30" x14ac:dyDescent="0.15">
      <c r="A22" s="3">
        <v>633844</v>
      </c>
      <c r="B22" s="3" t="s">
        <v>106</v>
      </c>
      <c r="C22" s="4" t="s">
        <v>164</v>
      </c>
      <c r="D22" s="5"/>
      <c r="E22" s="5" t="s">
        <v>429</v>
      </c>
    </row>
    <row r="23" spans="1:5" ht="30" x14ac:dyDescent="0.15">
      <c r="A23" s="3">
        <v>608987</v>
      </c>
      <c r="B23" s="3" t="s">
        <v>106</v>
      </c>
      <c r="C23" s="4" t="s">
        <v>165</v>
      </c>
      <c r="D23" s="5"/>
      <c r="E23" s="5" t="s">
        <v>430</v>
      </c>
    </row>
    <row r="24" spans="1:5" ht="30" x14ac:dyDescent="0.15">
      <c r="A24" s="3">
        <v>661746</v>
      </c>
      <c r="B24" s="3" t="s">
        <v>106</v>
      </c>
      <c r="C24" s="4" t="s">
        <v>166</v>
      </c>
      <c r="D24" s="5"/>
      <c r="E24" s="5" t="s">
        <v>431</v>
      </c>
    </row>
    <row r="25" spans="1:5" ht="30" x14ac:dyDescent="0.15">
      <c r="A25" s="3">
        <v>608989</v>
      </c>
      <c r="B25" s="3" t="s">
        <v>106</v>
      </c>
      <c r="C25" s="4" t="s">
        <v>167</v>
      </c>
      <c r="D25" s="5"/>
      <c r="E25" s="5" t="s">
        <v>432</v>
      </c>
    </row>
    <row r="26" spans="1:5" ht="30" x14ac:dyDescent="0.15">
      <c r="A26" s="3">
        <v>718625</v>
      </c>
      <c r="B26" s="3" t="s">
        <v>106</v>
      </c>
      <c r="C26" s="4" t="s">
        <v>168</v>
      </c>
      <c r="D26" s="5"/>
      <c r="E26" s="5" t="s">
        <v>433</v>
      </c>
    </row>
    <row r="27" spans="1:5" ht="30" x14ac:dyDescent="0.15">
      <c r="A27" s="3">
        <v>728377</v>
      </c>
      <c r="B27" s="3" t="s">
        <v>106</v>
      </c>
      <c r="C27" s="4" t="s">
        <v>169</v>
      </c>
      <c r="D27" s="5"/>
      <c r="E27" s="5" t="s">
        <v>287</v>
      </c>
    </row>
    <row r="28" spans="1:5" ht="30" x14ac:dyDescent="0.15">
      <c r="A28" s="3">
        <v>728381</v>
      </c>
      <c r="B28" s="3" t="s">
        <v>106</v>
      </c>
      <c r="C28" s="4" t="s">
        <v>170</v>
      </c>
      <c r="D28" s="5"/>
      <c r="E28" s="5" t="s">
        <v>434</v>
      </c>
    </row>
    <row r="29" spans="1:5" ht="30" x14ac:dyDescent="0.15">
      <c r="A29" s="3">
        <v>743143</v>
      </c>
      <c r="B29" s="3" t="s">
        <v>106</v>
      </c>
      <c r="C29" s="4" t="s">
        <v>171</v>
      </c>
      <c r="D29" s="5"/>
      <c r="E29" s="5" t="s">
        <v>435</v>
      </c>
    </row>
    <row r="30" spans="1:5" ht="30" x14ac:dyDescent="0.15">
      <c r="A30" s="3">
        <v>363198</v>
      </c>
      <c r="B30" s="3" t="s">
        <v>106</v>
      </c>
      <c r="C30" s="4" t="s">
        <v>172</v>
      </c>
      <c r="D30" s="5"/>
      <c r="E30" s="5" t="s">
        <v>436</v>
      </c>
    </row>
    <row r="31" spans="1:5" ht="30" x14ac:dyDescent="0.15">
      <c r="A31" s="3">
        <v>2805117</v>
      </c>
      <c r="B31" s="3" t="s">
        <v>106</v>
      </c>
      <c r="C31" s="4" t="s">
        <v>173</v>
      </c>
      <c r="D31" s="5"/>
      <c r="E31" s="5" t="s">
        <v>437</v>
      </c>
    </row>
    <row r="32" spans="1:5" ht="30" x14ac:dyDescent="0.15">
      <c r="A32" s="3">
        <v>2819032</v>
      </c>
      <c r="B32" s="3" t="s">
        <v>106</v>
      </c>
      <c r="C32" s="4" t="s">
        <v>174</v>
      </c>
      <c r="D32" s="5"/>
      <c r="E32" s="5" t="s">
        <v>438</v>
      </c>
    </row>
    <row r="33" spans="1:5" ht="30" x14ac:dyDescent="0.15">
      <c r="A33" s="3">
        <v>2819030</v>
      </c>
      <c r="B33" s="3" t="s">
        <v>106</v>
      </c>
      <c r="C33" s="4" t="s">
        <v>175</v>
      </c>
      <c r="D33" s="5"/>
      <c r="E33" s="5" t="s">
        <v>439</v>
      </c>
    </row>
    <row r="34" spans="1:5" ht="30" x14ac:dyDescent="0.15">
      <c r="A34" s="3">
        <v>2820010</v>
      </c>
      <c r="B34" s="3" t="s">
        <v>106</v>
      </c>
      <c r="C34" s="4" t="s">
        <v>176</v>
      </c>
      <c r="D34" s="5"/>
      <c r="E34" s="5" t="s">
        <v>440</v>
      </c>
    </row>
    <row r="35" spans="1:5" ht="30" x14ac:dyDescent="0.15">
      <c r="A35" s="3">
        <v>2805119</v>
      </c>
      <c r="B35" s="3" t="s">
        <v>106</v>
      </c>
      <c r="C35" s="4" t="s">
        <v>177</v>
      </c>
      <c r="D35" s="5"/>
      <c r="E35" s="5" t="s">
        <v>441</v>
      </c>
    </row>
    <row r="36" spans="1:5" ht="30" x14ac:dyDescent="0.15">
      <c r="A36" s="3">
        <v>2818031</v>
      </c>
      <c r="B36" s="3" t="s">
        <v>106</v>
      </c>
      <c r="C36" s="4" t="s">
        <v>178</v>
      </c>
      <c r="D36" s="5"/>
      <c r="E36" s="5" t="s">
        <v>442</v>
      </c>
    </row>
    <row r="37" spans="1:5" ht="30" x14ac:dyDescent="0.15">
      <c r="A37" s="3">
        <v>756284</v>
      </c>
      <c r="B37" s="3" t="s">
        <v>106</v>
      </c>
      <c r="C37" s="4" t="s">
        <v>179</v>
      </c>
      <c r="D37" s="5"/>
      <c r="E37" s="5" t="s">
        <v>443</v>
      </c>
    </row>
    <row r="38" spans="1:5" ht="30" x14ac:dyDescent="0.15">
      <c r="A38" s="3">
        <v>5017518</v>
      </c>
      <c r="B38" s="3" t="s">
        <v>106</v>
      </c>
      <c r="C38" s="4" t="s">
        <v>180</v>
      </c>
      <c r="D38" s="5"/>
      <c r="E38" s="5" t="s">
        <v>444</v>
      </c>
    </row>
    <row r="39" spans="1:5" ht="30" x14ac:dyDescent="0.15">
      <c r="A39" s="3">
        <v>802834</v>
      </c>
      <c r="B39" s="3" t="s">
        <v>106</v>
      </c>
      <c r="C39" s="4" t="s">
        <v>181</v>
      </c>
      <c r="D39" s="5"/>
      <c r="E39" s="5" t="s">
        <v>445</v>
      </c>
    </row>
    <row r="40" spans="1:5" ht="30" x14ac:dyDescent="0.15">
      <c r="A40" s="3">
        <v>461034</v>
      </c>
      <c r="B40" s="3" t="s">
        <v>117</v>
      </c>
      <c r="C40" s="4" t="s">
        <v>182</v>
      </c>
      <c r="D40" s="5"/>
      <c r="E40" s="5" t="s">
        <v>446</v>
      </c>
    </row>
    <row r="41" spans="1:5" ht="30" x14ac:dyDescent="0.15">
      <c r="A41" s="3">
        <v>693070</v>
      </c>
      <c r="B41" s="3" t="s">
        <v>117</v>
      </c>
      <c r="C41" s="4" t="s">
        <v>183</v>
      </c>
      <c r="D41" s="5"/>
      <c r="E41" s="5" t="s">
        <v>447</v>
      </c>
    </row>
    <row r="42" spans="1:5" ht="30" x14ac:dyDescent="0.15">
      <c r="A42" s="3">
        <v>696324</v>
      </c>
      <c r="B42" s="3" t="s">
        <v>117</v>
      </c>
      <c r="C42" s="4" t="s">
        <v>184</v>
      </c>
      <c r="D42" s="5"/>
      <c r="E42" s="5" t="s">
        <v>448</v>
      </c>
    </row>
    <row r="43" spans="1:5" ht="30" x14ac:dyDescent="0.15">
      <c r="A43" s="3">
        <v>728375</v>
      </c>
      <c r="B43" s="3" t="s">
        <v>117</v>
      </c>
      <c r="C43" s="4" t="s">
        <v>185</v>
      </c>
      <c r="D43" s="5"/>
      <c r="E43" s="5" t="s">
        <v>449</v>
      </c>
    </row>
    <row r="44" spans="1:5" ht="30" x14ac:dyDescent="0.15">
      <c r="A44" s="3">
        <v>728382</v>
      </c>
      <c r="B44" s="3" t="s">
        <v>117</v>
      </c>
      <c r="C44" s="4" t="s">
        <v>186</v>
      </c>
      <c r="D44" s="5"/>
      <c r="E44" s="5" t="s">
        <v>450</v>
      </c>
    </row>
    <row r="45" spans="1:5" ht="30" x14ac:dyDescent="0.15">
      <c r="A45" s="3">
        <v>2807859</v>
      </c>
      <c r="B45" s="3" t="s">
        <v>117</v>
      </c>
      <c r="C45" s="4" t="s">
        <v>187</v>
      </c>
      <c r="D45" s="5"/>
      <c r="E45" s="5" t="s">
        <v>451</v>
      </c>
    </row>
    <row r="46" spans="1:5" ht="30" x14ac:dyDescent="0.15">
      <c r="A46" s="3">
        <v>2803420</v>
      </c>
      <c r="B46" s="3" t="s">
        <v>117</v>
      </c>
      <c r="C46" s="4" t="s">
        <v>188</v>
      </c>
      <c r="D46" s="5"/>
      <c r="E46" s="5" t="s">
        <v>452</v>
      </c>
    </row>
    <row r="47" spans="1:5" ht="30" x14ac:dyDescent="0.15">
      <c r="A47" s="3">
        <v>774888</v>
      </c>
      <c r="B47" s="3" t="s">
        <v>117</v>
      </c>
      <c r="C47" s="4" t="s">
        <v>189</v>
      </c>
      <c r="D47" s="5"/>
      <c r="E47" s="5" t="s">
        <v>453</v>
      </c>
    </row>
    <row r="48" spans="1:5" ht="30" x14ac:dyDescent="0.15">
      <c r="A48" s="3">
        <v>746309</v>
      </c>
      <c r="B48" s="3" t="s">
        <v>117</v>
      </c>
      <c r="C48" s="4" t="s">
        <v>190</v>
      </c>
      <c r="D48" s="5"/>
      <c r="E48" s="5" t="s">
        <v>454</v>
      </c>
    </row>
    <row r="49" spans="1:5" ht="30" x14ac:dyDescent="0.15">
      <c r="A49" s="3">
        <v>746308</v>
      </c>
      <c r="B49" s="3" t="s">
        <v>117</v>
      </c>
      <c r="C49" s="4" t="s">
        <v>191</v>
      </c>
      <c r="D49" s="5"/>
      <c r="E49" s="5" t="s">
        <v>455</v>
      </c>
    </row>
    <row r="50" spans="1:5" ht="30" x14ac:dyDescent="0.15">
      <c r="A50" s="3">
        <v>699322</v>
      </c>
      <c r="B50" s="3" t="s">
        <v>117</v>
      </c>
      <c r="C50" s="4" t="s">
        <v>192</v>
      </c>
      <c r="D50" s="5"/>
      <c r="E50" s="5" t="s">
        <v>456</v>
      </c>
    </row>
    <row r="51" spans="1:5" ht="45" x14ac:dyDescent="0.15">
      <c r="A51" s="3">
        <v>714478</v>
      </c>
      <c r="B51" s="3" t="s">
        <v>128</v>
      </c>
      <c r="C51" s="4" t="s">
        <v>193</v>
      </c>
      <c r="D51" s="5"/>
      <c r="E51" s="5" t="s">
        <v>457</v>
      </c>
    </row>
    <row r="52" spans="1:5" ht="45" x14ac:dyDescent="0.15">
      <c r="A52" s="3">
        <v>739363</v>
      </c>
      <c r="B52" s="3" t="s">
        <v>128</v>
      </c>
      <c r="C52" s="4" t="s">
        <v>194</v>
      </c>
      <c r="D52" s="5"/>
      <c r="E52" s="5" t="s">
        <v>458</v>
      </c>
    </row>
    <row r="53" spans="1:5" ht="45" x14ac:dyDescent="0.15">
      <c r="A53" s="3">
        <v>702267</v>
      </c>
      <c r="B53" s="3" t="s">
        <v>128</v>
      </c>
      <c r="C53" s="4" t="s">
        <v>195</v>
      </c>
      <c r="D53" s="5"/>
      <c r="E53" s="5" t="s">
        <v>459</v>
      </c>
    </row>
    <row r="54" spans="1:5" ht="45" x14ac:dyDescent="0.15">
      <c r="A54" s="3">
        <v>711795</v>
      </c>
      <c r="B54" s="3" t="s">
        <v>128</v>
      </c>
      <c r="C54" s="4" t="s">
        <v>196</v>
      </c>
      <c r="D54" s="5"/>
      <c r="E54" s="5" t="s">
        <v>460</v>
      </c>
    </row>
    <row r="55" spans="1:5" ht="45" x14ac:dyDescent="0.15">
      <c r="A55" s="3">
        <v>2808538</v>
      </c>
      <c r="B55" s="3" t="s">
        <v>128</v>
      </c>
      <c r="C55" s="4" t="s">
        <v>197</v>
      </c>
      <c r="D55" s="5"/>
      <c r="E55" s="5" t="s">
        <v>461</v>
      </c>
    </row>
    <row r="56" spans="1:5" ht="30" x14ac:dyDescent="0.15">
      <c r="A56" s="3">
        <v>577353</v>
      </c>
      <c r="B56" s="3" t="s">
        <v>137</v>
      </c>
      <c r="C56" s="4" t="s">
        <v>198</v>
      </c>
      <c r="D56" s="5"/>
      <c r="E56" s="5" t="s">
        <v>462</v>
      </c>
    </row>
    <row r="57" spans="1:5" ht="30" x14ac:dyDescent="0.15">
      <c r="A57" s="3">
        <v>706913</v>
      </c>
      <c r="B57" s="3" t="s">
        <v>137</v>
      </c>
      <c r="C57" s="4" t="s">
        <v>199</v>
      </c>
      <c r="D57" s="5"/>
      <c r="E57" s="5" t="s">
        <v>463</v>
      </c>
    </row>
    <row r="58" spans="1:5" ht="30" x14ac:dyDescent="0.15">
      <c r="A58" s="3">
        <v>2804657</v>
      </c>
      <c r="B58" s="3" t="s">
        <v>137</v>
      </c>
      <c r="C58" s="4" t="s">
        <v>200</v>
      </c>
      <c r="D58" s="5"/>
      <c r="E58" s="5" t="s">
        <v>464</v>
      </c>
    </row>
    <row r="59" spans="1:5" ht="30" x14ac:dyDescent="0.15">
      <c r="A59" s="3">
        <v>758618</v>
      </c>
      <c r="B59" s="3" t="s">
        <v>137</v>
      </c>
      <c r="C59" s="4" t="s">
        <v>201</v>
      </c>
      <c r="D59" s="5"/>
      <c r="E59" s="5" t="s">
        <v>465</v>
      </c>
    </row>
    <row r="60" spans="1:5" ht="30" x14ac:dyDescent="0.15">
      <c r="A60" s="3">
        <v>800197</v>
      </c>
      <c r="B60" s="3" t="s">
        <v>137</v>
      </c>
      <c r="C60" s="4" t="s">
        <v>202</v>
      </c>
      <c r="D60" s="5"/>
      <c r="E60" s="5" t="s">
        <v>466</v>
      </c>
    </row>
    <row r="61" spans="1:5" ht="30" x14ac:dyDescent="0.15">
      <c r="A61" s="3">
        <v>5015868</v>
      </c>
      <c r="B61" s="3" t="s">
        <v>137</v>
      </c>
      <c r="C61" s="4" t="s">
        <v>203</v>
      </c>
      <c r="D61" s="5"/>
      <c r="E61" s="5" t="s">
        <v>467</v>
      </c>
    </row>
    <row r="62" spans="1:5" ht="30" x14ac:dyDescent="0.15">
      <c r="A62" s="3">
        <v>5015875</v>
      </c>
      <c r="B62" s="3" t="s">
        <v>137</v>
      </c>
      <c r="C62" s="4" t="s">
        <v>204</v>
      </c>
      <c r="D62" s="5"/>
      <c r="E62" s="5" t="s">
        <v>468</v>
      </c>
    </row>
    <row r="63" spans="1:5" ht="14" x14ac:dyDescent="0.15">
      <c r="A63" s="3"/>
      <c r="B63" s="3"/>
      <c r="C63" s="4"/>
      <c r="D63" s="5"/>
    </row>
    <row r="64" spans="1:5" ht="14" x14ac:dyDescent="0.15">
      <c r="A64" s="3"/>
      <c r="B64" s="3"/>
      <c r="C64" s="4"/>
      <c r="D64" s="5"/>
    </row>
  </sheetData>
  <mergeCells count="3">
    <mergeCell ref="A1:D1"/>
    <mergeCell ref="A2:D2"/>
    <mergeCell ref="A3:D3"/>
  </mergeCells>
  <hyperlinks>
    <hyperlink ref="C5" r:id="rId1" display="https://www.linkedin.com/learning/disrupting-yourself" xr:uid="{00000000-0004-0000-0700-000000000000}"/>
    <hyperlink ref="C6" r:id="rId2" display="https://www.linkedin.com/learning/writing-recommendations" xr:uid="{00000000-0004-0000-0700-000001000000}"/>
    <hyperlink ref="C7" r:id="rId3" display="https://www.linkedin.com/learning/giving-your-elevator-pitch" xr:uid="{00000000-0004-0000-0700-000002000000}"/>
    <hyperlink ref="C8" r:id="rId4" display="https://www.linkedin.com/learning/learning-to-be-assertive" xr:uid="{00000000-0004-0000-0700-000003000000}"/>
    <hyperlink ref="C9" r:id="rId5" display="https://www.linkedin.com/learning/working-remotely-2015" xr:uid="{00000000-0004-0000-0700-000004000000}"/>
    <hyperlink ref="C10" r:id="rId6" display="https://www.linkedin.com/learning/j-t-o-donnell-on-making-recruiters-come-to-you" xr:uid="{00000000-0004-0000-0700-000005000000}"/>
    <hyperlink ref="C11" r:id="rId7" display="https://www.linkedin.com/learning/job-hunting-for-college-grads" xr:uid="{00000000-0004-0000-0700-000006000000}"/>
    <hyperlink ref="C12" r:id="rId8" display="https://www.linkedin.com/learning/finding-a-remote-job" xr:uid="{00000000-0004-0000-0700-000007000000}"/>
    <hyperlink ref="C13" r:id="rId9" display="https://www.linkedin.com/learning/mastering-common-interview-questions" xr:uid="{00000000-0004-0000-0700-000008000000}"/>
    <hyperlink ref="C40" r:id="rId10" display="https://www.linkedin.com/learning/turning-an-internship-into-a-job" xr:uid="{00000000-0004-0000-0700-000009000000}"/>
    <hyperlink ref="C14" r:id="rId11" display="https://www.linkedin.com/learning/recovering-from-a-layoff" xr:uid="{00000000-0004-0000-0700-00000A000000}"/>
    <hyperlink ref="C15" r:id="rId12" display="https://www.linkedin.com/learning/repairing-your-reputation" xr:uid="{00000000-0004-0000-0700-00000B000000}"/>
    <hyperlink ref="C16" r:id="rId13" display="https://www.linkedin.com/learning/succeeding-in-a-new-job" xr:uid="{00000000-0004-0000-0700-00000C000000}"/>
    <hyperlink ref="C17" r:id="rId14" display="https://www.linkedin.com/learning/transitioning-out-of-your-job" xr:uid="{00000000-0004-0000-0700-00000D000000}"/>
    <hyperlink ref="C18" r:id="rId15" display="https://www.linkedin.com/learning/florent-groberg-on-finding-your-purpose-after-active-duty" xr:uid="{00000000-0004-0000-0700-00000E000000}"/>
    <hyperlink ref="C19" r:id="rId16" display="https://www.linkedin.com/learning/finding-a-sponsor" xr:uid="{00000000-0004-0000-0700-00000F000000}"/>
    <hyperlink ref="C56" r:id="rId17" display="https://www.linkedin.com/learning/managing-up-down-and-across-the-organization" xr:uid="{00000000-0004-0000-0700-000010000000}"/>
    <hyperlink ref="C20" r:id="rId18" display="https://www.linkedin.com/learning/understanding-your-compensation-and-benefits" xr:uid="{00000000-0004-0000-0700-000011000000}"/>
    <hyperlink ref="C21" r:id="rId19" display="https://www.linkedin.com/learning/learning-to-be-promotable" xr:uid="{00000000-0004-0000-0700-000012000000}"/>
    <hyperlink ref="C22" r:id="rId20" display="https://www.linkedin.com/learning/taking-charge-of-your-career" xr:uid="{00000000-0004-0000-0700-000013000000}"/>
    <hyperlink ref="C23" r:id="rId21" display="https://www.linkedin.com/learning/internal-interviewing" xr:uid="{00000000-0004-0000-0700-000014000000}"/>
    <hyperlink ref="C24" r:id="rId22" display="https://www.linkedin.com/learning/making-a-career-change" xr:uid="{00000000-0004-0000-0700-000015000000}"/>
    <hyperlink ref="C51" r:id="rId23" display="https://www.linkedin.com/learning/work-stories-experiences-that-influence-careers" xr:uid="{00000000-0004-0000-0700-000016000000}"/>
    <hyperlink ref="C25" r:id="rId24" display="https://www.linkedin.com/learning/having-an-honest-career-conversation-with-your-boss" xr:uid="{00000000-0004-0000-0700-000017000000}"/>
    <hyperlink ref="C41" r:id="rId25" display="https://www.linkedin.com/learning/finding-a-job" xr:uid="{00000000-0004-0000-0700-000018000000}"/>
    <hyperlink ref="C42" r:id="rId26" display="https://www.linkedin.com/learning/managing-your-career-early-career" xr:uid="{00000000-0004-0000-0700-000019000000}"/>
    <hyperlink ref="C26" r:id="rId27" display="https://www.linkedin.com/learning/building-a-flexible-career" xr:uid="{00000000-0004-0000-0700-00001A000000}"/>
    <hyperlink ref="C43" r:id="rId28" display="https://www.linkedin.com/learning/how-to-develop-your-career-plan" xr:uid="{00000000-0004-0000-0700-00001B000000}"/>
    <hyperlink ref="C27" r:id="rId29" display="https://www.linkedin.com/learning/successful-goal-setting" xr:uid="{00000000-0004-0000-0700-00001C000000}"/>
    <hyperlink ref="C44" r:id="rId30" display="https://www.linkedin.com/learning/what-to-do-in-the-first-90-days-of-your-new-job" xr:uid="{00000000-0004-0000-0700-00001D000000}"/>
    <hyperlink ref="C28" r:id="rId31" display="https://www.linkedin.com/learning/how-to-quit-your-job-the-right-way" xr:uid="{00000000-0004-0000-0700-00001E000000}"/>
    <hyperlink ref="C52" r:id="rId32" display="https://www.linkedin.com/learning/linkedin-learning-highlights-finding-a-job-and-managing-your-career" xr:uid="{00000000-0004-0000-0700-00001F000000}"/>
    <hyperlink ref="C53" r:id="rId33" display="https://www.linkedin.com/learning/negotiating-your-salary-2" xr:uid="{00000000-0004-0000-0700-000020000000}"/>
    <hyperlink ref="C54" r:id="rId34" display="https://www.linkedin.com/learning/working-as-a-contract-or-temporary-employee" xr:uid="{00000000-0004-0000-0700-000021000000}"/>
    <hyperlink ref="C57" r:id="rId35" display="https://www.linkedin.com/learning/working-with-an-executive-coach" xr:uid="{00000000-0004-0000-0700-000022000000}"/>
    <hyperlink ref="C29" r:id="rId36" display="https://www.linkedin.com/learning/working-remotely-2" xr:uid="{00000000-0004-0000-0700-000023000000}"/>
    <hyperlink ref="C30" r:id="rId37" display="https://www.linkedin.com/learning/asking-for-a-raise" xr:uid="{00000000-0004-0000-0700-000024000000}"/>
    <hyperlink ref="C31" r:id="rId38" display="https://www.linkedin.com/learning/managing-career-burnout" xr:uid="{00000000-0004-0000-0700-000025000000}"/>
    <hyperlink ref="C32" r:id="rId39" display="https://www.linkedin.com/learning/how-to-be-promotable" xr:uid="{00000000-0004-0000-0700-000026000000}"/>
    <hyperlink ref="C33" r:id="rId40" display="https://www.linkedin.com/learning/how-to-give-negative-feedback-to-senior-colleagues" xr:uid="{00000000-0004-0000-0700-000027000000}"/>
    <hyperlink ref="C34" r:id="rId41" display="https://www.linkedin.com/learning/how-to-get-a-pay-raise" xr:uid="{00000000-0004-0000-0700-000028000000}"/>
    <hyperlink ref="C55" r:id="rId42" display="https://www.linkedin.com/learning/being-your-own-fierce-self-advocate" xr:uid="{00000000-0004-0000-0700-000029000000}"/>
    <hyperlink ref="C45" r:id="rId43" display="https://www.linkedin.com/learning/women-transforming-tech-voices-from-the-field" xr:uid="{00000000-0004-0000-0700-00002A000000}"/>
    <hyperlink ref="C35" r:id="rId44" display="https://www.linkedin.com/learning/returning-to-work-after-family-leave" xr:uid="{00000000-0004-0000-0700-00002B000000}"/>
    <hyperlink ref="C36" r:id="rId45" display="https://www.linkedin.com/learning/employee-to-entrepreneur" xr:uid="{00000000-0004-0000-0700-00002C000000}"/>
    <hyperlink ref="C58" r:id="rId46" display="https://www.linkedin.com/learning/women-helping-women-succeed-in-the-workplace" xr:uid="{00000000-0004-0000-0700-00002D000000}"/>
    <hyperlink ref="C46" r:id="rId47" display="https://www.linkedin.com/learning/take-a-holistic-approach-to-advancing-your-career" xr:uid="{00000000-0004-0000-0700-00002E000000}"/>
    <hyperlink ref="C59" r:id="rId48" display="https://www.linkedin.com/learning/critical-roles-consultants-play-and-the-skills-you-need-to-fill-them" xr:uid="{00000000-0004-0000-0700-00002F000000}"/>
    <hyperlink ref="C47" r:id="rId49" display="https://www.linkedin.com/learning/preparing-for-your-review-2" xr:uid="{00000000-0004-0000-0700-000030000000}"/>
    <hyperlink ref="C37" r:id="rId50" display="https://www.linkedin.com/learning/marci-alboher-on-encore-careers" xr:uid="{00000000-0004-0000-0700-000031000000}"/>
    <hyperlink ref="C48" r:id="rId51" display="https://www.linkedin.com/learning/rocking-your-first-retail-sales-job" xr:uid="{00000000-0004-0000-0700-000032000000}"/>
    <hyperlink ref="C49" r:id="rId52" display="https://www.linkedin.com/learning/managing-your-career-as-an-introvert" xr:uid="{00000000-0004-0000-0700-000033000000}"/>
    <hyperlink ref="C38" r:id="rId53" display="https://www.linkedin.com/learning/career-advice-from-some-of-the-biggest-names-in-business" xr:uid="{00000000-0004-0000-0700-000034000000}"/>
    <hyperlink ref="C50" r:id="rId54" display="https://www.linkedin.com/learning/building-professional-relationships" xr:uid="{00000000-0004-0000-0700-000035000000}"/>
    <hyperlink ref="C39" r:id="rId55" display="https://www.linkedin.com/learning/become-a-chief-of-staff-with-brian-rumao" xr:uid="{00000000-0004-0000-0700-000036000000}"/>
    <hyperlink ref="C60" r:id="rId56" display="https://www.linkedin.com/learning/leadership-strategies-for-women" xr:uid="{00000000-0004-0000-0700-000037000000}"/>
    <hyperlink ref="C61" r:id="rId57" display="https://www.linkedin.com/learning/extreme-productivity-blinkist" xr:uid="{00000000-0004-0000-0700-000038000000}"/>
    <hyperlink ref="C62" r:id="rId58" display="https://www.linkedin.com/learning/pivot-the-only-move-that-matters-is-your-next-one-blinkist" xr:uid="{00000000-0004-0000-0700-000039000000}"/>
    <hyperlink ref="D5" r:id="rId59" xr:uid="{00000000-0004-0000-0700-00003A000000}"/>
    <hyperlink ref="D6" r:id="rId60" xr:uid="{00000000-0004-0000-0700-00003B000000}"/>
    <hyperlink ref="D7" r:id="rId61" xr:uid="{00000000-0004-0000-0700-00003C000000}"/>
    <hyperlink ref="D8" r:id="rId62" xr:uid="{00000000-0004-0000-0700-00003D000000}"/>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theme="4"/>
  </sheetPr>
  <dimension ref="A1:F101"/>
  <sheetViews>
    <sheetView workbookViewId="0">
      <selection activeCell="A2" sqref="A2:D2"/>
    </sheetView>
  </sheetViews>
  <sheetFormatPr baseColWidth="10" defaultColWidth="8.83203125" defaultRowHeight="13" x14ac:dyDescent="0.15"/>
  <cols>
    <col min="1" max="1" width="13.5" customWidth="1"/>
    <col min="2" max="2" width="18" customWidth="1"/>
    <col min="3" max="3" width="36.83203125" customWidth="1"/>
    <col min="4" max="4" width="37.5" customWidth="1"/>
    <col min="5" max="5" width="74.1640625" bestFit="1" customWidth="1"/>
    <col min="6" max="6" width="81.5" bestFit="1" customWidth="1"/>
  </cols>
  <sheetData>
    <row r="1" spans="1:6" ht="31" customHeight="1" x14ac:dyDescent="0.15">
      <c r="A1" s="47" t="s">
        <v>4</v>
      </c>
      <c r="B1" s="41"/>
      <c r="C1" s="41"/>
      <c r="D1" s="41"/>
    </row>
    <row r="2" spans="1:6" x14ac:dyDescent="0.15">
      <c r="A2" s="40" t="s">
        <v>6</v>
      </c>
      <c r="B2" s="41"/>
      <c r="C2" s="41"/>
      <c r="D2" s="41"/>
      <c r="E2" s="29"/>
    </row>
    <row r="3" spans="1:6" ht="41.5" customHeight="1" x14ac:dyDescent="0.15">
      <c r="A3" s="48" t="str">
        <f ca="1">IFERROR(__xludf.DUMMYFUNCTION("IFERROR(UNIQUE(FILTER('Top 25 Competency Collections'!O:O,'Top 25 Competency Collections'!A:A= K1)))"),"Managing Diversity, Leveraging Diversity, Values Differences, Equity, Empathy")</f>
        <v>Managing Diversity, Leveraging Diversity, Values Differences, Equity, Empathy</v>
      </c>
      <c r="B3" s="41"/>
      <c r="C3" s="41"/>
      <c r="D3" s="41"/>
    </row>
    <row r="4" spans="1:6" ht="14" x14ac:dyDescent="0.15">
      <c r="A4" s="2" t="s">
        <v>7</v>
      </c>
      <c r="B4" s="2" t="s">
        <v>8</v>
      </c>
      <c r="C4" s="2" t="s">
        <v>9</v>
      </c>
      <c r="D4" s="2" t="s">
        <v>10</v>
      </c>
      <c r="E4" s="36" t="s">
        <v>297</v>
      </c>
      <c r="F4" s="36" t="s">
        <v>261</v>
      </c>
    </row>
    <row r="5" spans="1:6" ht="15" x14ac:dyDescent="0.15">
      <c r="A5" s="3">
        <f ca="1">IFERROR(__xludf.DUMMYFUNCTION("FILTER('All Competencies'!B:B,'All Competencies'!A:A=K1)"),373562)</f>
        <v>373562</v>
      </c>
      <c r="B5" s="3" t="str">
        <f ca="1">IFERROR(__xludf.DUMMYFUNCTION("FILTER('All Competencies'!C:C,'All Competencies'!A:A=K1)"),"Advanced")</f>
        <v>Advanced</v>
      </c>
      <c r="C5" s="4" t="str">
        <f ca="1">IFERROR(__xludf.DUMMYFUNCTION("FILTER('All Competencies'!D:D,'All Competencies'!A:A=K1)"),"Global Strategy")</f>
        <v>Global Strategy</v>
      </c>
      <c r="D5" s="5" t="str">
        <f ca="1">IFERROR(__xludf.DUMMYFUNCTION("FILTER('All Competencies'!E:E,'All Competencies'!A:A=K1)"),"Become an Inclusive Leader")</f>
        <v>Become an Inclusive Leader</v>
      </c>
      <c r="E5" s="5" t="s">
        <v>473</v>
      </c>
      <c r="F5" s="31" t="s">
        <v>263</v>
      </c>
    </row>
    <row r="6" spans="1:6" ht="15" x14ac:dyDescent="0.15">
      <c r="A6" s="3">
        <f ca="1">IFERROR(__xludf.DUMMYFUNCTION("""COMPUTED_VALUE"""),645013)</f>
        <v>645013</v>
      </c>
      <c r="B6" s="3" t="str">
        <f ca="1">IFERROR(__xludf.DUMMYFUNCTION("""COMPUTED_VALUE"""),"Advanced")</f>
        <v>Advanced</v>
      </c>
      <c r="C6" s="4" t="str">
        <f ca="1">IFERROR(__xludf.DUMMYFUNCTION("""COMPUTED_VALUE"""),"Inclusive Leadership")</f>
        <v>Inclusive Leadership</v>
      </c>
      <c r="D6" s="13" t="str">
        <f ca="1">IFERROR(__xludf.DUMMYFUNCTION("""COMPUTED_VALUE"""),"")</f>
        <v/>
      </c>
      <c r="E6" s="5" t="s">
        <v>348</v>
      </c>
      <c r="F6" s="5"/>
    </row>
    <row r="7" spans="1:6" ht="15" x14ac:dyDescent="0.15">
      <c r="A7" s="3">
        <f ca="1">IFERROR(__xludf.DUMMYFUNCTION("""COMPUTED_VALUE"""),706917)</f>
        <v>706917</v>
      </c>
      <c r="B7" s="3" t="str">
        <f ca="1">IFERROR(__xludf.DUMMYFUNCTION("""COMPUTED_VALUE"""),"Advanced")</f>
        <v>Advanced</v>
      </c>
      <c r="C7" s="4" t="str">
        <f ca="1">IFERROR(__xludf.DUMMYFUNCTION("""COMPUTED_VALUE"""),"Leading Globally")</f>
        <v>Leading Globally</v>
      </c>
      <c r="D7" s="13" t="str">
        <f ca="1">IFERROR(__xludf.DUMMYFUNCTION("""COMPUTED_VALUE"""),"")</f>
        <v/>
      </c>
      <c r="E7" s="5" t="s">
        <v>474</v>
      </c>
      <c r="F7" s="5"/>
    </row>
    <row r="8" spans="1:6" ht="30" x14ac:dyDescent="0.15">
      <c r="A8" s="3">
        <f ca="1">IFERROR(__xludf.DUMMYFUNCTION("""COMPUTED_VALUE"""),5028612)</f>
        <v>5028612</v>
      </c>
      <c r="B8" s="3" t="str">
        <f ca="1">IFERROR(__xludf.DUMMYFUNCTION("""COMPUTED_VALUE"""),"All levels")</f>
        <v>All levels</v>
      </c>
      <c r="C8" s="4" t="str">
        <f ca="1">IFERROR(__xludf.DUMMYFUNCTION("""COMPUTED_VALUE"""),"Bystander Training: From Bystander to Upstander")</f>
        <v>Bystander Training: From Bystander to Upstander</v>
      </c>
      <c r="D8" s="13" t="str">
        <f ca="1">IFERROR(__xludf.DUMMYFUNCTION("""COMPUTED_VALUE"""),"")</f>
        <v/>
      </c>
      <c r="E8" s="5" t="s">
        <v>475</v>
      </c>
      <c r="F8" s="5"/>
    </row>
    <row r="9" spans="1:6" ht="30" x14ac:dyDescent="0.15">
      <c r="A9" s="3">
        <f ca="1">IFERROR(__xludf.DUMMYFUNCTION("""COMPUTED_VALUE"""),779733)</f>
        <v>779733</v>
      </c>
      <c r="B9" s="3" t="str">
        <f ca="1">IFERROR(__xludf.DUMMYFUNCTION("""COMPUTED_VALUE"""),"All levels")</f>
        <v>All levels</v>
      </c>
      <c r="C9" s="4" t="str">
        <f ca="1">IFERROR(__xludf.DUMMYFUNCTION("""COMPUTED_VALUE"""),"Cultivating Cultural Competence and Inclusion")</f>
        <v>Cultivating Cultural Competence and Inclusion</v>
      </c>
      <c r="D9" s="13" t="str">
        <f ca="1">IFERROR(__xludf.DUMMYFUNCTION("""COMPUTED_VALUE"""),"")</f>
        <v/>
      </c>
      <c r="E9" s="5" t="s">
        <v>476</v>
      </c>
      <c r="F9" s="5"/>
    </row>
    <row r="10" spans="1:6" ht="30" x14ac:dyDescent="0.15">
      <c r="A10" s="3">
        <f ca="1">IFERROR(__xludf.DUMMYFUNCTION("""COMPUTED_VALUE"""),5040392)</f>
        <v>5040392</v>
      </c>
      <c r="B10" s="3" t="str">
        <f ca="1">IFERROR(__xludf.DUMMYFUNCTION("""COMPUTED_VALUE"""),"All levels")</f>
        <v>All levels</v>
      </c>
      <c r="C10" s="4" t="str">
        <f ca="1">IFERROR(__xludf.DUMMYFUNCTION("""COMPUTED_VALUE"""),"Fighting Gender Bias at Work")</f>
        <v>Fighting Gender Bias at Work</v>
      </c>
      <c r="D10" s="13" t="str">
        <f ca="1">IFERROR(__xludf.DUMMYFUNCTION("""COMPUTED_VALUE"""),"")</f>
        <v/>
      </c>
      <c r="E10" s="5" t="s">
        <v>477</v>
      </c>
      <c r="F10" s="5"/>
    </row>
    <row r="11" spans="1:6" ht="30" x14ac:dyDescent="0.15">
      <c r="A11" s="3">
        <f ca="1">IFERROR(__xludf.DUMMYFUNCTION("""COMPUTED_VALUE"""),716048)</f>
        <v>716048</v>
      </c>
      <c r="B11" s="3" t="str">
        <f ca="1">IFERROR(__xludf.DUMMYFUNCTION("""COMPUTED_VALUE"""),"All levels")</f>
        <v>All levels</v>
      </c>
      <c r="C11" s="4" t="str">
        <f ca="1">IFERROR(__xludf.DUMMYFUNCTION("""COMPUTED_VALUE"""),"Preventing Harassment in the Workplace")</f>
        <v>Preventing Harassment in the Workplace</v>
      </c>
      <c r="D11" s="13" t="str">
        <f ca="1">IFERROR(__xludf.DUMMYFUNCTION("""COMPUTED_VALUE"""),"")</f>
        <v/>
      </c>
      <c r="E11" s="5" t="s">
        <v>478</v>
      </c>
      <c r="F11" s="5"/>
    </row>
    <row r="12" spans="1:6" ht="30" x14ac:dyDescent="0.15">
      <c r="A12" s="3">
        <f ca="1">IFERROR(__xludf.DUMMYFUNCTION("""COMPUTED_VALUE"""),5025098)</f>
        <v>5025098</v>
      </c>
      <c r="B12" s="3" t="str">
        <f ca="1">IFERROR(__xludf.DUMMYFUNCTION("""COMPUTED_VALUE"""),"All levels")</f>
        <v>All levels</v>
      </c>
      <c r="C12" s="4" t="str">
        <f ca="1">IFERROR(__xludf.DUMMYFUNCTION("""COMPUTED_VALUE"""),"Skills for Inclusive Conversations")</f>
        <v>Skills for Inclusive Conversations</v>
      </c>
      <c r="D12" s="13" t="str">
        <f ca="1">IFERROR(__xludf.DUMMYFUNCTION("""COMPUTED_VALUE"""),"")</f>
        <v/>
      </c>
      <c r="E12" s="5" t="s">
        <v>479</v>
      </c>
      <c r="F12" s="5"/>
    </row>
    <row r="13" spans="1:6" ht="30" x14ac:dyDescent="0.15">
      <c r="A13" s="3">
        <f ca="1">IFERROR(__xludf.DUMMYFUNCTION("""COMPUTED_VALUE"""),746261)</f>
        <v>746261</v>
      </c>
      <c r="B13" s="3" t="str">
        <f ca="1">IFERROR(__xludf.DUMMYFUNCTION("""COMPUTED_VALUE"""),"Beginner")</f>
        <v>Beginner</v>
      </c>
      <c r="C13" s="4" t="str">
        <f ca="1">IFERROR(__xludf.DUMMYFUNCTION("""COMPUTED_VALUE"""),"Communicating Across Cultures")</f>
        <v>Communicating Across Cultures</v>
      </c>
      <c r="D13" s="13" t="str">
        <f ca="1">IFERROR(__xludf.DUMMYFUNCTION("""COMPUTED_VALUE"""),"")</f>
        <v/>
      </c>
      <c r="E13" s="5" t="s">
        <v>480</v>
      </c>
      <c r="F13" s="5"/>
    </row>
    <row r="14" spans="1:6" ht="30" x14ac:dyDescent="0.15">
      <c r="A14" s="3">
        <f ca="1">IFERROR(__xludf.DUMMYFUNCTION("""COMPUTED_VALUE"""),704110)</f>
        <v>704110</v>
      </c>
      <c r="B14" s="3" t="str">
        <f ca="1">IFERROR(__xludf.DUMMYFUNCTION("""COMPUTED_VALUE"""),"Beginner")</f>
        <v>Beginner</v>
      </c>
      <c r="C14" s="4" t="str">
        <f ca="1">IFERROR(__xludf.DUMMYFUNCTION("""COMPUTED_VALUE"""),"Confronting Bias: Thriving Across Our Differences")</f>
        <v>Confronting Bias: Thriving Across Our Differences</v>
      </c>
      <c r="D14" s="13" t="str">
        <f ca="1">IFERROR(__xludf.DUMMYFUNCTION("""COMPUTED_VALUE"""),"")</f>
        <v/>
      </c>
      <c r="E14" s="5" t="s">
        <v>481</v>
      </c>
      <c r="F14" s="5"/>
    </row>
    <row r="15" spans="1:6" ht="30" x14ac:dyDescent="0.15">
      <c r="A15" s="3">
        <f ca="1">IFERROR(__xludf.DUMMYFUNCTION("""COMPUTED_VALUE"""),642484)</f>
        <v>642484</v>
      </c>
      <c r="B15" s="3" t="str">
        <f ca="1">IFERROR(__xludf.DUMMYFUNCTION("""COMPUTED_VALUE"""),"Beginner")</f>
        <v>Beginner</v>
      </c>
      <c r="C15" s="4" t="str">
        <f ca="1">IFERROR(__xludf.DUMMYFUNCTION("""COMPUTED_VALUE"""),"Creating Change: Diversity and Inclusion in the Tech Industry")</f>
        <v>Creating Change: Diversity and Inclusion in the Tech Industry</v>
      </c>
      <c r="D15" s="13" t="str">
        <f ca="1">IFERROR(__xludf.DUMMYFUNCTION("""COMPUTED_VALUE"""),"")</f>
        <v/>
      </c>
      <c r="E15" s="5" t="s">
        <v>482</v>
      </c>
      <c r="F15" s="5"/>
    </row>
    <row r="16" spans="1:6" ht="30" x14ac:dyDescent="0.15">
      <c r="A16" s="3">
        <f ca="1">IFERROR(__xludf.DUMMYFUNCTION("""COMPUTED_VALUE"""),779733)</f>
        <v>779733</v>
      </c>
      <c r="B16" s="3" t="str">
        <f ca="1">IFERROR(__xludf.DUMMYFUNCTION("""COMPUTED_VALUE"""),"Beginner")</f>
        <v>Beginner</v>
      </c>
      <c r="C16" s="4" t="str">
        <f ca="1">IFERROR(__xludf.DUMMYFUNCTION("""COMPUTED_VALUE"""),"Cultivating Cultural Competence and Inclusion")</f>
        <v>Cultivating Cultural Competence and Inclusion</v>
      </c>
      <c r="D16" s="13" t="str">
        <f ca="1">IFERROR(__xludf.DUMMYFUNCTION("""COMPUTED_VALUE"""),"")</f>
        <v/>
      </c>
      <c r="E16" s="5" t="s">
        <v>476</v>
      </c>
      <c r="F16" s="5"/>
    </row>
    <row r="17" spans="1:6" ht="30" x14ac:dyDescent="0.15">
      <c r="A17" s="3">
        <f ca="1">IFERROR(__xludf.DUMMYFUNCTION("""COMPUTED_VALUE"""),373788)</f>
        <v>373788</v>
      </c>
      <c r="B17" s="3" t="str">
        <f ca="1">IFERROR(__xludf.DUMMYFUNCTION("""COMPUTED_VALUE"""),"Beginner")</f>
        <v>Beginner</v>
      </c>
      <c r="C17" s="4" t="str">
        <f ca="1">IFERROR(__xludf.DUMMYFUNCTION("""COMPUTED_VALUE"""),"Developing Cross-Cultural Intelligence")</f>
        <v>Developing Cross-Cultural Intelligence</v>
      </c>
      <c r="D17" s="13" t="str">
        <f ca="1">IFERROR(__xludf.DUMMYFUNCTION("""COMPUTED_VALUE"""),"")</f>
        <v/>
      </c>
      <c r="E17" s="5" t="s">
        <v>483</v>
      </c>
      <c r="F17" s="5"/>
    </row>
    <row r="18" spans="1:6" ht="30" x14ac:dyDescent="0.15">
      <c r="A18" s="3">
        <f ca="1">IFERROR(__xludf.DUMMYFUNCTION("""COMPUTED_VALUE"""),664811)</f>
        <v>664811</v>
      </c>
      <c r="B18" s="3" t="str">
        <f ca="1">IFERROR(__xludf.DUMMYFUNCTION("""COMPUTED_VALUE"""),"Beginner")</f>
        <v>Beginner</v>
      </c>
      <c r="C18" s="4" t="str">
        <f ca="1">IFERROR(__xludf.DUMMYFUNCTION("""COMPUTED_VALUE"""),"Diversity and Inclusion in a Global Enterprise")</f>
        <v>Diversity and Inclusion in a Global Enterprise</v>
      </c>
      <c r="D18" s="13" t="str">
        <f ca="1">IFERROR(__xludf.DUMMYFUNCTION("""COMPUTED_VALUE"""),"")</f>
        <v/>
      </c>
      <c r="E18" s="5" t="s">
        <v>484</v>
      </c>
      <c r="F18" s="5"/>
    </row>
    <row r="19" spans="1:6" ht="30" x14ac:dyDescent="0.15">
      <c r="A19" s="3">
        <f ca="1">IFERROR(__xludf.DUMMYFUNCTION("""COMPUTED_VALUE"""),612172)</f>
        <v>612172</v>
      </c>
      <c r="B19" s="3" t="str">
        <f ca="1">IFERROR(__xludf.DUMMYFUNCTION("""COMPUTED_VALUE"""),"Beginner")</f>
        <v>Beginner</v>
      </c>
      <c r="C19" s="4" t="str">
        <f ca="1">IFERROR(__xludf.DUMMYFUNCTION("""COMPUTED_VALUE"""),"Diversity, Inclusion, and Belonging")</f>
        <v>Diversity, Inclusion, and Belonging</v>
      </c>
      <c r="D19" s="13" t="str">
        <f ca="1">IFERROR(__xludf.DUMMYFUNCTION("""COMPUTED_VALUE"""),"")</f>
        <v/>
      </c>
      <c r="E19" s="5" t="s">
        <v>485</v>
      </c>
      <c r="F19" s="5"/>
    </row>
    <row r="20" spans="1:6" ht="30" x14ac:dyDescent="0.15">
      <c r="A20" s="3">
        <f ca="1">IFERROR(__xludf.DUMMYFUNCTION("""COMPUTED_VALUE"""),2802469)</f>
        <v>2802469</v>
      </c>
      <c r="B20" s="3" t="str">
        <f ca="1">IFERROR(__xludf.DUMMYFUNCTION("""COMPUTED_VALUE"""),"Beginner")</f>
        <v>Beginner</v>
      </c>
      <c r="C20" s="4" t="str">
        <f ca="1">IFERROR(__xludf.DUMMYFUNCTION("""COMPUTED_VALUE"""),"Diversity: The Best Resource for Achieving Business Goals")</f>
        <v>Diversity: The Best Resource for Achieving Business Goals</v>
      </c>
      <c r="D20" s="13" t="str">
        <f ca="1">IFERROR(__xludf.DUMMYFUNCTION("""COMPUTED_VALUE"""),"")</f>
        <v/>
      </c>
      <c r="E20" s="5" t="s">
        <v>486</v>
      </c>
      <c r="F20" s="5"/>
    </row>
    <row r="21" spans="1:6" ht="30" x14ac:dyDescent="0.15">
      <c r="A21" s="3">
        <f ca="1">IFERROR(__xludf.DUMMYFUNCTION("""COMPUTED_VALUE"""),794118)</f>
        <v>794118</v>
      </c>
      <c r="B21" s="3" t="str">
        <f ca="1">IFERROR(__xludf.DUMMYFUNCTION("""COMPUTED_VALUE"""),"Beginner")</f>
        <v>Beginner</v>
      </c>
      <c r="C21" s="4" t="str">
        <f ca="1">IFERROR(__xludf.DUMMYFUNCTION("""COMPUTED_VALUE"""),"Teaching Civility in the Workplace")</f>
        <v>Teaching Civility in the Workplace</v>
      </c>
      <c r="D21" s="13" t="str">
        <f ca="1">IFERROR(__xludf.DUMMYFUNCTION("""COMPUTED_VALUE"""),"")</f>
        <v/>
      </c>
      <c r="E21" s="5" t="s">
        <v>487</v>
      </c>
      <c r="F21" s="5"/>
    </row>
    <row r="22" spans="1:6" ht="30" x14ac:dyDescent="0.15">
      <c r="A22" s="3">
        <f ca="1">IFERROR(__xludf.DUMMYFUNCTION("""COMPUTED_VALUE"""),758621)</f>
        <v>758621</v>
      </c>
      <c r="B22" s="3" t="str">
        <f ca="1">IFERROR(__xludf.DUMMYFUNCTION("""COMPUTED_VALUE"""),"Beginner, Intermediate")</f>
        <v>Beginner, Intermediate</v>
      </c>
      <c r="C22" s="4" t="str">
        <f ca="1">IFERROR(__xludf.DUMMYFUNCTION("""COMPUTED_VALUE"""),"Multinational Communication in the Workplace")</f>
        <v>Multinational Communication in the Workplace</v>
      </c>
      <c r="D22" s="13" t="str">
        <f ca="1">IFERROR(__xludf.DUMMYFUNCTION("""COMPUTED_VALUE"""),"")</f>
        <v/>
      </c>
      <c r="E22" s="5" t="s">
        <v>488</v>
      </c>
      <c r="F22" s="5"/>
    </row>
    <row r="23" spans="1:6" ht="30" x14ac:dyDescent="0.15">
      <c r="A23" s="3">
        <f ca="1">IFERROR(__xludf.DUMMYFUNCTION("""COMPUTED_VALUE"""),664802)</f>
        <v>664802</v>
      </c>
      <c r="B23" s="3" t="str">
        <f ca="1">IFERROR(__xludf.DUMMYFUNCTION("""COMPUTED_VALUE"""),"Intermediate")</f>
        <v>Intermediate</v>
      </c>
      <c r="C23" s="4" t="str">
        <f ca="1">IFERROR(__xludf.DUMMYFUNCTION("""COMPUTED_VALUE"""),"Communicating about Culturally Sensitive Issues")</f>
        <v>Communicating about Culturally Sensitive Issues</v>
      </c>
      <c r="D23" s="13" t="str">
        <f ca="1">IFERROR(__xludf.DUMMYFUNCTION("""COMPUTED_VALUE"""),"")</f>
        <v/>
      </c>
      <c r="E23" s="5" t="s">
        <v>489</v>
      </c>
      <c r="F23" s="5"/>
    </row>
    <row r="24" spans="1:6" ht="15" x14ac:dyDescent="0.15">
      <c r="A24" s="3">
        <f ca="1">IFERROR(__xludf.DUMMYFUNCTION("""COMPUTED_VALUE"""),784280)</f>
        <v>784280</v>
      </c>
      <c r="B24" s="3" t="str">
        <f ca="1">IFERROR(__xludf.DUMMYFUNCTION("""COMPUTED_VALUE"""),"Intermediate")</f>
        <v>Intermediate</v>
      </c>
      <c r="C24" s="4" t="str">
        <f ca="1">IFERROR(__xludf.DUMMYFUNCTION("""COMPUTED_VALUE"""),"Leading Inclusive Teams")</f>
        <v>Leading Inclusive Teams</v>
      </c>
      <c r="D24" s="13" t="str">
        <f ca="1">IFERROR(__xludf.DUMMYFUNCTION("""COMPUTED_VALUE"""),"")</f>
        <v/>
      </c>
      <c r="E24" s="5" t="s">
        <v>335</v>
      </c>
      <c r="F24" s="5"/>
    </row>
    <row r="25" spans="1:6" ht="30" x14ac:dyDescent="0.15">
      <c r="A25" s="3">
        <f ca="1">IFERROR(__xludf.DUMMYFUNCTION("""COMPUTED_VALUE"""),625917)</f>
        <v>625917</v>
      </c>
      <c r="B25" s="3" t="str">
        <f ca="1">IFERROR(__xludf.DUMMYFUNCTION("""COMPUTED_VALUE"""),"Intermediate")</f>
        <v>Intermediate</v>
      </c>
      <c r="C25" s="4" t="str">
        <f ca="1">IFERROR(__xludf.DUMMYFUNCTION("""COMPUTED_VALUE"""),"Managing a Multigenerational Workforce")</f>
        <v>Managing a Multigenerational Workforce</v>
      </c>
      <c r="D25" s="13" t="str">
        <f ca="1">IFERROR(__xludf.DUMMYFUNCTION("""COMPUTED_VALUE"""),"")</f>
        <v/>
      </c>
      <c r="E25" s="5" t="s">
        <v>490</v>
      </c>
      <c r="F25" s="5"/>
    </row>
    <row r="26" spans="1:6" ht="15" x14ac:dyDescent="0.15">
      <c r="A26" s="3">
        <f ca="1">IFERROR(__xludf.DUMMYFUNCTION("""COMPUTED_VALUE"""),384680)</f>
        <v>384680</v>
      </c>
      <c r="B26" s="3" t="str">
        <f ca="1">IFERROR(__xludf.DUMMYFUNCTION("""COMPUTED_VALUE"""),"Intermediate")</f>
        <v>Intermediate</v>
      </c>
      <c r="C26" s="4" t="str">
        <f ca="1">IFERROR(__xludf.DUMMYFUNCTION("""COMPUTED_VALUE"""),"Managing Diversity")</f>
        <v>Managing Diversity</v>
      </c>
      <c r="D26" s="13" t="str">
        <f ca="1">IFERROR(__xludf.DUMMYFUNCTION("""COMPUTED_VALUE"""),"")</f>
        <v/>
      </c>
      <c r="E26" s="5" t="s">
        <v>491</v>
      </c>
      <c r="F26" s="5"/>
    </row>
    <row r="27" spans="1:6" ht="30" x14ac:dyDescent="0.15">
      <c r="A27" s="3">
        <f ca="1">IFERROR(__xludf.DUMMYFUNCTION("""COMPUTED_VALUE"""),169622)</f>
        <v>169622</v>
      </c>
      <c r="B27" s="3" t="str">
        <f ca="1">IFERROR(__xludf.DUMMYFUNCTION("""COMPUTED_VALUE"""),"Intermediate")</f>
        <v>Intermediate</v>
      </c>
      <c r="C27" s="4" t="str">
        <f ca="1">IFERROR(__xludf.DUMMYFUNCTION("""COMPUTED_VALUE"""),"Managing Multiple Generations")</f>
        <v>Managing Multiple Generations</v>
      </c>
      <c r="D27" s="13" t="str">
        <f ca="1">IFERROR(__xludf.DUMMYFUNCTION("""COMPUTED_VALUE"""),"")</f>
        <v/>
      </c>
      <c r="E27" s="5" t="s">
        <v>492</v>
      </c>
      <c r="F27" s="5"/>
    </row>
    <row r="28" spans="1:6" ht="15" x14ac:dyDescent="0.15">
      <c r="A28" s="3">
        <f ca="1">IFERROR(__xludf.DUMMYFUNCTION("""COMPUTED_VALUE"""),515183)</f>
        <v>515183</v>
      </c>
      <c r="B28" s="3" t="str">
        <f ca="1">IFERROR(__xludf.DUMMYFUNCTION("""COMPUTED_VALUE"""),"Intermediate")</f>
        <v>Intermediate</v>
      </c>
      <c r="C28" s="4" t="str">
        <f ca="1">IFERROR(__xludf.DUMMYFUNCTION("""COMPUTED_VALUE"""),"Unconscious Bias")</f>
        <v>Unconscious Bias</v>
      </c>
      <c r="D28" s="13" t="str">
        <f ca="1">IFERROR(__xludf.DUMMYFUNCTION("""COMPUTED_VALUE"""),"")</f>
        <v/>
      </c>
      <c r="E28" s="5" t="s">
        <v>493</v>
      </c>
      <c r="F28" s="5"/>
    </row>
    <row r="29" spans="1:6" ht="30" x14ac:dyDescent="0.15">
      <c r="A29" s="3">
        <f ca="1">IFERROR(__xludf.DUMMYFUNCTION("""COMPUTED_VALUE"""),656779)</f>
        <v>656779</v>
      </c>
      <c r="B29" s="3" t="str">
        <f ca="1">IFERROR(__xludf.DUMMYFUNCTION("""COMPUTED_VALUE"""),"Intermediate, Advanced")</f>
        <v>Intermediate, Advanced</v>
      </c>
      <c r="C29" s="4" t="str">
        <f ca="1">IFERROR(__xludf.DUMMYFUNCTION("""COMPUTED_VALUE"""),"Managing a Diverse Team")</f>
        <v>Managing a Diverse Team</v>
      </c>
      <c r="D29" s="13" t="str">
        <f ca="1">IFERROR(__xludf.DUMMYFUNCTION("""COMPUTED_VALUE"""),"")</f>
        <v/>
      </c>
      <c r="E29" s="5" t="s">
        <v>494</v>
      </c>
      <c r="F29" s="5"/>
    </row>
    <row r="30" spans="1:6" ht="14" x14ac:dyDescent="0.15">
      <c r="A30" s="3"/>
      <c r="B30" s="3"/>
      <c r="C30" s="16"/>
      <c r="D30" s="13"/>
    </row>
    <row r="31" spans="1:6" ht="14" x14ac:dyDescent="0.15">
      <c r="A31" s="3"/>
      <c r="B31" s="3"/>
      <c r="C31" s="16"/>
      <c r="D31" s="13"/>
    </row>
    <row r="32" spans="1:6" ht="14" x14ac:dyDescent="0.15">
      <c r="A32" s="3"/>
      <c r="B32" s="3"/>
      <c r="C32" s="16"/>
      <c r="D32" s="13"/>
    </row>
    <row r="33" spans="1:4" ht="14" x14ac:dyDescent="0.15">
      <c r="A33" s="3"/>
      <c r="B33" s="3"/>
      <c r="C33" s="16"/>
      <c r="D33" s="13"/>
    </row>
    <row r="34" spans="1:4" ht="14" x14ac:dyDescent="0.15">
      <c r="A34" s="3"/>
      <c r="B34" s="3"/>
      <c r="C34" s="16"/>
      <c r="D34" s="13"/>
    </row>
    <row r="35" spans="1:4" ht="14" x14ac:dyDescent="0.15">
      <c r="A35" s="3"/>
      <c r="B35" s="3"/>
      <c r="C35" s="16"/>
      <c r="D35" s="13"/>
    </row>
    <row r="36" spans="1:4" ht="14" x14ac:dyDescent="0.15">
      <c r="A36" s="3"/>
      <c r="B36" s="3"/>
      <c r="C36" s="16"/>
      <c r="D36" s="13"/>
    </row>
    <row r="37" spans="1:4" ht="14" x14ac:dyDescent="0.15">
      <c r="A37" s="18"/>
      <c r="B37" s="3"/>
      <c r="C37" s="16"/>
      <c r="D37" s="13"/>
    </row>
    <row r="38" spans="1:4" ht="14" x14ac:dyDescent="0.15">
      <c r="A38" s="3"/>
      <c r="B38" s="3"/>
      <c r="C38" s="16"/>
      <c r="D38" s="13"/>
    </row>
    <row r="39" spans="1:4" ht="14" x14ac:dyDescent="0.15">
      <c r="A39" s="3"/>
      <c r="B39" s="3"/>
      <c r="C39" s="16"/>
      <c r="D39" s="13"/>
    </row>
    <row r="40" spans="1:4" ht="14" x14ac:dyDescent="0.15">
      <c r="A40" s="3"/>
      <c r="B40" s="3"/>
      <c r="C40" s="16"/>
      <c r="D40" s="13"/>
    </row>
    <row r="41" spans="1:4" ht="14" x14ac:dyDescent="0.15">
      <c r="A41" s="3"/>
      <c r="B41" s="3"/>
      <c r="C41" s="16"/>
      <c r="D41" s="13"/>
    </row>
    <row r="42" spans="1:4" ht="14" x14ac:dyDescent="0.15">
      <c r="A42" s="3"/>
      <c r="B42" s="3"/>
      <c r="C42" s="16"/>
      <c r="D42" s="13"/>
    </row>
    <row r="43" spans="1:4" ht="14" x14ac:dyDescent="0.15">
      <c r="A43" s="3"/>
      <c r="B43" s="3"/>
      <c r="C43" s="16"/>
      <c r="D43" s="13"/>
    </row>
    <row r="44" spans="1:4" ht="14" x14ac:dyDescent="0.15">
      <c r="A44" s="3"/>
      <c r="B44" s="3"/>
      <c r="C44" s="16"/>
      <c r="D44" s="13"/>
    </row>
    <row r="45" spans="1:4" ht="14" x14ac:dyDescent="0.15">
      <c r="A45" s="3"/>
      <c r="B45" s="3"/>
      <c r="C45" s="16"/>
      <c r="D45" s="13"/>
    </row>
    <row r="46" spans="1:4" ht="14" x14ac:dyDescent="0.15">
      <c r="A46" s="3"/>
      <c r="B46" s="3"/>
      <c r="C46" s="16"/>
      <c r="D46" s="13"/>
    </row>
    <row r="47" spans="1:4" ht="14" x14ac:dyDescent="0.15">
      <c r="A47" s="3"/>
      <c r="B47" s="3"/>
      <c r="C47" s="16"/>
      <c r="D47" s="13"/>
    </row>
    <row r="48" spans="1:4" ht="14" x14ac:dyDescent="0.15">
      <c r="A48" s="3"/>
      <c r="B48" s="3"/>
      <c r="C48" s="16"/>
      <c r="D48" s="13"/>
    </row>
    <row r="49" spans="1:4" ht="14" x14ac:dyDescent="0.15">
      <c r="A49" s="3"/>
      <c r="B49" s="3"/>
      <c r="C49" s="16"/>
      <c r="D49" s="13"/>
    </row>
    <row r="50" spans="1:4" ht="14" x14ac:dyDescent="0.15">
      <c r="A50" s="3"/>
      <c r="B50" s="3"/>
      <c r="C50" s="16"/>
      <c r="D50" s="13"/>
    </row>
    <row r="51" spans="1:4" ht="14" x14ac:dyDescent="0.15">
      <c r="A51" s="3"/>
      <c r="B51" s="3"/>
      <c r="C51" s="16"/>
      <c r="D51" s="13"/>
    </row>
    <row r="52" spans="1:4" ht="14" x14ac:dyDescent="0.15">
      <c r="A52" s="3"/>
      <c r="B52" s="3"/>
      <c r="C52" s="16"/>
      <c r="D52" s="13"/>
    </row>
    <row r="53" spans="1:4" ht="14" x14ac:dyDescent="0.15">
      <c r="A53" s="3"/>
      <c r="B53" s="3"/>
      <c r="C53" s="16"/>
      <c r="D53" s="13"/>
    </row>
    <row r="54" spans="1:4" ht="14" x14ac:dyDescent="0.15">
      <c r="A54" s="3"/>
      <c r="B54" s="3"/>
      <c r="C54" s="16"/>
      <c r="D54" s="13"/>
    </row>
    <row r="55" spans="1:4" ht="14" x14ac:dyDescent="0.15">
      <c r="A55" s="3"/>
      <c r="B55" s="3"/>
      <c r="C55" s="16"/>
      <c r="D55" s="13"/>
    </row>
    <row r="56" spans="1:4" ht="14" x14ac:dyDescent="0.15">
      <c r="A56" s="3"/>
      <c r="B56" s="3"/>
      <c r="C56" s="16"/>
      <c r="D56" s="13"/>
    </row>
    <row r="57" spans="1:4" ht="14" x14ac:dyDescent="0.15">
      <c r="A57" s="3"/>
      <c r="B57" s="3"/>
      <c r="C57" s="16"/>
      <c r="D57" s="13"/>
    </row>
    <row r="58" spans="1:4" ht="14" x14ac:dyDescent="0.15">
      <c r="A58" s="3"/>
      <c r="B58" s="3"/>
      <c r="C58" s="16"/>
      <c r="D58" s="13"/>
    </row>
    <row r="59" spans="1:4" ht="14" x14ac:dyDescent="0.15">
      <c r="A59" s="3"/>
      <c r="B59" s="3"/>
      <c r="C59" s="16"/>
      <c r="D59" s="13"/>
    </row>
    <row r="60" spans="1:4" ht="14" x14ac:dyDescent="0.15">
      <c r="A60" s="3"/>
      <c r="B60" s="3"/>
      <c r="C60" s="16"/>
      <c r="D60" s="13"/>
    </row>
    <row r="61" spans="1:4" ht="14" x14ac:dyDescent="0.15">
      <c r="A61" s="3"/>
      <c r="B61" s="3"/>
      <c r="C61" s="16"/>
      <c r="D61" s="13"/>
    </row>
    <row r="62" spans="1:4" ht="14" x14ac:dyDescent="0.15">
      <c r="A62" s="3"/>
      <c r="B62" s="3"/>
      <c r="C62" s="16"/>
      <c r="D62" s="13"/>
    </row>
    <row r="63" spans="1:4" ht="14" x14ac:dyDescent="0.15">
      <c r="A63" s="3"/>
      <c r="B63" s="3"/>
      <c r="C63" s="16"/>
      <c r="D63" s="13"/>
    </row>
    <row r="64" spans="1:4" ht="14" x14ac:dyDescent="0.15">
      <c r="A64" s="3"/>
      <c r="B64" s="3"/>
      <c r="C64" s="16"/>
      <c r="D64" s="13"/>
    </row>
    <row r="65" spans="1:4" ht="14" x14ac:dyDescent="0.15">
      <c r="A65" s="3"/>
      <c r="B65" s="3"/>
      <c r="C65" s="16"/>
      <c r="D65" s="13"/>
    </row>
    <row r="66" spans="1:4" ht="14" x14ac:dyDescent="0.15">
      <c r="A66" s="3"/>
      <c r="B66" s="3"/>
      <c r="C66" s="16"/>
      <c r="D66" s="13"/>
    </row>
    <row r="67" spans="1:4" ht="14" x14ac:dyDescent="0.15">
      <c r="A67" s="3"/>
      <c r="B67" s="3"/>
      <c r="C67" s="16"/>
      <c r="D67" s="13"/>
    </row>
    <row r="68" spans="1:4" ht="14" x14ac:dyDescent="0.15">
      <c r="A68" s="3"/>
      <c r="B68" s="3"/>
      <c r="C68" s="16"/>
      <c r="D68" s="13"/>
    </row>
    <row r="69" spans="1:4" ht="14" x14ac:dyDescent="0.15">
      <c r="A69" s="3"/>
      <c r="B69" s="3"/>
      <c r="C69" s="16"/>
      <c r="D69" s="13"/>
    </row>
    <row r="70" spans="1:4" ht="14" x14ac:dyDescent="0.15">
      <c r="A70" s="3"/>
      <c r="B70" s="3"/>
      <c r="C70" s="16"/>
      <c r="D70" s="13"/>
    </row>
    <row r="71" spans="1:4" ht="14" x14ac:dyDescent="0.15">
      <c r="A71" s="3"/>
      <c r="B71" s="3"/>
      <c r="C71" s="16"/>
      <c r="D71" s="13"/>
    </row>
    <row r="72" spans="1:4" ht="14" x14ac:dyDescent="0.15">
      <c r="A72" s="3"/>
      <c r="B72" s="3"/>
      <c r="C72" s="16"/>
      <c r="D72" s="13"/>
    </row>
    <row r="73" spans="1:4" ht="14" x14ac:dyDescent="0.15">
      <c r="A73" s="3"/>
      <c r="B73" s="3"/>
      <c r="C73" s="16"/>
      <c r="D73" s="13"/>
    </row>
    <row r="74" spans="1:4" ht="14" x14ac:dyDescent="0.15">
      <c r="A74" s="3"/>
      <c r="B74" s="3"/>
      <c r="C74" s="16"/>
      <c r="D74" s="13"/>
    </row>
    <row r="75" spans="1:4" ht="14" x14ac:dyDescent="0.15">
      <c r="A75" s="3"/>
      <c r="B75" s="3"/>
      <c r="C75" s="16"/>
      <c r="D75" s="13"/>
    </row>
    <row r="76" spans="1:4" ht="14" x14ac:dyDescent="0.15">
      <c r="A76" s="3"/>
      <c r="B76" s="3"/>
      <c r="C76" s="16"/>
      <c r="D76" s="13"/>
    </row>
    <row r="77" spans="1:4" ht="14" x14ac:dyDescent="0.15">
      <c r="A77" s="3"/>
      <c r="B77" s="3"/>
      <c r="C77" s="16"/>
      <c r="D77" s="13"/>
    </row>
    <row r="78" spans="1:4" ht="14" x14ac:dyDescent="0.15">
      <c r="A78" s="3"/>
      <c r="B78" s="3"/>
      <c r="C78" s="16"/>
      <c r="D78" s="13"/>
    </row>
    <row r="79" spans="1:4" ht="14" x14ac:dyDescent="0.15">
      <c r="A79" s="3"/>
      <c r="B79" s="3"/>
      <c r="C79" s="16"/>
      <c r="D79" s="13"/>
    </row>
    <row r="80" spans="1:4" ht="14" x14ac:dyDescent="0.15">
      <c r="A80" s="3"/>
      <c r="B80" s="3"/>
      <c r="C80" s="16"/>
      <c r="D80" s="13"/>
    </row>
    <row r="81" spans="1:4" ht="14" x14ac:dyDescent="0.15">
      <c r="A81" s="3"/>
      <c r="B81" s="3"/>
      <c r="C81" s="16"/>
      <c r="D81" s="13"/>
    </row>
    <row r="82" spans="1:4" ht="14" x14ac:dyDescent="0.15">
      <c r="A82" s="3"/>
      <c r="B82" s="3"/>
      <c r="C82" s="16"/>
      <c r="D82" s="13"/>
    </row>
    <row r="83" spans="1:4" ht="14" x14ac:dyDescent="0.15">
      <c r="A83" s="3"/>
      <c r="B83" s="3"/>
      <c r="C83" s="16"/>
      <c r="D83" s="13"/>
    </row>
    <row r="84" spans="1:4" ht="14" x14ac:dyDescent="0.15">
      <c r="A84" s="3"/>
      <c r="B84" s="3"/>
      <c r="C84" s="16"/>
      <c r="D84" s="13"/>
    </row>
    <row r="85" spans="1:4" ht="14" x14ac:dyDescent="0.15">
      <c r="A85" s="3"/>
      <c r="B85" s="3"/>
      <c r="C85" s="16"/>
      <c r="D85" s="13"/>
    </row>
    <row r="86" spans="1:4" ht="14" x14ac:dyDescent="0.15">
      <c r="A86" s="3"/>
      <c r="B86" s="3"/>
      <c r="C86" s="16"/>
      <c r="D86" s="13"/>
    </row>
    <row r="87" spans="1:4" ht="14" x14ac:dyDescent="0.15">
      <c r="A87" s="3"/>
      <c r="B87" s="3"/>
      <c r="C87" s="16"/>
      <c r="D87" s="13"/>
    </row>
    <row r="88" spans="1:4" ht="14" x14ac:dyDescent="0.15">
      <c r="A88" s="3"/>
      <c r="B88" s="3"/>
      <c r="C88" s="16"/>
      <c r="D88" s="13"/>
    </row>
    <row r="89" spans="1:4" ht="14" x14ac:dyDescent="0.15">
      <c r="A89" s="3"/>
      <c r="B89" s="3"/>
      <c r="C89" s="16"/>
      <c r="D89" s="13"/>
    </row>
    <row r="90" spans="1:4" ht="14" x14ac:dyDescent="0.15">
      <c r="A90" s="3"/>
      <c r="B90" s="3"/>
      <c r="C90" s="16"/>
      <c r="D90" s="13"/>
    </row>
    <row r="91" spans="1:4" ht="14" x14ac:dyDescent="0.15">
      <c r="A91" s="3"/>
      <c r="B91" s="3"/>
      <c r="C91" s="16"/>
      <c r="D91" s="13"/>
    </row>
    <row r="92" spans="1:4" ht="14" x14ac:dyDescent="0.15">
      <c r="A92" s="3"/>
      <c r="B92" s="3"/>
      <c r="C92" s="16"/>
      <c r="D92" s="13"/>
    </row>
    <row r="93" spans="1:4" ht="14" x14ac:dyDescent="0.15">
      <c r="A93" s="3"/>
      <c r="B93" s="3"/>
      <c r="C93" s="16"/>
      <c r="D93" s="13"/>
    </row>
    <row r="94" spans="1:4" ht="14" x14ac:dyDescent="0.15">
      <c r="A94" s="3"/>
      <c r="B94" s="3"/>
      <c r="C94" s="16"/>
      <c r="D94" s="13"/>
    </row>
    <row r="95" spans="1:4" ht="14" x14ac:dyDescent="0.15">
      <c r="A95" s="3"/>
      <c r="B95" s="3"/>
      <c r="C95" s="16"/>
      <c r="D95" s="13"/>
    </row>
    <row r="96" spans="1:4" ht="14" x14ac:dyDescent="0.15">
      <c r="A96" s="3"/>
      <c r="B96" s="3"/>
      <c r="C96" s="16"/>
      <c r="D96" s="13"/>
    </row>
    <row r="97" spans="1:4" ht="14" x14ac:dyDescent="0.15">
      <c r="A97" s="3"/>
      <c r="B97" s="3"/>
      <c r="C97" s="16"/>
      <c r="D97" s="13"/>
    </row>
    <row r="98" spans="1:4" ht="14" x14ac:dyDescent="0.15">
      <c r="A98" s="3"/>
      <c r="B98" s="3"/>
      <c r="C98" s="16"/>
      <c r="D98" s="13"/>
    </row>
    <row r="99" spans="1:4" ht="14" x14ac:dyDescent="0.15">
      <c r="A99" s="3"/>
      <c r="B99" s="3"/>
      <c r="C99" s="16"/>
      <c r="D99" s="13"/>
    </row>
    <row r="100" spans="1:4" ht="14" x14ac:dyDescent="0.15">
      <c r="A100" s="3"/>
      <c r="B100" s="3"/>
      <c r="C100" s="16"/>
      <c r="D100" s="13"/>
    </row>
    <row r="101" spans="1:4" ht="14" x14ac:dyDescent="0.15">
      <c r="A101" s="3"/>
      <c r="B101" s="3"/>
      <c r="C101" s="16"/>
      <c r="D101" s="13"/>
    </row>
  </sheetData>
  <mergeCells count="3">
    <mergeCell ref="A1:D1"/>
    <mergeCell ref="A2:D2"/>
    <mergeCell ref="A3:D3"/>
  </mergeCells>
  <dataValidations count="1">
    <dataValidation type="list" allowBlank="1" showErrorMessage="1" sqref="A1" xr:uid="{00000000-0002-0000-0800-000000000000}">
      <formula1>#REF!</formula1>
    </dataValidation>
  </dataValidations>
  <hyperlinks>
    <hyperlink ref="C6" r:id="rId1" display="https://www.linkedin.com/learning/inclusive-leadership" xr:uid="{00000000-0004-0000-0800-000000000000}"/>
    <hyperlink ref="C7" r:id="rId2" display="https://www.linkedin.com/learning/leading-globally" xr:uid="{00000000-0004-0000-0800-000001000000}"/>
    <hyperlink ref="C8" r:id="rId3" display="https://www.linkedin.com/learning/bystander-training-from-bystander-to-upstander" xr:uid="{00000000-0004-0000-0800-000002000000}"/>
    <hyperlink ref="C9" r:id="rId4" display="https://www.linkedin.com/learning/cultivating-cultural-competence-and-inclusion" xr:uid="{00000000-0004-0000-0800-000003000000}"/>
    <hyperlink ref="C10" r:id="rId5" display="https://www.linkedin.com/learning/fighting-gender-bias-at-work" xr:uid="{00000000-0004-0000-0800-000004000000}"/>
    <hyperlink ref="C11" r:id="rId6" display="https://www.linkedin.com/learning/preventing-harassment-in-the-workplace" xr:uid="{00000000-0004-0000-0800-000005000000}"/>
    <hyperlink ref="C12" r:id="rId7" display="https://www.linkedin.com/learning/skills-for-inclusive-conversations" xr:uid="{00000000-0004-0000-0800-000006000000}"/>
    <hyperlink ref="C13" r:id="rId8" display="https://www.linkedin.com/learning/communicating-across-cultures-2" xr:uid="{00000000-0004-0000-0800-000007000000}"/>
    <hyperlink ref="C14" r:id="rId9" display="https://www.linkedin.com/learning/confronting-bias-thriving-across-our-differences" xr:uid="{00000000-0004-0000-0800-000008000000}"/>
    <hyperlink ref="C15" r:id="rId10" display="https://www.linkedin.com/learning/creating-change-diversity-and-inclusion-in-the-tech-industry" xr:uid="{00000000-0004-0000-0800-000009000000}"/>
    <hyperlink ref="C16" r:id="rId11" display="https://www.linkedin.com/learning/cultivating-cultural-competence-and-inclusion" xr:uid="{00000000-0004-0000-0800-00000A000000}"/>
    <hyperlink ref="C17" r:id="rId12" display="https://www.linkedin.com/learning/developing-cross-cultural-intelligence" xr:uid="{00000000-0004-0000-0800-00000B000000}"/>
    <hyperlink ref="C18" r:id="rId13" display="https://www.linkedin.com/learning/diversity-and-inclusion-in-a-global-enterprise" xr:uid="{00000000-0004-0000-0800-00000C000000}"/>
    <hyperlink ref="C19" r:id="rId14" display="https://www.linkedin.com/learning/diversity-inclusion-and-belonging/welcome" xr:uid="{00000000-0004-0000-0800-00000D000000}"/>
    <hyperlink ref="C20" r:id="rId15" display="https://www.linkedin.com/learning/diversity-the-best-resource-for-achieving-business-goals" xr:uid="{00000000-0004-0000-0800-00000E000000}"/>
    <hyperlink ref="C21" r:id="rId16" display="https://www.linkedin.com/learning/teaching-civility-in-the-workplace" xr:uid="{00000000-0004-0000-0800-00000F000000}"/>
    <hyperlink ref="C22" r:id="rId17" display="https://www.linkedin.com/learning/multinational-communication-in-the-workplace" xr:uid="{00000000-0004-0000-0800-000010000000}"/>
    <hyperlink ref="C23" r:id="rId18" display="https://www.linkedin.com/learning/communicating-about-culturally-sensitive-issues" xr:uid="{00000000-0004-0000-0800-000011000000}"/>
    <hyperlink ref="C24" r:id="rId19" display="https://www.linkedin.com/learning/leading-inclusive-teams" xr:uid="{00000000-0004-0000-0800-000012000000}"/>
    <hyperlink ref="C25" r:id="rId20" display="https://www.linkedin.com/learning/managing-a-multigenerational-workforce" xr:uid="{00000000-0004-0000-0800-000013000000}"/>
    <hyperlink ref="C26" r:id="rId21" display="https://www.linkedin.com/learning/managing-diversity-2" xr:uid="{00000000-0004-0000-0800-000014000000}"/>
    <hyperlink ref="C27" r:id="rId22" display="https://www.linkedin.com/learning/managing-multiple-generations" xr:uid="{00000000-0004-0000-0800-000015000000}"/>
    <hyperlink ref="C28" r:id="rId23" display="https://www.linkedin.com/learning/unconscious-bias" xr:uid="{00000000-0004-0000-0800-000016000000}"/>
    <hyperlink ref="C29" r:id="rId24" display="https://www.linkedin.com/learning/managing-a-diverse-team" xr:uid="{00000000-0004-0000-0800-00001700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10</vt:i4>
      </vt:variant>
    </vt:vector>
  </HeadingPairs>
  <TitlesOfParts>
    <vt:vector size="10" baseType="lpstr">
      <vt:lpstr>NACE Competencies</vt:lpstr>
      <vt:lpstr>1 Critical Thinking</vt:lpstr>
      <vt:lpstr>2 Written Communication</vt:lpstr>
      <vt:lpstr>3 Collaboration &amp; Trust</vt:lpstr>
      <vt:lpstr>4 Adaptability</vt:lpstr>
      <vt:lpstr>5 Leadership</vt:lpstr>
      <vt:lpstr>6 Professionalism</vt:lpstr>
      <vt:lpstr>7 Career Management</vt:lpstr>
      <vt:lpstr>8 Intercultural Fluency</vt:lpstr>
      <vt:lpstr>LiL Top 25 Competencies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Annie Melzer</dc:creator>
  <cp:lastModifiedBy>Cyndi Hicks</cp:lastModifiedBy>
  <dcterms:created xsi:type="dcterms:W3CDTF">2019-11-06T22:44:14Z</dcterms:created>
  <dcterms:modified xsi:type="dcterms:W3CDTF">2020-04-29T17:25:20Z</dcterms:modified>
</cp:coreProperties>
</file>