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Tuition and Fees\"/>
    </mc:Choice>
  </mc:AlternateContent>
  <bookViews>
    <workbookView xWindow="0" yWindow="0" windowWidth="14370" windowHeight="11670" tabRatio="599"/>
  </bookViews>
  <sheets>
    <sheet name="Resident" sheetId="2" r:id="rId1"/>
    <sheet name="Resident Part-Time" sheetId="12" r:id="rId2"/>
    <sheet name="Non-Resident" sheetId="10" r:id="rId3"/>
    <sheet name="Non-Resident Part-Time" sheetId="11" r:id="rId4"/>
  </sheets>
  <externalReferences>
    <externalReference r:id="rId5"/>
  </externalReferences>
  <definedNames>
    <definedName name="_xlnm.Print_Area" localSheetId="2">'Non-Resident'!$A$1:$O$104</definedName>
    <definedName name="_xlnm.Print_Area" localSheetId="3">'Non-Resident Part-Time'!$A$1:$O$103</definedName>
    <definedName name="_xlnm.Print_Area" localSheetId="0">Resident!$A$1:$O$97</definedName>
    <definedName name="_xlnm.Print_Area" localSheetId="1">'Resident Part-Time'!$A$1:$O$96</definedName>
    <definedName name="_xlnm.Print_Titles" localSheetId="2">'Non-Resident'!$1:$7</definedName>
    <definedName name="_xlnm.Print_Titles" localSheetId="3">'Non-Resident Part-Time'!$1:$7</definedName>
    <definedName name="_xlnm.Print_Titles" localSheetId="0">Resident!$1:$7</definedName>
    <definedName name="_xlnm.Print_Titles" localSheetId="1">'Resident Part-Time'!$1:$7</definedName>
  </definedNames>
  <calcPr calcId="162913"/>
</workbook>
</file>

<file path=xl/calcChain.xml><?xml version="1.0" encoding="utf-8"?>
<calcChain xmlns="http://schemas.openxmlformats.org/spreadsheetml/2006/main">
  <c r="K39" i="2" l="1"/>
  <c r="K38" i="2"/>
  <c r="K37" i="2"/>
  <c r="K36" i="2"/>
  <c r="G39" i="11" l="1"/>
  <c r="H39" i="11" s="1"/>
  <c r="G38" i="11"/>
  <c r="H38" i="11" s="1"/>
  <c r="G37" i="11"/>
  <c r="H37" i="11" s="1"/>
  <c r="G36" i="11"/>
  <c r="H36" i="11" s="1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K15" i="2"/>
  <c r="J15" i="2"/>
  <c r="E33" i="2"/>
  <c r="E32" i="2"/>
  <c r="E31" i="2"/>
  <c r="E30" i="2"/>
  <c r="E15" i="2"/>
  <c r="L33" i="12"/>
  <c r="K33" i="12"/>
  <c r="J33" i="12"/>
  <c r="L32" i="12"/>
  <c r="K32" i="12"/>
  <c r="J32" i="12"/>
  <c r="L31" i="12"/>
  <c r="K31" i="12"/>
  <c r="J31" i="12"/>
  <c r="L30" i="12"/>
  <c r="K30" i="12"/>
  <c r="J30" i="12"/>
  <c r="L29" i="12"/>
  <c r="K29" i="12"/>
  <c r="L28" i="12"/>
  <c r="K28" i="12"/>
  <c r="L27" i="12"/>
  <c r="K27" i="12"/>
  <c r="L26" i="12"/>
  <c r="K26" i="12"/>
  <c r="L25" i="12"/>
  <c r="K25" i="12"/>
  <c r="L24" i="12"/>
  <c r="K24" i="12"/>
  <c r="L23" i="12"/>
  <c r="K23" i="12"/>
  <c r="L22" i="12"/>
  <c r="K22" i="12"/>
  <c r="L21" i="12"/>
  <c r="K21" i="12"/>
  <c r="L20" i="12"/>
  <c r="K20" i="12"/>
  <c r="L19" i="12"/>
  <c r="K19" i="12"/>
  <c r="L18" i="12"/>
  <c r="K18" i="12"/>
  <c r="L17" i="12"/>
  <c r="K17" i="12"/>
  <c r="L16" i="12"/>
  <c r="K16" i="12"/>
  <c r="L15" i="12"/>
  <c r="K15" i="12"/>
  <c r="E33" i="12"/>
  <c r="E32" i="12"/>
  <c r="H32" i="12" s="1"/>
  <c r="E31" i="12"/>
  <c r="H31" i="12" s="1"/>
  <c r="E30" i="12"/>
  <c r="H30" i="12"/>
  <c r="H33" i="12"/>
  <c r="I87" i="10" l="1"/>
  <c r="D87" i="10"/>
  <c r="I78" i="2"/>
  <c r="D78" i="2"/>
  <c r="I94" i="10"/>
  <c r="D94" i="10"/>
  <c r="I86" i="2"/>
  <c r="D86" i="2"/>
  <c r="D86" i="11" l="1"/>
  <c r="I86" i="11"/>
  <c r="I88" i="10"/>
  <c r="I87" i="11" s="1"/>
  <c r="D88" i="10"/>
  <c r="D87" i="11" s="1"/>
  <c r="I79" i="12"/>
  <c r="I78" i="12"/>
  <c r="I79" i="2"/>
  <c r="D79" i="2"/>
  <c r="I85" i="11" l="1"/>
  <c r="I84" i="11"/>
  <c r="I83" i="11"/>
  <c r="I82" i="11"/>
  <c r="I81" i="11"/>
  <c r="I80" i="11"/>
  <c r="I78" i="11"/>
  <c r="I75" i="11"/>
  <c r="I74" i="11"/>
  <c r="I73" i="11"/>
  <c r="I71" i="11"/>
  <c r="I70" i="11"/>
  <c r="I77" i="12"/>
  <c r="I76" i="12"/>
  <c r="I75" i="12"/>
  <c r="I74" i="12"/>
  <c r="I72" i="12"/>
  <c r="I67" i="12"/>
  <c r="I66" i="12"/>
  <c r="I65" i="12"/>
  <c r="I79" i="10"/>
  <c r="I79" i="11" s="1"/>
  <c r="I78" i="10"/>
  <c r="I77" i="10"/>
  <c r="I77" i="11" s="1"/>
  <c r="I76" i="10"/>
  <c r="I76" i="11" s="1"/>
  <c r="I81" i="10"/>
  <c r="I63" i="12" l="1"/>
  <c r="I62" i="12"/>
  <c r="I71" i="2" l="1"/>
  <c r="I71" i="12" s="1"/>
  <c r="I70" i="2"/>
  <c r="I70" i="12" s="1"/>
  <c r="I69" i="2"/>
  <c r="I69" i="12" s="1"/>
  <c r="I68" i="2" l="1"/>
  <c r="I68" i="12" s="1"/>
  <c r="I73" i="2"/>
  <c r="I73" i="12" s="1"/>
  <c r="M63" i="2" l="1"/>
  <c r="M62" i="2"/>
  <c r="K57" i="10" l="1"/>
  <c r="K42" i="10"/>
  <c r="K10" i="2" a="1"/>
  <c r="K10" i="2" s="1"/>
  <c r="K56" i="10"/>
  <c r="K54" i="10"/>
  <c r="K53" i="10"/>
  <c r="K43" i="10"/>
  <c r="K44" i="10"/>
  <c r="K52" i="10" l="1"/>
  <c r="K58" i="10"/>
  <c r="K13" i="2"/>
  <c r="K12" i="2"/>
  <c r="K11" i="2"/>
  <c r="I18" i="11" l="1"/>
  <c r="I17" i="11"/>
  <c r="I16" i="11"/>
  <c r="I15" i="11"/>
  <c r="I11" i="11"/>
  <c r="I12" i="11"/>
  <c r="I13" i="11"/>
  <c r="I10" i="11"/>
  <c r="K18" i="10"/>
  <c r="K17" i="10"/>
  <c r="K16" i="10"/>
  <c r="K15" i="10"/>
  <c r="K13" i="10"/>
  <c r="K12" i="10"/>
  <c r="K11" i="10"/>
  <c r="K10" i="10"/>
  <c r="K10" i="11" l="1"/>
  <c r="K11" i="11"/>
  <c r="K13" i="11"/>
  <c r="K12" i="11"/>
  <c r="L11" i="10" l="1"/>
  <c r="L13" i="10"/>
  <c r="L12" i="10"/>
  <c r="L10" i="10"/>
  <c r="K46" i="10"/>
  <c r="K61" i="10" s="1"/>
  <c r="K65" i="10" s="1"/>
  <c r="K47" i="10"/>
  <c r="K62" i="10" s="1"/>
  <c r="K66" i="10" s="1"/>
  <c r="K48" i="10"/>
  <c r="K63" i="10" s="1"/>
  <c r="K49" i="10"/>
  <c r="K64" i="10" s="1"/>
  <c r="K67" i="10" s="1"/>
  <c r="K70" i="10" s="1"/>
  <c r="H36" i="10"/>
  <c r="H37" i="10"/>
  <c r="H38" i="10"/>
  <c r="H39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 s="1"/>
  <c r="K36" i="10"/>
  <c r="K37" i="10"/>
  <c r="K38" i="10"/>
  <c r="K39" i="10" s="1"/>
  <c r="K20" i="10"/>
  <c r="E6" i="11" l="1"/>
  <c r="F6" i="11"/>
  <c r="G6" i="11"/>
  <c r="H6" i="11"/>
  <c r="I6" i="11"/>
  <c r="J6" i="11"/>
  <c r="K6" i="11"/>
  <c r="L6" i="11"/>
  <c r="M6" i="11"/>
  <c r="D6" i="11"/>
  <c r="I4" i="11"/>
  <c r="D4" i="11"/>
  <c r="E61" i="10"/>
  <c r="F44" i="10"/>
  <c r="F43" i="10"/>
  <c r="F42" i="10"/>
  <c r="I6" i="10"/>
  <c r="J6" i="10"/>
  <c r="K6" i="10"/>
  <c r="L6" i="10"/>
  <c r="M6" i="10"/>
  <c r="I4" i="10"/>
  <c r="A2" i="11"/>
  <c r="A2" i="10"/>
  <c r="A2" i="12"/>
  <c r="E6" i="10"/>
  <c r="F6" i="10"/>
  <c r="G6" i="10"/>
  <c r="H6" i="10"/>
  <c r="D6" i="10"/>
  <c r="D4" i="10"/>
  <c r="E6" i="12"/>
  <c r="F6" i="12"/>
  <c r="G6" i="12"/>
  <c r="H6" i="12"/>
  <c r="D6" i="12"/>
  <c r="J6" i="12"/>
  <c r="K6" i="12"/>
  <c r="L6" i="12"/>
  <c r="M6" i="12"/>
  <c r="I6" i="12"/>
  <c r="I4" i="12"/>
  <c r="D4" i="12"/>
  <c r="M59" i="2"/>
  <c r="H30" i="2"/>
  <c r="H31" i="2"/>
  <c r="H32" i="2"/>
  <c r="H33" i="2"/>
  <c r="E42" i="2"/>
  <c r="E43" i="2" s="1"/>
  <c r="E44" i="2" s="1"/>
  <c r="E45" i="2" s="1"/>
  <c r="F43" i="11" l="1"/>
  <c r="F44" i="11"/>
  <c r="F42" i="11"/>
  <c r="F37" i="12"/>
  <c r="F38" i="12"/>
  <c r="F39" i="12"/>
  <c r="F36" i="12"/>
  <c r="M92" i="10" l="1"/>
  <c r="M91" i="10"/>
  <c r="M90" i="10"/>
  <c r="M33" i="2" l="1"/>
  <c r="N33" i="2" s="1"/>
  <c r="O33" i="2" s="1"/>
  <c r="M32" i="2"/>
  <c r="N32" i="2" s="1"/>
  <c r="O32" i="2" s="1"/>
  <c r="M31" i="2"/>
  <c r="N31" i="2" s="1"/>
  <c r="O31" i="2" s="1"/>
  <c r="M30" i="2"/>
  <c r="N30" i="2" s="1"/>
  <c r="O30" i="2" s="1"/>
  <c r="M39" i="10"/>
  <c r="N39" i="10" s="1"/>
  <c r="O39" i="10" s="1"/>
  <c r="M38" i="10"/>
  <c r="N38" i="10" s="1"/>
  <c r="O38" i="10" s="1"/>
  <c r="M37" i="10"/>
  <c r="N37" i="10" s="1"/>
  <c r="O37" i="10" s="1"/>
  <c r="M36" i="10"/>
  <c r="N36" i="10" s="1"/>
  <c r="O36" i="10" s="1"/>
  <c r="M30" i="12" l="1"/>
  <c r="N30" i="12" s="1"/>
  <c r="O30" i="12" s="1"/>
  <c r="M31" i="12"/>
  <c r="N31" i="12" s="1"/>
  <c r="O31" i="12" s="1"/>
  <c r="M32" i="12"/>
  <c r="N32" i="12" s="1"/>
  <c r="O32" i="12" s="1"/>
  <c r="M33" i="12"/>
  <c r="N33" i="12" s="1"/>
  <c r="O33" i="12" s="1"/>
  <c r="L11" i="11" l="1"/>
  <c r="L13" i="11"/>
  <c r="L12" i="11"/>
  <c r="K15" i="11"/>
  <c r="L15" i="11"/>
  <c r="K16" i="11"/>
  <c r="L16" i="11"/>
  <c r="K18" i="11"/>
  <c r="L18" i="11"/>
  <c r="K17" i="11"/>
  <c r="L17" i="11"/>
  <c r="K20" i="11"/>
  <c r="L20" i="11"/>
  <c r="K21" i="11"/>
  <c r="L21" i="11"/>
  <c r="K22" i="11"/>
  <c r="L22" i="11"/>
  <c r="K23" i="11"/>
  <c r="L23" i="11"/>
  <c r="K24" i="11"/>
  <c r="L24" i="11"/>
  <c r="K25" i="11"/>
  <c r="L25" i="11"/>
  <c r="K26" i="11"/>
  <c r="L26" i="11"/>
  <c r="K27" i="11"/>
  <c r="L27" i="11"/>
  <c r="K28" i="11"/>
  <c r="L28" i="11"/>
  <c r="K29" i="11"/>
  <c r="L29" i="11"/>
  <c r="K30" i="11"/>
  <c r="L30" i="11"/>
  <c r="K31" i="11"/>
  <c r="L31" i="11"/>
  <c r="K32" i="11"/>
  <c r="L32" i="11"/>
  <c r="K33" i="11"/>
  <c r="L33" i="11"/>
  <c r="K34" i="11"/>
  <c r="L34" i="11"/>
  <c r="K35" i="11"/>
  <c r="L35" i="11"/>
  <c r="L36" i="11" s="1"/>
  <c r="K42" i="11"/>
  <c r="L42" i="11"/>
  <c r="K43" i="11"/>
  <c r="L43" i="11"/>
  <c r="K44" i="11"/>
  <c r="L44" i="11"/>
  <c r="K46" i="11"/>
  <c r="L46" i="11"/>
  <c r="K47" i="11"/>
  <c r="L47" i="11"/>
  <c r="K48" i="11"/>
  <c r="L48" i="11"/>
  <c r="K49" i="11"/>
  <c r="L49" i="11"/>
  <c r="K52" i="11"/>
  <c r="L52" i="11"/>
  <c r="K53" i="11"/>
  <c r="L53" i="11"/>
  <c r="K54" i="11"/>
  <c r="L54" i="11"/>
  <c r="K56" i="11"/>
  <c r="L56" i="11"/>
  <c r="K57" i="11"/>
  <c r="L57" i="11"/>
  <c r="K58" i="11"/>
  <c r="L58" i="11"/>
  <c r="K61" i="11"/>
  <c r="L61" i="11"/>
  <c r="K62" i="11"/>
  <c r="L62" i="11"/>
  <c r="K63" i="11"/>
  <c r="L63" i="11"/>
  <c r="K64" i="11"/>
  <c r="L64" i="11"/>
  <c r="K65" i="11"/>
  <c r="L65" i="11"/>
  <c r="K66" i="11"/>
  <c r="L66" i="11"/>
  <c r="K67" i="11"/>
  <c r="L67" i="11"/>
  <c r="K70" i="11"/>
  <c r="L70" i="11"/>
  <c r="K71" i="11"/>
  <c r="L71" i="11"/>
  <c r="K73" i="11"/>
  <c r="L73" i="11"/>
  <c r="K74" i="11"/>
  <c r="L74" i="11"/>
  <c r="K75" i="11"/>
  <c r="L75" i="11"/>
  <c r="K76" i="11"/>
  <c r="L76" i="11"/>
  <c r="K77" i="11"/>
  <c r="L77" i="11"/>
  <c r="K78" i="11"/>
  <c r="L78" i="11"/>
  <c r="K79" i="11"/>
  <c r="L79" i="11"/>
  <c r="K80" i="11"/>
  <c r="L80" i="11"/>
  <c r="K81" i="11"/>
  <c r="L81" i="11"/>
  <c r="K82" i="11"/>
  <c r="L82" i="11"/>
  <c r="K83" i="11"/>
  <c r="L83" i="11"/>
  <c r="K84" i="11"/>
  <c r="L84" i="11"/>
  <c r="K85" i="11"/>
  <c r="L85" i="11"/>
  <c r="K86" i="11"/>
  <c r="L86" i="11"/>
  <c r="K87" i="11"/>
  <c r="L87" i="11"/>
  <c r="L10" i="11"/>
  <c r="L37" i="11" l="1"/>
  <c r="M36" i="11"/>
  <c r="N36" i="11" s="1"/>
  <c r="O36" i="11" s="1"/>
  <c r="M73" i="11"/>
  <c r="L36" i="12"/>
  <c r="L37" i="12"/>
  <c r="L38" i="12"/>
  <c r="L39" i="12"/>
  <c r="L41" i="12"/>
  <c r="L42" i="12"/>
  <c r="L43" i="12"/>
  <c r="L44" i="12"/>
  <c r="L45" i="12"/>
  <c r="L48" i="12"/>
  <c r="L49" i="12"/>
  <c r="L50" i="12"/>
  <c r="L53" i="12"/>
  <c r="L54" i="12"/>
  <c r="L55" i="12"/>
  <c r="L56" i="12"/>
  <c r="L57" i="12"/>
  <c r="L58" i="12"/>
  <c r="L59" i="12"/>
  <c r="L62" i="12"/>
  <c r="L63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K79" i="12"/>
  <c r="K78" i="12"/>
  <c r="K77" i="12"/>
  <c r="K76" i="12"/>
  <c r="K75" i="12"/>
  <c r="K74" i="12"/>
  <c r="K73" i="12"/>
  <c r="K72" i="12"/>
  <c r="K71" i="12"/>
  <c r="K70" i="12"/>
  <c r="K69" i="12"/>
  <c r="K68" i="12"/>
  <c r="K67" i="12"/>
  <c r="K66" i="12"/>
  <c r="K65" i="12"/>
  <c r="K63" i="12"/>
  <c r="K62" i="12"/>
  <c r="K59" i="12"/>
  <c r="K58" i="12"/>
  <c r="K57" i="12"/>
  <c r="K56" i="12"/>
  <c r="K55" i="12"/>
  <c r="K54" i="12"/>
  <c r="K53" i="12"/>
  <c r="K50" i="12"/>
  <c r="K49" i="12"/>
  <c r="K48" i="12"/>
  <c r="K45" i="12"/>
  <c r="K44" i="12"/>
  <c r="K43" i="12"/>
  <c r="K42" i="12"/>
  <c r="K41" i="12"/>
  <c r="K39" i="12"/>
  <c r="K38" i="12"/>
  <c r="K37" i="12"/>
  <c r="K36" i="12"/>
  <c r="M37" i="11" l="1"/>
  <c r="N37" i="11" s="1"/>
  <c r="O37" i="11" s="1"/>
  <c r="L3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1" i="11"/>
  <c r="G70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M38" i="11" l="1"/>
  <c r="N38" i="11" s="1"/>
  <c r="O38" i="11" s="1"/>
  <c r="L39" i="11"/>
  <c r="M39" i="11" s="1"/>
  <c r="N39" i="11" s="1"/>
  <c r="O39" i="11" s="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1" i="11"/>
  <c r="H70" i="11"/>
  <c r="H67" i="11"/>
  <c r="H66" i="11"/>
  <c r="H65" i="11"/>
  <c r="H64" i="11"/>
  <c r="H63" i="11"/>
  <c r="H62" i="11"/>
  <c r="H61" i="11"/>
  <c r="H58" i="11"/>
  <c r="H57" i="11"/>
  <c r="H56" i="11"/>
  <c r="H54" i="11"/>
  <c r="H53" i="11"/>
  <c r="H52" i="11"/>
  <c r="H49" i="11"/>
  <c r="H48" i="11"/>
  <c r="H47" i="11"/>
  <c r="H46" i="11"/>
  <c r="H44" i="11"/>
  <c r="H43" i="11"/>
  <c r="H42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7" i="11"/>
  <c r="H18" i="11"/>
  <c r="H16" i="11"/>
  <c r="H15" i="11"/>
  <c r="H12" i="11"/>
  <c r="H13" i="11"/>
  <c r="H11" i="11"/>
  <c r="H10" i="11"/>
  <c r="H94" i="10"/>
  <c r="H93" i="10"/>
  <c r="H92" i="10"/>
  <c r="H91" i="10"/>
  <c r="H90" i="10"/>
  <c r="H88" i="10"/>
  <c r="H87" i="10"/>
  <c r="H86" i="10"/>
  <c r="H85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1" i="10"/>
  <c r="H70" i="10"/>
  <c r="H67" i="10"/>
  <c r="H66" i="10"/>
  <c r="H65" i="10"/>
  <c r="H64" i="10"/>
  <c r="H63" i="10"/>
  <c r="H62" i="10"/>
  <c r="H61" i="10"/>
  <c r="H58" i="10"/>
  <c r="H57" i="10"/>
  <c r="H56" i="10"/>
  <c r="H54" i="10"/>
  <c r="H53" i="10"/>
  <c r="H52" i="10"/>
  <c r="H49" i="10"/>
  <c r="H48" i="10"/>
  <c r="H47" i="10"/>
  <c r="H46" i="10"/>
  <c r="H44" i="10"/>
  <c r="H43" i="10"/>
  <c r="H42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7" i="10"/>
  <c r="H18" i="10"/>
  <c r="H16" i="10"/>
  <c r="H15" i="10"/>
  <c r="H12" i="10"/>
  <c r="H13" i="10"/>
  <c r="H11" i="10"/>
  <c r="H10" i="10"/>
  <c r="H79" i="12"/>
  <c r="H78" i="12"/>
  <c r="H77" i="12"/>
  <c r="H76" i="12"/>
  <c r="H75" i="12"/>
  <c r="H74" i="12"/>
  <c r="H73" i="12"/>
  <c r="H72" i="12"/>
  <c r="H71" i="12"/>
  <c r="H70" i="12"/>
  <c r="H69" i="12"/>
  <c r="H68" i="12"/>
  <c r="H67" i="12"/>
  <c r="H66" i="12"/>
  <c r="H65" i="12"/>
  <c r="H59" i="12"/>
  <c r="H58" i="12"/>
  <c r="H57" i="12"/>
  <c r="H56" i="12"/>
  <c r="H55" i="12"/>
  <c r="H54" i="12"/>
  <c r="H53" i="12"/>
  <c r="H50" i="12"/>
  <c r="H49" i="12"/>
  <c r="H48" i="12"/>
  <c r="H45" i="12"/>
  <c r="H44" i="12"/>
  <c r="H43" i="12"/>
  <c r="H42" i="12"/>
  <c r="H41" i="12"/>
  <c r="H39" i="12"/>
  <c r="H38" i="12"/>
  <c r="H37" i="12"/>
  <c r="H36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2" i="12"/>
  <c r="H13" i="12"/>
  <c r="H11" i="12"/>
  <c r="H10" i="12"/>
  <c r="H86" i="2"/>
  <c r="H85" i="2"/>
  <c r="H84" i="2"/>
  <c r="H83" i="2"/>
  <c r="H82" i="2"/>
  <c r="H81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3" i="2"/>
  <c r="H62" i="2"/>
  <c r="H59" i="2"/>
  <c r="H58" i="2"/>
  <c r="H57" i="2"/>
  <c r="H56" i="2"/>
  <c r="H55" i="2"/>
  <c r="H54" i="2"/>
  <c r="H53" i="2"/>
  <c r="H50" i="2"/>
  <c r="H49" i="2"/>
  <c r="H48" i="2"/>
  <c r="H45" i="2"/>
  <c r="H44" i="2"/>
  <c r="H43" i="2"/>
  <c r="H42" i="2"/>
  <c r="H41" i="2"/>
  <c r="H39" i="2"/>
  <c r="H38" i="2"/>
  <c r="H37" i="2"/>
  <c r="H36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2" i="2"/>
  <c r="H13" i="2"/>
  <c r="H11" i="2"/>
  <c r="H10" i="2"/>
  <c r="M22" i="2" l="1"/>
  <c r="N22" i="2" l="1"/>
  <c r="M49" i="10" l="1"/>
  <c r="N49" i="10" s="1"/>
  <c r="O49" i="10" s="1"/>
  <c r="M49" i="11"/>
  <c r="N49" i="11" s="1"/>
  <c r="O49" i="11" s="1"/>
  <c r="M45" i="12"/>
  <c r="N45" i="12" s="1"/>
  <c r="O45" i="12" s="1"/>
  <c r="M45" i="2"/>
  <c r="N45" i="2" s="1"/>
  <c r="O45" i="2" s="1"/>
  <c r="M87" i="11" l="1"/>
  <c r="M88" i="10"/>
  <c r="M79" i="12"/>
  <c r="M79" i="2"/>
  <c r="N79" i="2" s="1"/>
  <c r="O79" i="2" l="1"/>
  <c r="N88" i="10"/>
  <c r="O88" i="10" s="1"/>
  <c r="N87" i="11"/>
  <c r="O87" i="11" s="1"/>
  <c r="N79" i="12"/>
  <c r="O79" i="12" l="1"/>
  <c r="M48" i="2"/>
  <c r="N48" i="2" s="1"/>
  <c r="O48" i="2" s="1"/>
  <c r="M49" i="2"/>
  <c r="N49" i="2" s="1"/>
  <c r="O49" i="2" s="1"/>
  <c r="M58" i="11" l="1"/>
  <c r="M57" i="11"/>
  <c r="M56" i="11"/>
  <c r="M58" i="10"/>
  <c r="M57" i="10"/>
  <c r="M56" i="10"/>
  <c r="N57" i="11" l="1"/>
  <c r="O57" i="11" s="1"/>
  <c r="N58" i="11"/>
  <c r="O58" i="11" s="1"/>
  <c r="N56" i="11"/>
  <c r="O56" i="11" s="1"/>
  <c r="N56" i="10"/>
  <c r="O56" i="10" s="1"/>
  <c r="N58" i="10"/>
  <c r="O58" i="10" s="1"/>
  <c r="N57" i="10"/>
  <c r="O57" i="10" s="1"/>
  <c r="M86" i="11" l="1"/>
  <c r="M85" i="11"/>
  <c r="M84" i="11"/>
  <c r="M83" i="11"/>
  <c r="M82" i="11"/>
  <c r="M81" i="11"/>
  <c r="M80" i="11"/>
  <c r="M79" i="11"/>
  <c r="M78" i="11"/>
  <c r="M77" i="11"/>
  <c r="M76" i="11"/>
  <c r="M75" i="11"/>
  <c r="M74" i="11"/>
  <c r="M71" i="11"/>
  <c r="M70" i="11"/>
  <c r="M67" i="11"/>
  <c r="M66" i="11"/>
  <c r="M65" i="11"/>
  <c r="M64" i="11"/>
  <c r="M63" i="11"/>
  <c r="M62" i="11"/>
  <c r="M61" i="11"/>
  <c r="M54" i="11"/>
  <c r="M53" i="11"/>
  <c r="M52" i="11"/>
  <c r="M94" i="10"/>
  <c r="M93" i="10"/>
  <c r="M87" i="10"/>
  <c r="M85" i="10"/>
  <c r="M84" i="10"/>
  <c r="M83" i="10"/>
  <c r="M82" i="10"/>
  <c r="M81" i="10"/>
  <c r="M80" i="10"/>
  <c r="M79" i="10"/>
  <c r="M78" i="10"/>
  <c r="M77" i="10"/>
  <c r="M76" i="10"/>
  <c r="M75" i="10"/>
  <c r="M74" i="10"/>
  <c r="M73" i="10"/>
  <c r="M86" i="10"/>
  <c r="M71" i="10"/>
  <c r="M70" i="10"/>
  <c r="M67" i="10"/>
  <c r="M66" i="10"/>
  <c r="M65" i="10"/>
  <c r="M64" i="10"/>
  <c r="M63" i="10"/>
  <c r="M62" i="10"/>
  <c r="M61" i="10"/>
  <c r="M54" i="10"/>
  <c r="M53" i="10"/>
  <c r="M52" i="10"/>
  <c r="M78" i="12"/>
  <c r="M77" i="12"/>
  <c r="M76" i="12"/>
  <c r="M75" i="12"/>
  <c r="M74" i="12"/>
  <c r="M73" i="12"/>
  <c r="M72" i="12"/>
  <c r="M71" i="12"/>
  <c r="M70" i="12"/>
  <c r="M69" i="12"/>
  <c r="M68" i="12"/>
  <c r="M67" i="12"/>
  <c r="M66" i="12"/>
  <c r="M65" i="12"/>
  <c r="M63" i="12"/>
  <c r="M62" i="12"/>
  <c r="M59" i="12"/>
  <c r="M58" i="12"/>
  <c r="M57" i="12"/>
  <c r="M56" i="12"/>
  <c r="M55" i="12"/>
  <c r="M54" i="12"/>
  <c r="M53" i="12"/>
  <c r="M50" i="12"/>
  <c r="M49" i="12"/>
  <c r="M48" i="12"/>
  <c r="M86" i="2"/>
  <c r="M84" i="2"/>
  <c r="M83" i="2"/>
  <c r="M82" i="2"/>
  <c r="M81" i="2"/>
  <c r="M78" i="2"/>
  <c r="M77" i="2"/>
  <c r="M76" i="2"/>
  <c r="M75" i="2"/>
  <c r="M74" i="2"/>
  <c r="M73" i="2"/>
  <c r="M72" i="2"/>
  <c r="M70" i="2"/>
  <c r="M69" i="2"/>
  <c r="M68" i="2"/>
  <c r="M67" i="2"/>
  <c r="M66" i="2"/>
  <c r="M65" i="2"/>
  <c r="M85" i="2"/>
  <c r="M58" i="2"/>
  <c r="M57" i="2"/>
  <c r="M56" i="2"/>
  <c r="M55" i="2"/>
  <c r="M54" i="2"/>
  <c r="M53" i="2"/>
  <c r="M50" i="2"/>
  <c r="N66" i="12" l="1"/>
  <c r="N59" i="12"/>
  <c r="O59" i="12" s="1"/>
  <c r="N56" i="12"/>
  <c r="O56" i="12" s="1"/>
  <c r="N48" i="12"/>
  <c r="O48" i="12" s="1"/>
  <c r="N54" i="12"/>
  <c r="O54" i="12" s="1"/>
  <c r="N58" i="12"/>
  <c r="O58" i="12" s="1"/>
  <c r="N63" i="12"/>
  <c r="O63" i="12" s="1"/>
  <c r="N50" i="12"/>
  <c r="O50" i="12" s="1"/>
  <c r="N73" i="11"/>
  <c r="N68" i="12"/>
  <c r="N70" i="12"/>
  <c r="N71" i="12"/>
  <c r="N73" i="12"/>
  <c r="N75" i="12"/>
  <c r="N77" i="12"/>
  <c r="N49" i="12"/>
  <c r="O49" i="12" s="1"/>
  <c r="N53" i="12"/>
  <c r="O53" i="12" s="1"/>
  <c r="N55" i="12"/>
  <c r="O55" i="12" s="1"/>
  <c r="N57" i="12"/>
  <c r="O57" i="12" s="1"/>
  <c r="N62" i="12"/>
  <c r="O62" i="12" s="1"/>
  <c r="N65" i="12"/>
  <c r="N67" i="12"/>
  <c r="N69" i="12"/>
  <c r="N72" i="12"/>
  <c r="N74" i="12"/>
  <c r="N76" i="12"/>
  <c r="N78" i="12"/>
  <c r="M71" i="2"/>
  <c r="M48" i="11"/>
  <c r="M47" i="11"/>
  <c r="M46" i="11"/>
  <c r="M44" i="11"/>
  <c r="M43" i="11"/>
  <c r="M42" i="11"/>
  <c r="M48" i="10"/>
  <c r="M47" i="10"/>
  <c r="M46" i="10"/>
  <c r="M44" i="10"/>
  <c r="M43" i="10"/>
  <c r="M42" i="10"/>
  <c r="M44" i="12"/>
  <c r="M43" i="12"/>
  <c r="M42" i="12"/>
  <c r="M41" i="12"/>
  <c r="M39" i="12"/>
  <c r="M38" i="12"/>
  <c r="M37" i="12"/>
  <c r="M36" i="12"/>
  <c r="O69" i="12" l="1"/>
  <c r="O76" i="12"/>
  <c r="O67" i="12"/>
  <c r="O77" i="12"/>
  <c r="O70" i="12"/>
  <c r="O74" i="12"/>
  <c r="O75" i="12"/>
  <c r="O68" i="12"/>
  <c r="O78" i="12"/>
  <c r="O71" i="12"/>
  <c r="O65" i="12"/>
  <c r="O72" i="12"/>
  <c r="O73" i="12"/>
  <c r="O66" i="12"/>
  <c r="M16" i="12"/>
  <c r="M17" i="12"/>
  <c r="M18" i="12"/>
  <c r="M19" i="12"/>
  <c r="M20" i="12"/>
  <c r="M21" i="12"/>
  <c r="M22" i="12"/>
  <c r="M23" i="12"/>
  <c r="N23" i="12" s="1"/>
  <c r="O23" i="12" s="1"/>
  <c r="M24" i="12"/>
  <c r="N24" i="12" s="1"/>
  <c r="O24" i="12" s="1"/>
  <c r="M25" i="12"/>
  <c r="N25" i="12" s="1"/>
  <c r="O25" i="12" s="1"/>
  <c r="M26" i="12"/>
  <c r="N26" i="12" s="1"/>
  <c r="O26" i="12" s="1"/>
  <c r="M27" i="12"/>
  <c r="N27" i="12" s="1"/>
  <c r="O27" i="12" s="1"/>
  <c r="M28" i="12"/>
  <c r="N28" i="12" s="1"/>
  <c r="O28" i="12" s="1"/>
  <c r="M29" i="12"/>
  <c r="M23" i="2"/>
  <c r="N23" i="2" s="1"/>
  <c r="O23" i="2" s="1"/>
  <c r="M17" i="2"/>
  <c r="M34" i="10" l="1"/>
  <c r="M18" i="2" l="1"/>
  <c r="M33" i="10" l="1"/>
  <c r="M34" i="11"/>
  <c r="M33" i="11"/>
  <c r="M28" i="2"/>
  <c r="M27" i="2"/>
  <c r="N34" i="11" l="1"/>
  <c r="O34" i="11" s="1"/>
  <c r="N33" i="11"/>
  <c r="O33" i="11" s="1"/>
  <c r="N34" i="10"/>
  <c r="O34" i="10" s="1"/>
  <c r="N27" i="2"/>
  <c r="O27" i="2" s="1"/>
  <c r="N33" i="10"/>
  <c r="O33" i="10" s="1"/>
  <c r="N28" i="2" l="1"/>
  <c r="O28" i="2" s="1"/>
  <c r="N85" i="2" l="1"/>
  <c r="N65" i="2"/>
  <c r="O65" i="2" s="1"/>
  <c r="N66" i="2"/>
  <c r="O66" i="2" s="1"/>
  <c r="N67" i="2"/>
  <c r="O67" i="2" s="1"/>
  <c r="N75" i="2"/>
  <c r="N76" i="2"/>
  <c r="N69" i="2" l="1"/>
  <c r="N68" i="2"/>
  <c r="N70" i="2"/>
  <c r="N72" i="2"/>
  <c r="N71" i="2"/>
  <c r="N74" i="2"/>
  <c r="O74" i="2" s="1"/>
  <c r="N73" i="2"/>
  <c r="O73" i="2" s="1"/>
  <c r="O75" i="2"/>
  <c r="O85" i="2"/>
  <c r="O76" i="2"/>
  <c r="O70" i="2" l="1"/>
  <c r="O72" i="2"/>
  <c r="O71" i="2"/>
  <c r="O69" i="2"/>
  <c r="O68" i="2"/>
  <c r="M10" i="10"/>
  <c r="M22" i="11"/>
  <c r="M31" i="11"/>
  <c r="N31" i="11" s="1"/>
  <c r="O31" i="11" s="1"/>
  <c r="M32" i="11"/>
  <c r="N32" i="11" s="1"/>
  <c r="O32" i="11" s="1"/>
  <c r="M35" i="11"/>
  <c r="N35" i="11" s="1"/>
  <c r="O35" i="11" s="1"/>
  <c r="M29" i="11"/>
  <c r="N29" i="11" s="1"/>
  <c r="O29" i="11" s="1"/>
  <c r="M30" i="11"/>
  <c r="M31" i="10"/>
  <c r="M32" i="10"/>
  <c r="M35" i="10"/>
  <c r="M29" i="10"/>
  <c r="M30" i="10"/>
  <c r="N29" i="12"/>
  <c r="O29" i="12" s="1"/>
  <c r="N29" i="10" l="1"/>
  <c r="O29" i="10" s="1"/>
  <c r="N35" i="10"/>
  <c r="O35" i="10" s="1"/>
  <c r="N32" i="10"/>
  <c r="O32" i="10" s="1"/>
  <c r="N31" i="10"/>
  <c r="O31" i="10" s="1"/>
  <c r="N30" i="11"/>
  <c r="O30" i="11" s="1"/>
  <c r="N30" i="10"/>
  <c r="O30" i="10" s="1"/>
  <c r="M29" i="2"/>
  <c r="M26" i="2"/>
  <c r="M25" i="2"/>
  <c r="N29" i="2" l="1"/>
  <c r="O29" i="2" s="1"/>
  <c r="N25" i="2"/>
  <c r="O25" i="2" s="1"/>
  <c r="N26" i="2"/>
  <c r="O26" i="2" s="1"/>
  <c r="M12" i="10" l="1"/>
  <c r="M21" i="10" l="1"/>
  <c r="M22" i="10"/>
  <c r="M23" i="10"/>
  <c r="M24" i="10"/>
  <c r="M25" i="10"/>
  <c r="M26" i="10"/>
  <c r="M27" i="10"/>
  <c r="M28" i="10"/>
  <c r="M20" i="10"/>
  <c r="M16" i="10"/>
  <c r="M18" i="10"/>
  <c r="M17" i="10"/>
  <c r="M11" i="10"/>
  <c r="M13" i="10"/>
  <c r="M15" i="10"/>
  <c r="N28" i="10" l="1"/>
  <c r="O28" i="10" s="1"/>
  <c r="N47" i="10"/>
  <c r="O47" i="10" s="1"/>
  <c r="N47" i="11" l="1"/>
  <c r="O47" i="11" s="1"/>
  <c r="M10" i="2" l="1"/>
  <c r="N22" i="11" l="1"/>
  <c r="O22" i="11" s="1"/>
  <c r="N27" i="10"/>
  <c r="O27" i="10" s="1"/>
  <c r="N26" i="10"/>
  <c r="O26" i="10" s="1"/>
  <c r="N25" i="10"/>
  <c r="O25" i="10" s="1"/>
  <c r="N24" i="10"/>
  <c r="O24" i="10" s="1"/>
  <c r="N23" i="10"/>
  <c r="O23" i="10" s="1"/>
  <c r="N22" i="10"/>
  <c r="O22" i="10" s="1"/>
  <c r="N21" i="10"/>
  <c r="O21" i="10" s="1"/>
  <c r="N20" i="10"/>
  <c r="O20" i="10" s="1"/>
  <c r="N17" i="10"/>
  <c r="O17" i="10" s="1"/>
  <c r="N18" i="10"/>
  <c r="O18" i="10" s="1"/>
  <c r="N16" i="10"/>
  <c r="O16" i="10" s="1"/>
  <c r="N15" i="10"/>
  <c r="O15" i="10" s="1"/>
  <c r="M13" i="2" l="1"/>
  <c r="M11" i="2"/>
  <c r="N13" i="2" l="1"/>
  <c r="N11" i="2"/>
  <c r="N82" i="11"/>
  <c r="O82" i="11" s="1"/>
  <c r="N82" i="10"/>
  <c r="O82" i="10" s="1"/>
  <c r="N78" i="2" l="1"/>
  <c r="O78" i="2" l="1"/>
  <c r="N75" i="10" l="1"/>
  <c r="O75" i="10" s="1"/>
  <c r="N54" i="10"/>
  <c r="O54" i="10" s="1"/>
  <c r="N53" i="10"/>
  <c r="O53" i="10" s="1"/>
  <c r="N76" i="11"/>
  <c r="N75" i="11"/>
  <c r="O75" i="11" s="1"/>
  <c r="N54" i="11"/>
  <c r="O54" i="11" s="1"/>
  <c r="N53" i="11"/>
  <c r="O53" i="11" s="1"/>
  <c r="M21" i="11"/>
  <c r="N21" i="11" s="1"/>
  <c r="O21" i="11" s="1"/>
  <c r="M23" i="11"/>
  <c r="N23" i="11" s="1"/>
  <c r="O23" i="11" s="1"/>
  <c r="M24" i="11"/>
  <c r="N24" i="11" s="1"/>
  <c r="O24" i="11" s="1"/>
  <c r="M25" i="11"/>
  <c r="N25" i="11" s="1"/>
  <c r="O25" i="11" s="1"/>
  <c r="M26" i="11"/>
  <c r="N26" i="11" s="1"/>
  <c r="O26" i="11" s="1"/>
  <c r="M27" i="11"/>
  <c r="N27" i="11" s="1"/>
  <c r="O27" i="11" s="1"/>
  <c r="M28" i="11"/>
  <c r="N28" i="11" s="1"/>
  <c r="O28" i="11" s="1"/>
  <c r="M20" i="11"/>
  <c r="M11" i="11"/>
  <c r="N11" i="11" s="1"/>
  <c r="O11" i="11" s="1"/>
  <c r="M13" i="11"/>
  <c r="M12" i="11"/>
  <c r="M15" i="11"/>
  <c r="M16" i="11"/>
  <c r="N16" i="11" s="1"/>
  <c r="O16" i="11" s="1"/>
  <c r="M18" i="11"/>
  <c r="M17" i="11"/>
  <c r="N50" i="2" l="1"/>
  <c r="O50" i="2" s="1"/>
  <c r="M10" i="11"/>
  <c r="N11" i="10"/>
  <c r="O11" i="10" s="1"/>
  <c r="N13" i="10"/>
  <c r="O13" i="10" s="1"/>
  <c r="N12" i="10"/>
  <c r="O12" i="10" s="1"/>
  <c r="N18" i="11" l="1"/>
  <c r="O18" i="11" s="1"/>
  <c r="N13" i="11"/>
  <c r="O13" i="11" s="1"/>
  <c r="N10" i="11"/>
  <c r="O10" i="11" s="1"/>
  <c r="N16" i="12" l="1"/>
  <c r="O16" i="12" s="1"/>
  <c r="M15" i="12"/>
  <c r="M12" i="12"/>
  <c r="M13" i="12"/>
  <c r="M11" i="12"/>
  <c r="N11" i="12" s="1"/>
  <c r="O11" i="12" s="1"/>
  <c r="M10" i="12"/>
  <c r="O73" i="11" l="1"/>
  <c r="N21" i="12" l="1"/>
  <c r="O21" i="12" s="1"/>
  <c r="N19" i="12"/>
  <c r="O19" i="12" s="1"/>
  <c r="N18" i="12"/>
  <c r="O18" i="12" s="1"/>
  <c r="N74" i="10" l="1"/>
  <c r="O74" i="10" s="1"/>
  <c r="M16" i="2" l="1"/>
  <c r="O11" i="2"/>
  <c r="N16" i="2" l="1"/>
  <c r="O16" i="2" s="1"/>
  <c r="M24" i="2"/>
  <c r="M21" i="2"/>
  <c r="M20" i="2"/>
  <c r="M19" i="2"/>
  <c r="N19" i="2" l="1"/>
  <c r="O19" i="2" s="1"/>
  <c r="N20" i="2"/>
  <c r="O20" i="2" s="1"/>
  <c r="N21" i="2"/>
  <c r="O21" i="2" s="1"/>
  <c r="N24" i="2"/>
  <c r="O24" i="2" s="1"/>
  <c r="N17" i="2"/>
  <c r="O17" i="2" s="1"/>
  <c r="N18" i="2"/>
  <c r="O18" i="2" s="1"/>
  <c r="O22" i="2"/>
  <c r="N74" i="11" l="1"/>
  <c r="O74" i="11" s="1"/>
  <c r="N17" i="11"/>
  <c r="O17" i="11" s="1"/>
  <c r="N17" i="12"/>
  <c r="O17" i="12" s="1"/>
  <c r="N20" i="12"/>
  <c r="O20" i="12" s="1"/>
  <c r="N13" i="12"/>
  <c r="O13" i="12" s="1"/>
  <c r="N12" i="12"/>
  <c r="O12" i="12" s="1"/>
  <c r="M12" i="2" l="1"/>
  <c r="N12" i="2" l="1"/>
  <c r="N15" i="11"/>
  <c r="O15" i="11" s="1"/>
  <c r="N48" i="11" l="1"/>
  <c r="O48" i="11" s="1"/>
  <c r="N46" i="11"/>
  <c r="O46" i="11" s="1"/>
  <c r="N44" i="11"/>
  <c r="O44" i="11" s="1"/>
  <c r="N43" i="11"/>
  <c r="O43" i="11" s="1"/>
  <c r="N42" i="11"/>
  <c r="O42" i="11" s="1"/>
  <c r="N44" i="12"/>
  <c r="O44" i="12" s="1"/>
  <c r="N43" i="12"/>
  <c r="O43" i="12" s="1"/>
  <c r="N42" i="12"/>
  <c r="O42" i="12" s="1"/>
  <c r="N41" i="12"/>
  <c r="O41" i="12" s="1"/>
  <c r="N39" i="12"/>
  <c r="O39" i="12" s="1"/>
  <c r="N38" i="12"/>
  <c r="O38" i="12" s="1"/>
  <c r="N37" i="12"/>
  <c r="O37" i="12" s="1"/>
  <c r="N36" i="12"/>
  <c r="O36" i="12" s="1"/>
  <c r="N94" i="10"/>
  <c r="O94" i="10" s="1"/>
  <c r="N93" i="10"/>
  <c r="O93" i="10" s="1"/>
  <c r="N92" i="10"/>
  <c r="O92" i="10" s="1"/>
  <c r="N91" i="10"/>
  <c r="O91" i="10" s="1"/>
  <c r="N90" i="10"/>
  <c r="O90" i="10" s="1"/>
  <c r="N87" i="10"/>
  <c r="O87" i="10" s="1"/>
  <c r="N85" i="10"/>
  <c r="O85" i="10" s="1"/>
  <c r="N84" i="10"/>
  <c r="O84" i="10" s="1"/>
  <c r="N83" i="10"/>
  <c r="O83" i="10" s="1"/>
  <c r="N81" i="10"/>
  <c r="O81" i="10" s="1"/>
  <c r="N80" i="10"/>
  <c r="O80" i="10" s="1"/>
  <c r="N79" i="10"/>
  <c r="O79" i="10" s="1"/>
  <c r="N78" i="10"/>
  <c r="O78" i="10" s="1"/>
  <c r="N77" i="10"/>
  <c r="O77" i="10" s="1"/>
  <c r="N76" i="10"/>
  <c r="O76" i="10" s="1"/>
  <c r="N73" i="10"/>
  <c r="O73" i="10" s="1"/>
  <c r="N86" i="10"/>
  <c r="O86" i="10" s="1"/>
  <c r="N71" i="10"/>
  <c r="O71" i="10" s="1"/>
  <c r="N70" i="10"/>
  <c r="O70" i="10" s="1"/>
  <c r="N67" i="10"/>
  <c r="O67" i="10" s="1"/>
  <c r="N66" i="10"/>
  <c r="O66" i="10" s="1"/>
  <c r="N65" i="10"/>
  <c r="O65" i="10" s="1"/>
  <c r="N64" i="10"/>
  <c r="O64" i="10" s="1"/>
  <c r="N63" i="10"/>
  <c r="O63" i="10" s="1"/>
  <c r="N62" i="10"/>
  <c r="O62" i="10" s="1"/>
  <c r="N61" i="10"/>
  <c r="O61" i="10" s="1"/>
  <c r="N52" i="10"/>
  <c r="O52" i="10" s="1"/>
  <c r="N48" i="10"/>
  <c r="O48" i="10" s="1"/>
  <c r="N46" i="10"/>
  <c r="O46" i="10" s="1"/>
  <c r="N44" i="10"/>
  <c r="O44" i="10" s="1"/>
  <c r="N43" i="10"/>
  <c r="O43" i="10" s="1"/>
  <c r="N42" i="10"/>
  <c r="O42" i="10" s="1"/>
  <c r="N12" i="11"/>
  <c r="O12" i="11" s="1"/>
  <c r="N56" i="2"/>
  <c r="N55" i="2"/>
  <c r="N54" i="2"/>
  <c r="M44" i="2"/>
  <c r="N44" i="2" s="1"/>
  <c r="M43" i="2"/>
  <c r="N43" i="2" s="1"/>
  <c r="M42" i="2"/>
  <c r="N42" i="2" s="1"/>
  <c r="M41" i="2"/>
  <c r="N41" i="2" s="1"/>
  <c r="M39" i="2"/>
  <c r="N39" i="2" s="1"/>
  <c r="M38" i="2"/>
  <c r="N38" i="2" s="1"/>
  <c r="M37" i="2"/>
  <c r="N37" i="2" s="1"/>
  <c r="M36" i="2"/>
  <c r="N36" i="2" s="1"/>
  <c r="N53" i="2" l="1"/>
  <c r="O53" i="2" s="1"/>
  <c r="N63" i="2"/>
  <c r="O63" i="2" s="1"/>
  <c r="N83" i="2"/>
  <c r="O83" i="2" s="1"/>
  <c r="N62" i="2"/>
  <c r="O62" i="2" s="1"/>
  <c r="N58" i="2"/>
  <c r="O58" i="2" s="1"/>
  <c r="N77" i="2"/>
  <c r="O77" i="2" s="1"/>
  <c r="N84" i="2"/>
  <c r="O84" i="2" s="1"/>
  <c r="N82" i="2"/>
  <c r="N59" i="2"/>
  <c r="O59" i="2" s="1"/>
  <c r="N81" i="2"/>
  <c r="N86" i="2"/>
  <c r="N57" i="2"/>
  <c r="O57" i="2" s="1"/>
  <c r="N10" i="10"/>
  <c r="O10" i="10" s="1"/>
  <c r="N78" i="11"/>
  <c r="O78" i="11" s="1"/>
  <c r="N83" i="11"/>
  <c r="O83" i="11" s="1"/>
  <c r="N62" i="11"/>
  <c r="O62" i="11" s="1"/>
  <c r="N66" i="11"/>
  <c r="O66" i="11" s="1"/>
  <c r="N67" i="11"/>
  <c r="O67" i="11" s="1"/>
  <c r="N20" i="11"/>
  <c r="O20" i="11" s="1"/>
  <c r="N63" i="11"/>
  <c r="O63" i="11" s="1"/>
  <c r="N64" i="11"/>
  <c r="O64" i="11" s="1"/>
  <c r="N70" i="11"/>
  <c r="O70" i="11" s="1"/>
  <c r="N79" i="11"/>
  <c r="O79" i="11" s="1"/>
  <c r="N84" i="11"/>
  <c r="O84" i="11" s="1"/>
  <c r="N61" i="11"/>
  <c r="O61" i="11" s="1"/>
  <c r="N65" i="11"/>
  <c r="O65" i="11" s="1"/>
  <c r="N71" i="11"/>
  <c r="O71" i="11" s="1"/>
  <c r="O76" i="11"/>
  <c r="N80" i="11"/>
  <c r="O80" i="11" s="1"/>
  <c r="N85" i="11"/>
  <c r="O85" i="11" s="1"/>
  <c r="N52" i="11"/>
  <c r="O52" i="11" s="1"/>
  <c r="N77" i="11"/>
  <c r="O77" i="11" s="1"/>
  <c r="N81" i="11"/>
  <c r="O81" i="11" s="1"/>
  <c r="N86" i="11"/>
  <c r="O86" i="11" s="1"/>
  <c r="N15" i="12"/>
  <c r="O15" i="12" s="1"/>
  <c r="N10" i="12"/>
  <c r="O10" i="12" s="1"/>
  <c r="N22" i="12"/>
  <c r="O22" i="12" s="1"/>
  <c r="O56" i="2"/>
  <c r="O54" i="2"/>
  <c r="O55" i="2"/>
  <c r="M15" i="2"/>
  <c r="N15" i="2" s="1"/>
  <c r="O81" i="2" l="1"/>
  <c r="O82" i="2"/>
  <c r="O86" i="2"/>
  <c r="O15" i="2"/>
  <c r="O39" i="2"/>
  <c r="O42" i="2"/>
  <c r="O13" i="2"/>
  <c r="O12" i="2"/>
  <c r="O44" i="2"/>
  <c r="O37" i="2"/>
  <c r="N10" i="2" l="1"/>
  <c r="O10" i="2" s="1"/>
  <c r="O36" i="2"/>
  <c r="O38" i="2"/>
  <c r="O41" i="2"/>
  <c r="O43" i="2"/>
</calcChain>
</file>

<file path=xl/sharedStrings.xml><?xml version="1.0" encoding="utf-8"?>
<sst xmlns="http://schemas.openxmlformats.org/spreadsheetml/2006/main" count="605" uniqueCount="142">
  <si>
    <t>CAMPUS</t>
  </si>
  <si>
    <t>Change</t>
  </si>
  <si>
    <t>Undergraduate</t>
  </si>
  <si>
    <t>Business</t>
  </si>
  <si>
    <t>Graduate</t>
  </si>
  <si>
    <t>Colorado Springs</t>
  </si>
  <si>
    <t>Education</t>
  </si>
  <si>
    <t>Liberal Arts</t>
  </si>
  <si>
    <t>Architecture &amp; Planning</t>
  </si>
  <si>
    <t>Arts &amp; Media</t>
  </si>
  <si>
    <t>Professional</t>
  </si>
  <si>
    <t>Boulder</t>
  </si>
  <si>
    <t xml:space="preserve">Nursing </t>
  </si>
  <si>
    <t>$</t>
  </si>
  <si>
    <t>%</t>
  </si>
  <si>
    <t>Total</t>
  </si>
  <si>
    <t>Cost of Attendance</t>
  </si>
  <si>
    <t>Upper Division--Nursing</t>
  </si>
  <si>
    <t>Footnotes:</t>
  </si>
  <si>
    <t>Arts &amp; Sciences / All Other</t>
  </si>
  <si>
    <t>Genetic Counseling</t>
  </si>
  <si>
    <t>Upper Division--Business / Engineering</t>
  </si>
  <si>
    <t xml:space="preserve">Public Affairs </t>
  </si>
  <si>
    <t>Doctor of Nursing Practice</t>
  </si>
  <si>
    <t>Lower Division</t>
  </si>
  <si>
    <t xml:space="preserve">Doctor of Medicine  </t>
  </si>
  <si>
    <t>Doctor of Dental Surgery</t>
  </si>
  <si>
    <t>Doctor of Physical Therapy</t>
  </si>
  <si>
    <t>Doctor of Pharmacy</t>
  </si>
  <si>
    <t>University of Colorado</t>
  </si>
  <si>
    <t>Public Health, MPH</t>
  </si>
  <si>
    <t>Public Health, DrPH</t>
  </si>
  <si>
    <t xml:space="preserve">Nursing, MS </t>
  </si>
  <si>
    <t>Nursing, PhD</t>
  </si>
  <si>
    <t>N/A</t>
  </si>
  <si>
    <t>Nursing, RN to BS</t>
  </si>
  <si>
    <t>Biostats/Epidemiology/Health Svcs, PhD</t>
  </si>
  <si>
    <t>Biostats/Epidemiology/Health Svcs, MS</t>
  </si>
  <si>
    <t>Modern Anatomy</t>
  </si>
  <si>
    <t xml:space="preserve">Anesthesiology </t>
  </si>
  <si>
    <t xml:space="preserve">b:  Fees presented do not include instructional program or course fees.  </t>
  </si>
  <si>
    <t xml:space="preserve">a:  Fees presented do not include instructional program or course fees.  </t>
  </si>
  <si>
    <t>Music</t>
  </si>
  <si>
    <t>Media, Communication, Information</t>
  </si>
  <si>
    <t>Business - MBA</t>
  </si>
  <si>
    <t>Business - Prof Masters</t>
  </si>
  <si>
    <t>Business - PhD</t>
  </si>
  <si>
    <t xml:space="preserve">Law - JD </t>
  </si>
  <si>
    <t>Upper Division--LAS / Education / Public Affairs</t>
  </si>
  <si>
    <t>Clinical Sciences, MS or PhD</t>
  </si>
  <si>
    <t>Basic Sciences, PhD</t>
  </si>
  <si>
    <t>Biomedical Science and Biotechnology, MS</t>
  </si>
  <si>
    <t>Doctor of Dental Surgery - Accountable Students</t>
  </si>
  <si>
    <t>a:  Resident undergraduate tuition rates represent the student share of tuition after the College Opportunity Fund stipend is applied for eligible authorizing students.</t>
  </si>
  <si>
    <t>d:  "Other" is a CCHE approved annual allowance for books and supplies, medical, transportation and personal expenses.</t>
  </si>
  <si>
    <t>c:  "Other" is a CCHE approved annual allowance for books and supplies, medical, transportation and personal expenses.</t>
  </si>
  <si>
    <t>* This cost of attendance estimate is reflective of the allowable costs set by CCHE and may differ from actual campus estimates and/or actual out of pocket costs for the student.</t>
  </si>
  <si>
    <t>LAS / Education / Public Affairs</t>
  </si>
  <si>
    <t>All Other</t>
  </si>
  <si>
    <t>Education / Public Affairs</t>
  </si>
  <si>
    <t>Bus/Eng/Geropsychology</t>
  </si>
  <si>
    <t>Nursing</t>
  </si>
  <si>
    <t>Upper Division--Business / Engineering / Nursing</t>
  </si>
  <si>
    <r>
      <t xml:space="preserve">Tuition </t>
    </r>
    <r>
      <rPr>
        <b/>
        <vertAlign val="superscript"/>
        <sz val="11"/>
        <rFont val="Arial"/>
        <family val="2"/>
      </rPr>
      <t>a</t>
    </r>
  </si>
  <si>
    <r>
      <t xml:space="preserve">Fees </t>
    </r>
    <r>
      <rPr>
        <b/>
        <vertAlign val="superscript"/>
        <sz val="11"/>
        <rFont val="Arial"/>
        <family val="2"/>
      </rPr>
      <t>b</t>
    </r>
    <r>
      <rPr>
        <b/>
        <sz val="11"/>
        <rFont val="Arial"/>
        <family val="2"/>
      </rPr>
      <t xml:space="preserve"> </t>
    </r>
  </si>
  <si>
    <r>
      <t xml:space="preserve">R&amp;B </t>
    </r>
    <r>
      <rPr>
        <b/>
        <vertAlign val="superscript"/>
        <sz val="11"/>
        <rFont val="Arial"/>
        <family val="2"/>
      </rPr>
      <t>c</t>
    </r>
    <r>
      <rPr>
        <b/>
        <sz val="11"/>
        <rFont val="Arial"/>
        <family val="2"/>
      </rPr>
      <t xml:space="preserve"> </t>
    </r>
  </si>
  <si>
    <r>
      <t xml:space="preserve">Other </t>
    </r>
    <r>
      <rPr>
        <b/>
        <vertAlign val="superscript"/>
        <sz val="11"/>
        <rFont val="Arial"/>
        <family val="2"/>
      </rPr>
      <t>d</t>
    </r>
  </si>
  <si>
    <r>
      <t>Anschutz Medical Campus</t>
    </r>
    <r>
      <rPr>
        <b/>
        <vertAlign val="superscript"/>
        <sz val="11"/>
        <rFont val="Arial"/>
        <family val="2"/>
      </rPr>
      <t>e</t>
    </r>
  </si>
  <si>
    <t>Denver</t>
  </si>
  <si>
    <t xml:space="preserve">c:  Room and board for CU-Boulder and UCCS undergraduates is the actual rate for a double on campus.  For all others, room and board is the CCHE approved annual allowance. </t>
  </si>
  <si>
    <t>MS in Palliative Care</t>
  </si>
  <si>
    <t xml:space="preserve">b:  Room and board for CU-Boulder and UCCS undergraduates is the actual rate for a double on campus.  For all others, room and board is the CCHE approved annual allowance. </t>
  </si>
  <si>
    <t xml:space="preserve">Bus / Eng / Geropsychology </t>
  </si>
  <si>
    <t>Nursing/ Health Sciences</t>
  </si>
  <si>
    <t>Arts and Sciences</t>
  </si>
  <si>
    <t>Fine Arts Experience Design</t>
  </si>
  <si>
    <t>Strategic Communication Design</t>
  </si>
  <si>
    <t>Graduate*</t>
  </si>
  <si>
    <t>TABLE 1:  Resident--FULL TIME (30 Credit Hours for Undergraduate, 24 for Graduate)</t>
  </si>
  <si>
    <t>TABLE 3:  Non-Resident--FULL TIME  (30 Credit Hours for Undergraduate, 24 for Graduate)</t>
  </si>
  <si>
    <t>Digital Animation</t>
  </si>
  <si>
    <t>TABLE 2:  Resident--PART TIME (12 Credit Hours Undergraduate, 9 Credit Hours Graduate)</t>
  </si>
  <si>
    <t>Computational Linguistics (CLASIC)</t>
  </si>
  <si>
    <t>Applied Mathematics (Professional)</t>
  </si>
  <si>
    <t>Law - Prof Masters-LLM</t>
  </si>
  <si>
    <t>Law - Prof Masters-MSL</t>
  </si>
  <si>
    <t xml:space="preserve">Engineering </t>
  </si>
  <si>
    <t xml:space="preserve">Engineering - Prof Masters </t>
  </si>
  <si>
    <r>
      <t>Physician Assistant Studies</t>
    </r>
    <r>
      <rPr>
        <vertAlign val="superscript"/>
        <sz val="11"/>
        <rFont val="Arial"/>
        <family val="2"/>
      </rPr>
      <t>g</t>
    </r>
  </si>
  <si>
    <t xml:space="preserve">Business - MBA </t>
  </si>
  <si>
    <t>Engineering - Prof Masters</t>
  </si>
  <si>
    <t>TABLE 4:  Non-Resident--PART TIME (12 Credit Hours Undergraduate, 9 Credit Hours Graduate)</t>
  </si>
  <si>
    <t>d:  For several programs at the Anschutz Medical Campus, students take more than 24 credit hours in an academic year; for consistency purposes cost of attendance is calculated on 24 credit hours.</t>
  </si>
  <si>
    <t>e:  For several programs at the Anschutz Medical Campus, part-time students may take more than 9 credit hours in an academic year; for consistency purposes cost of attendance is calculated on 9 credit hours.</t>
  </si>
  <si>
    <t>e:  For several programs at the Anschutz Medical Campus, students take more than 24 credit hours in an academic year; for consistency purposes cost of attendance is calculated on 24 credit hours.</t>
  </si>
  <si>
    <t>International Undergraduate - Tuition Guarantee</t>
  </si>
  <si>
    <t xml:space="preserve">h:  The Guarantee is a cohort-based, guaranteed tuition and mandatory fee model that provides undergraduate resident students and their families with an assurance that tuition and mandatory fees will not increase over the ensuing four academic-year period from their first enrollment as a degree-seeking student.  </t>
  </si>
  <si>
    <t>g: Students are automatically placed in a tuition guarantee group based on their first term enrolled at CU Boulder as a degree- or licensure-seeking nonresident on-campus student. The tuition guarantee group covers both new freshmen and transfers and is not affected by class standing at entry. “On-campus” excludes students on study abroad and students taking only continuing education courses (also called extended studies courses).</t>
  </si>
  <si>
    <t xml:space="preserve">Business </t>
  </si>
  <si>
    <t>Physician Assistant Studies</t>
  </si>
  <si>
    <t>Doctor of Medicine - Accountable Students</t>
  </si>
  <si>
    <r>
      <t>Doctor of Medicine</t>
    </r>
    <r>
      <rPr>
        <vertAlign val="superscript"/>
        <sz val="11"/>
        <rFont val="Arial"/>
        <family val="2"/>
      </rPr>
      <t>g</t>
    </r>
  </si>
  <si>
    <r>
      <t>Undergraduate - Tuition Guarantee</t>
    </r>
    <r>
      <rPr>
        <vertAlign val="superscript"/>
        <sz val="11"/>
        <rFont val="Arial"/>
        <family val="2"/>
      </rPr>
      <t>h</t>
    </r>
  </si>
  <si>
    <r>
      <t>Anschutz Medical Campus</t>
    </r>
    <r>
      <rPr>
        <b/>
        <vertAlign val="superscript"/>
        <sz val="11"/>
        <rFont val="Arial"/>
        <family val="2"/>
      </rPr>
      <t>d</t>
    </r>
  </si>
  <si>
    <r>
      <t>Undergraduate - Tuition Guarantee</t>
    </r>
    <r>
      <rPr>
        <vertAlign val="superscript"/>
        <sz val="11"/>
        <rFont val="Arial"/>
        <family val="2"/>
      </rPr>
      <t>g</t>
    </r>
  </si>
  <si>
    <t>Master of the Environment</t>
  </si>
  <si>
    <t>Undergraduate International</t>
  </si>
  <si>
    <t xml:space="preserve">International Undergraduate </t>
  </si>
  <si>
    <t>Business School and Engineering, Design and Computing</t>
  </si>
  <si>
    <t>Engineering, Design and Computing</t>
  </si>
  <si>
    <r>
      <t>PhD Pharm. Sciences, Pharm. Outcomes or Toxicology</t>
    </r>
    <r>
      <rPr>
        <vertAlign val="superscript"/>
        <sz val="11"/>
        <rFont val="Arial"/>
        <family val="2"/>
      </rPr>
      <t xml:space="preserve"> f</t>
    </r>
  </si>
  <si>
    <r>
      <t>PhD Pharm. Sciences, Pharm. Outcomes or Toxicology</t>
    </r>
    <r>
      <rPr>
        <vertAlign val="superscript"/>
        <sz val="11"/>
        <rFont val="Arial"/>
        <family val="2"/>
      </rPr>
      <t xml:space="preserve"> e</t>
    </r>
  </si>
  <si>
    <t>MS in Pharmaceutical Sciences</t>
  </si>
  <si>
    <r>
      <t xml:space="preserve">PhD Pharm. Sciences, Pharm. Outcomes or Toxicology </t>
    </r>
    <r>
      <rPr>
        <vertAlign val="superscript"/>
        <sz val="11"/>
        <rFont val="Arial"/>
        <family val="2"/>
      </rPr>
      <t>f</t>
    </r>
  </si>
  <si>
    <r>
      <t>MS in Pharmaceutical Sciences</t>
    </r>
    <r>
      <rPr>
        <vertAlign val="superscript"/>
        <sz val="11"/>
        <rFont val="Arial"/>
        <family val="2"/>
      </rPr>
      <t>e</t>
    </r>
  </si>
  <si>
    <t>Business PhD</t>
  </si>
  <si>
    <t xml:space="preserve">FY 2022 Cost of Attendance Estimate </t>
  </si>
  <si>
    <t xml:space="preserve">FY 2022  </t>
  </si>
  <si>
    <r>
      <t>Master of Arts in Teacher Leadership</t>
    </r>
    <r>
      <rPr>
        <vertAlign val="superscript"/>
        <sz val="10"/>
        <rFont val="Arial"/>
        <family val="2"/>
      </rPr>
      <t>i</t>
    </r>
  </si>
  <si>
    <r>
      <t>Master of Arts in Corporate Communications</t>
    </r>
    <r>
      <rPr>
        <vertAlign val="superscript"/>
        <sz val="10"/>
        <rFont val="Arial"/>
        <family val="2"/>
      </rPr>
      <t>i</t>
    </r>
  </si>
  <si>
    <r>
      <t>Master of Science in Data Science</t>
    </r>
    <r>
      <rPr>
        <vertAlign val="superscript"/>
        <sz val="10"/>
        <rFont val="Arial"/>
        <family val="2"/>
      </rPr>
      <t>i</t>
    </r>
  </si>
  <si>
    <r>
      <t>Master of Science in Outdoor Recreational Economies</t>
    </r>
    <r>
      <rPr>
        <vertAlign val="superscript"/>
        <sz val="10"/>
        <rFont val="Arial"/>
        <family val="2"/>
      </rPr>
      <t>i</t>
    </r>
  </si>
  <si>
    <t>i: New degree programs and rates were Regent approved in June 2020</t>
  </si>
  <si>
    <t>h: New degree programs and rates were Regent approved in June 2020</t>
  </si>
  <si>
    <r>
      <t>Master of Arts in Teacher Leadership</t>
    </r>
    <r>
      <rPr>
        <vertAlign val="superscript"/>
        <sz val="11"/>
        <rFont val="Arial"/>
        <family val="2"/>
      </rPr>
      <t>h</t>
    </r>
  </si>
  <si>
    <r>
      <t>Master of Science in Outdoor Recreational Economies</t>
    </r>
    <r>
      <rPr>
        <vertAlign val="superscript"/>
        <sz val="11"/>
        <rFont val="Arial"/>
        <family val="2"/>
      </rPr>
      <t>h</t>
    </r>
  </si>
  <si>
    <r>
      <t>Master of Science in Data Science</t>
    </r>
    <r>
      <rPr>
        <vertAlign val="superscript"/>
        <sz val="11"/>
        <rFont val="Arial"/>
        <family val="2"/>
      </rPr>
      <t>h</t>
    </r>
  </si>
  <si>
    <r>
      <t>Master of Arts in Corporate Communications</t>
    </r>
    <r>
      <rPr>
        <vertAlign val="superscript"/>
        <sz val="11"/>
        <rFont val="Arial"/>
        <family val="2"/>
      </rPr>
      <t>h</t>
    </r>
  </si>
  <si>
    <r>
      <t>Doctor of Medicine - Accountable Students</t>
    </r>
    <r>
      <rPr>
        <vertAlign val="superscript"/>
        <sz val="11"/>
        <rFont val="Arial"/>
        <family val="2"/>
      </rPr>
      <t>f</t>
    </r>
  </si>
  <si>
    <t xml:space="preserve">f:  Incoming students only. Tuition for continuing students will remain flat from FY 2021 to FY 2022. </t>
  </si>
  <si>
    <t xml:space="preserve">g:  The Guarantee is a cohort-based, guaranteed tuition and mandatory fee model that provides undergraduate resident students and their families with an assurance that tuition and mandatory fees will not increase over the ensuing four academic-year period from their first enrollment as a degree-seeking student.  </t>
  </si>
  <si>
    <t xml:space="preserve">FY 2023 Cost of Attendance Estimate </t>
  </si>
  <si>
    <t xml:space="preserve">FY 2023 </t>
  </si>
  <si>
    <t>FY 2023 Cost of Attendance Estimate*</t>
  </si>
  <si>
    <t>Tier 4</t>
  </si>
  <si>
    <t>Tier 3</t>
  </si>
  <si>
    <t>Tier 2</t>
  </si>
  <si>
    <t>Tier 1</t>
  </si>
  <si>
    <t>MFA Experience Design</t>
  </si>
  <si>
    <t>g:  Incoming students only. Tuition for continuing students will remain flat.</t>
  </si>
  <si>
    <t>e:  Pharmacy PhD tuition rate is capped at 9 credit hours a term or 18 credit hours per academic year.</t>
  </si>
  <si>
    <t>f:  Pharmacy PhD tuition rate is capped at 9 credit hours a term or 18 credit hours per academic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</si>
</sst>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"/>
    <numFmt numFmtId="167" formatCode="&quot;$&quot;#,##0.0_);[Red]\(&quot;$&quot;#,##0.0\)"/>
    <numFmt numFmtId="168" formatCode="&quot;$&quot;#,##0.0"/>
  </numFmts>
  <fonts count="22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color theme="1"/>
      <name val="Franklin Gothic Book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0"/>
      <color rgb="FF363636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theme="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5">
    <xf numFmtId="0" fontId="0" fillId="0" borderId="0" xfId="0"/>
    <xf numFmtId="0" fontId="3" fillId="0" borderId="0" xfId="0" applyFont="1"/>
    <xf numFmtId="6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 applyBorder="1"/>
    <xf numFmtId="164" fontId="3" fillId="0" borderId="0" xfId="0" applyNumberFormat="1" applyFont="1" applyFill="1" applyBorder="1"/>
    <xf numFmtId="0" fontId="1" fillId="0" borderId="0" xfId="0" applyFont="1" applyFill="1"/>
    <xf numFmtId="0" fontId="1" fillId="0" borderId="0" xfId="0" applyFont="1" applyAlignment="1"/>
    <xf numFmtId="0" fontId="1" fillId="0" borderId="0" xfId="0" applyFont="1"/>
    <xf numFmtId="0" fontId="1" fillId="0" borderId="0" xfId="0" applyFont="1" applyFill="1" applyBorder="1"/>
    <xf numFmtId="164" fontId="1" fillId="0" borderId="0" xfId="0" applyNumberFormat="1" applyFont="1"/>
    <xf numFmtId="6" fontId="1" fillId="0" borderId="0" xfId="0" applyNumberFormat="1" applyFont="1" applyAlignment="1"/>
    <xf numFmtId="0" fontId="1" fillId="0" borderId="0" xfId="0" applyFont="1" applyFill="1"/>
    <xf numFmtId="0" fontId="1" fillId="0" borderId="0" xfId="0" applyFont="1" applyFill="1" applyBorder="1"/>
    <xf numFmtId="0" fontId="1" fillId="0" borderId="0" xfId="5" applyFont="1" applyFill="1" applyBorder="1"/>
    <xf numFmtId="0" fontId="0" fillId="0" borderId="0" xfId="0"/>
    <xf numFmtId="6" fontId="3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164" fontId="3" fillId="0" borderId="0" xfId="0" applyNumberFormat="1" applyFont="1" applyFill="1" applyBorder="1"/>
    <xf numFmtId="6" fontId="1" fillId="0" borderId="0" xfId="0" applyNumberFormat="1" applyFont="1" applyFill="1" applyBorder="1"/>
    <xf numFmtId="0" fontId="1" fillId="0" borderId="0" xfId="0" applyFont="1" applyFill="1"/>
    <xf numFmtId="0" fontId="1" fillId="0" borderId="0" xfId="0" applyFont="1"/>
    <xf numFmtId="0" fontId="1" fillId="0" borderId="0" xfId="0" applyFont="1" applyFill="1" applyBorder="1"/>
    <xf numFmtId="164" fontId="1" fillId="0" borderId="0" xfId="0" applyNumberFormat="1" applyFont="1" applyFill="1" applyBorder="1"/>
    <xf numFmtId="6" fontId="9" fillId="0" borderId="0" xfId="5" applyNumberFormat="1" applyFont="1" applyFill="1" applyBorder="1"/>
    <xf numFmtId="164" fontId="9" fillId="0" borderId="0" xfId="5" applyNumberFormat="1" applyFont="1" applyFill="1" applyBorder="1"/>
    <xf numFmtId="6" fontId="8" fillId="0" borderId="0" xfId="5" applyNumberFormat="1" applyFont="1" applyFill="1" applyBorder="1"/>
    <xf numFmtId="164" fontId="8" fillId="0" borderId="0" xfId="5" applyNumberFormat="1" applyFont="1" applyFill="1" applyBorder="1"/>
    <xf numFmtId="0" fontId="8" fillId="0" borderId="0" xfId="5" applyFont="1" applyFill="1"/>
    <xf numFmtId="164" fontId="8" fillId="0" borderId="0" xfId="5" applyNumberFormat="1" applyFont="1" applyFill="1"/>
    <xf numFmtId="0" fontId="1" fillId="0" borderId="0" xfId="5" applyFont="1" applyFill="1" applyAlignment="1">
      <alignment horizontal="left"/>
    </xf>
    <xf numFmtId="0" fontId="1" fillId="0" borderId="0" xfId="5" applyFont="1" applyFill="1"/>
    <xf numFmtId="0" fontId="1" fillId="0" borderId="0" xfId="5" applyFont="1"/>
    <xf numFmtId="0" fontId="1" fillId="0" borderId="0" xfId="5" applyFont="1" applyFill="1" applyBorder="1" applyAlignment="1">
      <alignment vertical="center"/>
    </xf>
    <xf numFmtId="0" fontId="1" fillId="0" borderId="0" xfId="5" applyFont="1" applyFill="1" applyAlignment="1">
      <alignment horizontal="left" vertical="center"/>
    </xf>
    <xf numFmtId="6" fontId="8" fillId="0" borderId="0" xfId="5" applyNumberFormat="1" applyFont="1" applyFill="1" applyBorder="1" applyAlignment="1">
      <alignment vertical="center"/>
    </xf>
    <xf numFmtId="164" fontId="8" fillId="0" borderId="0" xfId="5" applyNumberFormat="1" applyFont="1" applyFill="1" applyBorder="1" applyAlignment="1">
      <alignment vertical="center"/>
    </xf>
    <xf numFmtId="0" fontId="1" fillId="0" borderId="0" xfId="5" applyFont="1" applyFill="1" applyAlignment="1">
      <alignment vertical="center"/>
    </xf>
    <xf numFmtId="0" fontId="8" fillId="0" borderId="0" xfId="5" applyFont="1" applyFill="1" applyAlignment="1">
      <alignment vertical="center"/>
    </xf>
    <xf numFmtId="164" fontId="8" fillId="0" borderId="0" xfId="5" applyNumberFormat="1" applyFont="1" applyFill="1" applyAlignment="1">
      <alignment vertical="center"/>
    </xf>
    <xf numFmtId="0" fontId="1" fillId="0" borderId="0" xfId="5" applyFont="1" applyAlignment="1">
      <alignment vertical="center"/>
    </xf>
    <xf numFmtId="0" fontId="2" fillId="0" borderId="0" xfId="0" applyFont="1" applyFill="1" applyBorder="1" applyAlignment="1">
      <alignment horizontal="centerContinuous"/>
    </xf>
    <xf numFmtId="0" fontId="2" fillId="0" borderId="4" xfId="0" applyFont="1" applyFill="1" applyBorder="1" applyAlignment="1">
      <alignment horizontal="centerContinuous"/>
    </xf>
    <xf numFmtId="0" fontId="2" fillId="0" borderId="0" xfId="0" quotePrefix="1" applyFont="1" applyFill="1" applyBorder="1" applyAlignment="1">
      <alignment horizontal="centerContinuous"/>
    </xf>
    <xf numFmtId="0" fontId="10" fillId="2" borderId="11" xfId="0" applyFont="1" applyFill="1" applyBorder="1"/>
    <xf numFmtId="0" fontId="10" fillId="2" borderId="9" xfId="0" applyFont="1" applyFill="1" applyBorder="1"/>
    <xf numFmtId="0" fontId="10" fillId="2" borderId="5" xfId="0" applyFont="1" applyFill="1" applyBorder="1"/>
    <xf numFmtId="0" fontId="10" fillId="2" borderId="0" xfId="0" applyFont="1" applyFill="1" applyBorder="1"/>
    <xf numFmtId="0" fontId="10" fillId="2" borderId="19" xfId="0" applyFont="1" applyFill="1" applyBorder="1" applyAlignment="1">
      <alignment horizontal="center"/>
    </xf>
    <xf numFmtId="164" fontId="10" fillId="2" borderId="12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Continuous"/>
    </xf>
    <xf numFmtId="0" fontId="10" fillId="2" borderId="4" xfId="0" applyFont="1" applyFill="1" applyBorder="1" applyAlignment="1">
      <alignment horizontal="centerContinuous"/>
    </xf>
    <xf numFmtId="164" fontId="10" fillId="2" borderId="3" xfId="0" applyNumberFormat="1" applyFont="1" applyFill="1" applyBorder="1" applyAlignment="1">
      <alignment horizontal="center"/>
    </xf>
    <xf numFmtId="0" fontId="10" fillId="3" borderId="15" xfId="0" applyFont="1" applyFill="1" applyBorder="1"/>
    <xf numFmtId="0" fontId="12" fillId="3" borderId="16" xfId="0" applyFont="1" applyFill="1" applyBorder="1"/>
    <xf numFmtId="0" fontId="12" fillId="3" borderId="15" xfId="0" applyFont="1" applyFill="1" applyBorder="1"/>
    <xf numFmtId="164" fontId="12" fillId="3" borderId="17" xfId="0" applyNumberFormat="1" applyFont="1" applyFill="1" applyBorder="1"/>
    <xf numFmtId="0" fontId="12" fillId="0" borderId="5" xfId="0" applyFont="1" applyBorder="1"/>
    <xf numFmtId="0" fontId="12" fillId="0" borderId="0" xfId="0" applyFont="1" applyBorder="1"/>
    <xf numFmtId="0" fontId="12" fillId="0" borderId="11" xfId="0" applyFont="1" applyBorder="1"/>
    <xf numFmtId="0" fontId="12" fillId="0" borderId="9" xfId="0" applyFont="1" applyBorder="1"/>
    <xf numFmtId="164" fontId="12" fillId="0" borderId="10" xfId="0" applyNumberFormat="1" applyFont="1" applyBorder="1"/>
    <xf numFmtId="6" fontId="12" fillId="0" borderId="5" xfId="0" applyNumberFormat="1" applyFont="1" applyFill="1" applyBorder="1"/>
    <xf numFmtId="6" fontId="12" fillId="0" borderId="0" xfId="0" applyNumberFormat="1" applyFont="1" applyFill="1" applyBorder="1"/>
    <xf numFmtId="6" fontId="12" fillId="0" borderId="3" xfId="0" applyNumberFormat="1" applyFont="1" applyFill="1" applyBorder="1" applyAlignment="1">
      <alignment horizontal="right" vertical="center"/>
    </xf>
    <xf numFmtId="164" fontId="12" fillId="0" borderId="3" xfId="0" applyNumberFormat="1" applyFont="1" applyFill="1" applyBorder="1"/>
    <xf numFmtId="0" fontId="12" fillId="0" borderId="18" xfId="0" applyFont="1" applyBorder="1"/>
    <xf numFmtId="0" fontId="12" fillId="0" borderId="13" xfId="0" applyFont="1" applyBorder="1"/>
    <xf numFmtId="0" fontId="12" fillId="0" borderId="13" xfId="0" applyFont="1" applyFill="1" applyBorder="1"/>
    <xf numFmtId="6" fontId="12" fillId="0" borderId="14" xfId="0" applyNumberFormat="1" applyFont="1" applyFill="1" applyBorder="1" applyAlignment="1">
      <alignment horizontal="right" vertical="center"/>
    </xf>
    <xf numFmtId="0" fontId="12" fillId="0" borderId="0" xfId="0" applyFont="1" applyFill="1" applyBorder="1"/>
    <xf numFmtId="6" fontId="12" fillId="3" borderId="17" xfId="0" applyNumberFormat="1" applyFont="1" applyFill="1" applyBorder="1" applyAlignment="1">
      <alignment horizontal="right" vertical="center"/>
    </xf>
    <xf numFmtId="6" fontId="12" fillId="0" borderId="3" xfId="0" applyNumberFormat="1" applyFont="1" applyBorder="1" applyAlignment="1">
      <alignment horizontal="right" vertical="center"/>
    </xf>
    <xf numFmtId="0" fontId="12" fillId="0" borderId="2" xfId="0" applyFont="1" applyBorder="1"/>
    <xf numFmtId="0" fontId="12" fillId="0" borderId="1" xfId="0" applyFont="1" applyBorder="1"/>
    <xf numFmtId="0" fontId="12" fillId="0" borderId="6" xfId="0" applyFont="1" applyBorder="1"/>
    <xf numFmtId="0" fontId="12" fillId="0" borderId="4" xfId="0" applyFont="1" applyBorder="1"/>
    <xf numFmtId="6" fontId="12" fillId="0" borderId="8" xfId="0" applyNumberFormat="1" applyFont="1" applyFill="1" applyBorder="1" applyAlignment="1">
      <alignment horizontal="right" vertical="center"/>
    </xf>
    <xf numFmtId="0" fontId="10" fillId="3" borderId="11" xfId="0" applyFont="1" applyFill="1" applyBorder="1"/>
    <xf numFmtId="0" fontId="12" fillId="3" borderId="9" xfId="0" applyFont="1" applyFill="1" applyBorder="1"/>
    <xf numFmtId="0" fontId="12" fillId="0" borderId="11" xfId="0" applyFont="1" applyFill="1" applyBorder="1"/>
    <xf numFmtId="0" fontId="12" fillId="0" borderId="9" xfId="0" applyFont="1" applyFill="1" applyBorder="1"/>
    <xf numFmtId="0" fontId="12" fillId="0" borderId="5" xfId="0" applyFont="1" applyFill="1" applyBorder="1"/>
    <xf numFmtId="0" fontId="12" fillId="0" borderId="18" xfId="0" applyFont="1" applyFill="1" applyBorder="1"/>
    <xf numFmtId="6" fontId="12" fillId="0" borderId="0" xfId="0" applyNumberFormat="1" applyFont="1" applyFill="1" applyBorder="1" applyAlignment="1">
      <alignment horizontal="right"/>
    </xf>
    <xf numFmtId="0" fontId="12" fillId="0" borderId="2" xfId="0" applyFont="1" applyFill="1" applyBorder="1"/>
    <xf numFmtId="0" fontId="12" fillId="0" borderId="1" xfId="0" applyFont="1" applyFill="1" applyBorder="1"/>
    <xf numFmtId="0" fontId="12" fillId="0" borderId="6" xfId="0" applyFont="1" applyFill="1" applyBorder="1"/>
    <xf numFmtId="0" fontId="12" fillId="0" borderId="4" xfId="0" applyFont="1" applyFill="1" applyBorder="1"/>
    <xf numFmtId="0" fontId="4" fillId="2" borderId="11" xfId="0" applyFont="1" applyFill="1" applyBorder="1"/>
    <xf numFmtId="0" fontId="4" fillId="2" borderId="9" xfId="0" applyFont="1" applyFill="1" applyBorder="1"/>
    <xf numFmtId="0" fontId="4" fillId="2" borderId="5" xfId="0" applyFont="1" applyFill="1" applyBorder="1"/>
    <xf numFmtId="0" fontId="4" fillId="2" borderId="0" xfId="0" applyFont="1" applyFill="1" applyBorder="1"/>
    <xf numFmtId="0" fontId="4" fillId="2" borderId="19" xfId="0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4" fontId="4" fillId="2" borderId="3" xfId="0" applyNumberFormat="1" applyFont="1" applyFill="1" applyBorder="1" applyAlignment="1">
      <alignment horizontal="center"/>
    </xf>
    <xf numFmtId="0" fontId="14" fillId="0" borderId="0" xfId="0" applyFont="1" applyFill="1" applyBorder="1"/>
    <xf numFmtId="0" fontId="4" fillId="2" borderId="5" xfId="0" applyFont="1" applyFill="1" applyBorder="1" applyAlignment="1">
      <alignment horizontal="centerContinuous"/>
    </xf>
    <xf numFmtId="0" fontId="4" fillId="2" borderId="0" xfId="0" applyFont="1" applyFill="1" applyBorder="1" applyAlignment="1">
      <alignment horizontal="centerContinuous"/>
    </xf>
    <xf numFmtId="165" fontId="1" fillId="0" borderId="0" xfId="11" applyNumberFormat="1" applyFont="1"/>
    <xf numFmtId="165" fontId="8" fillId="0" borderId="0" xfId="11" applyNumberFormat="1" applyFont="1" applyFill="1" applyBorder="1" applyAlignment="1">
      <alignment vertical="center"/>
    </xf>
    <xf numFmtId="0" fontId="1" fillId="0" borderId="0" xfId="0" applyFont="1" applyAlignment="1">
      <alignment wrapText="1"/>
    </xf>
    <xf numFmtId="6" fontId="12" fillId="0" borderId="18" xfId="0" applyNumberFormat="1" applyFont="1" applyFill="1" applyBorder="1" applyAlignment="1">
      <alignment horizontal="right" vertical="center"/>
    </xf>
    <xf numFmtId="6" fontId="12" fillId="0" borderId="13" xfId="0" applyNumberFormat="1" applyFont="1" applyFill="1" applyBorder="1" applyAlignment="1">
      <alignment horizontal="right" vertical="center"/>
    </xf>
    <xf numFmtId="6" fontId="3" fillId="0" borderId="0" xfId="0" applyNumberFormat="1" applyFont="1" applyFill="1" applyBorder="1" applyAlignment="1">
      <alignment horizontal="right"/>
    </xf>
    <xf numFmtId="6" fontId="9" fillId="0" borderId="0" xfId="5" applyNumberFormat="1" applyFont="1" applyFill="1" applyBorder="1" applyAlignment="1">
      <alignment horizontal="right"/>
    </xf>
    <xf numFmtId="6" fontId="8" fillId="0" borderId="0" xfId="5" applyNumberFormat="1" applyFont="1" applyFill="1" applyBorder="1" applyAlignment="1">
      <alignment horizontal="right"/>
    </xf>
    <xf numFmtId="0" fontId="8" fillId="0" borderId="0" xfId="5" applyFont="1" applyFill="1" applyAlignment="1">
      <alignment horizontal="right"/>
    </xf>
    <xf numFmtId="164" fontId="8" fillId="0" borderId="0" xfId="5" applyNumberFormat="1" applyFont="1" applyFill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0" fillId="2" borderId="10" xfId="0" applyFont="1" applyFill="1" applyBorder="1"/>
    <xf numFmtId="0" fontId="10" fillId="2" borderId="3" xfId="0" applyFont="1" applyFill="1" applyBorder="1"/>
    <xf numFmtId="0" fontId="10" fillId="2" borderId="8" xfId="0" applyFont="1" applyFill="1" applyBorder="1" applyAlignment="1">
      <alignment horizontal="centerContinuous"/>
    </xf>
    <xf numFmtId="0" fontId="12" fillId="3" borderId="17" xfId="0" applyFont="1" applyFill="1" applyBorder="1"/>
    <xf numFmtId="0" fontId="12" fillId="0" borderId="3" xfId="0" applyFont="1" applyBorder="1"/>
    <xf numFmtId="0" fontId="12" fillId="0" borderId="14" xfId="0" applyFont="1" applyFill="1" applyBorder="1"/>
    <xf numFmtId="0" fontId="12" fillId="0" borderId="3" xfId="0" applyFont="1" applyFill="1" applyBorder="1"/>
    <xf numFmtId="0" fontId="12" fillId="0" borderId="7" xfId="0" applyFont="1" applyBorder="1"/>
    <xf numFmtId="0" fontId="12" fillId="0" borderId="10" xfId="0" applyFont="1" applyBorder="1"/>
    <xf numFmtId="0" fontId="12" fillId="0" borderId="3" xfId="0" applyFont="1" applyBorder="1" applyAlignment="1">
      <alignment horizontal="left" vertical="center" wrapText="1"/>
    </xf>
    <xf numFmtId="0" fontId="12" fillId="0" borderId="10" xfId="0" applyFont="1" applyFill="1" applyBorder="1"/>
    <xf numFmtId="0" fontId="12" fillId="0" borderId="8" xfId="0" applyFont="1" applyFill="1" applyBorder="1"/>
    <xf numFmtId="0" fontId="8" fillId="0" borderId="0" xfId="0" applyFont="1"/>
    <xf numFmtId="6" fontId="12" fillId="0" borderId="0" xfId="0" applyNumberFormat="1" applyFont="1" applyFill="1" applyBorder="1" applyAlignment="1">
      <alignment horizontal="right" vertical="center"/>
    </xf>
    <xf numFmtId="6" fontId="12" fillId="0" borderId="5" xfId="0" applyNumberFormat="1" applyFont="1" applyFill="1" applyBorder="1" applyAlignment="1">
      <alignment horizontal="center"/>
    </xf>
    <xf numFmtId="6" fontId="12" fillId="0" borderId="5" xfId="0" applyNumberFormat="1" applyFont="1" applyFill="1" applyBorder="1" applyAlignment="1">
      <alignment horizontal="center" vertical="center"/>
    </xf>
    <xf numFmtId="6" fontId="12" fillId="0" borderId="0" xfId="5" applyNumberFormat="1" applyFont="1" applyFill="1" applyBorder="1" applyAlignment="1">
      <alignment horizontal="right" vertical="center"/>
    </xf>
    <xf numFmtId="6" fontId="12" fillId="0" borderId="0" xfId="0" applyNumberFormat="1" applyFont="1" applyBorder="1" applyAlignment="1">
      <alignment horizontal="right" vertical="center"/>
    </xf>
    <xf numFmtId="6" fontId="12" fillId="0" borderId="3" xfId="0" applyNumberFormat="1" applyFont="1" applyFill="1" applyBorder="1" applyAlignment="1">
      <alignment horizontal="center" vertical="center"/>
    </xf>
    <xf numFmtId="6" fontId="12" fillId="0" borderId="0" xfId="0" applyNumberFormat="1" applyFont="1" applyFill="1" applyBorder="1" applyAlignment="1">
      <alignment horizontal="center"/>
    </xf>
    <xf numFmtId="6" fontId="12" fillId="3" borderId="16" xfId="0" applyNumberFormat="1" applyFont="1" applyFill="1" applyBorder="1" applyAlignment="1">
      <alignment horizontal="right" vertical="center"/>
    </xf>
    <xf numFmtId="6" fontId="12" fillId="0" borderId="7" xfId="0" applyNumberFormat="1" applyFont="1" applyFill="1" applyBorder="1" applyAlignment="1">
      <alignment horizontal="right" vertical="center"/>
    </xf>
    <xf numFmtId="6" fontId="12" fillId="0" borderId="1" xfId="0" applyNumberFormat="1" applyFont="1" applyFill="1" applyBorder="1" applyAlignment="1">
      <alignment horizontal="right" vertical="center"/>
    </xf>
    <xf numFmtId="6" fontId="12" fillId="0" borderId="4" xfId="0" applyNumberFormat="1" applyFont="1" applyFill="1" applyBorder="1" applyAlignment="1">
      <alignment horizontal="right" vertical="center"/>
    </xf>
    <xf numFmtId="6" fontId="12" fillId="0" borderId="3" xfId="0" applyNumberFormat="1" applyFont="1" applyFill="1" applyBorder="1" applyAlignment="1">
      <alignment horizontal="center"/>
    </xf>
    <xf numFmtId="6" fontId="12" fillId="0" borderId="18" xfId="0" applyNumberFormat="1" applyFont="1" applyFill="1" applyBorder="1" applyAlignment="1">
      <alignment vertical="center"/>
    </xf>
    <xf numFmtId="0" fontId="12" fillId="0" borderId="0" xfId="7" applyFont="1" applyFill="1" applyBorder="1"/>
    <xf numFmtId="0" fontId="12" fillId="0" borderId="4" xfId="7" applyFont="1" applyFill="1" applyBorder="1"/>
    <xf numFmtId="6" fontId="12" fillId="0" borderId="4" xfId="0" applyNumberFormat="1" applyFont="1" applyFill="1" applyBorder="1" applyAlignment="1">
      <alignment horizontal="center"/>
    </xf>
    <xf numFmtId="6" fontId="12" fillId="0" borderId="10" xfId="0" applyNumberFormat="1" applyFont="1" applyFill="1" applyBorder="1" applyAlignment="1">
      <alignment horizontal="right" vertical="center"/>
    </xf>
    <xf numFmtId="6" fontId="12" fillId="0" borderId="10" xfId="0" applyNumberFormat="1" applyFont="1" applyBorder="1" applyAlignment="1">
      <alignment horizontal="right" vertical="center"/>
    </xf>
    <xf numFmtId="0" fontId="12" fillId="0" borderId="0" xfId="0" applyFont="1" applyFill="1"/>
    <xf numFmtId="0" fontId="12" fillId="0" borderId="5" xfId="0" applyFont="1" applyFill="1" applyBorder="1" applyAlignment="1"/>
    <xf numFmtId="0" fontId="1" fillId="0" borderId="0" xfId="0" applyFont="1" applyAlignment="1">
      <alignment horizontal="left" wrapText="1"/>
    </xf>
    <xf numFmtId="6" fontId="12" fillId="0" borderId="9" xfId="0" applyNumberFormat="1" applyFont="1" applyFill="1" applyBorder="1" applyAlignment="1">
      <alignment horizontal="right" vertical="center"/>
    </xf>
    <xf numFmtId="6" fontId="12" fillId="0" borderId="6" xfId="0" applyNumberFormat="1" applyFont="1" applyFill="1" applyBorder="1" applyAlignment="1">
      <alignment horizontal="center"/>
    </xf>
    <xf numFmtId="6" fontId="12" fillId="0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6" fontId="12" fillId="0" borderId="5" xfId="0" applyNumberFormat="1" applyFont="1" applyFill="1" applyBorder="1" applyAlignment="1">
      <alignment horizontal="right" vertical="center"/>
    </xf>
    <xf numFmtId="0" fontId="12" fillId="0" borderId="0" xfId="0" applyFont="1"/>
    <xf numFmtId="0" fontId="12" fillId="0" borderId="0" xfId="0" applyFont="1" applyFill="1" applyAlignment="1"/>
    <xf numFmtId="164" fontId="12" fillId="3" borderId="16" xfId="0" applyNumberFormat="1" applyFont="1" applyFill="1" applyBorder="1"/>
    <xf numFmtId="0" fontId="10" fillId="3" borderId="6" xfId="0" applyFont="1" applyFill="1" applyBorder="1"/>
    <xf numFmtId="0" fontId="12" fillId="3" borderId="4" xfId="0" applyFont="1" applyFill="1" applyBorder="1"/>
    <xf numFmtId="6" fontId="12" fillId="3" borderId="8" xfId="0" applyNumberFormat="1" applyFont="1" applyFill="1" applyBorder="1" applyAlignment="1">
      <alignment horizontal="right" vertical="center"/>
    </xf>
    <xf numFmtId="6" fontId="12" fillId="0" borderId="13" xfId="0" applyNumberFormat="1" applyFont="1" applyFill="1" applyBorder="1" applyAlignment="1">
      <alignment vertical="center"/>
    </xf>
    <xf numFmtId="0" fontId="12" fillId="0" borderId="0" xfId="5" applyFont="1" applyFill="1" applyBorder="1"/>
    <xf numFmtId="0" fontId="12" fillId="0" borderId="4" xfId="5" applyFont="1" applyFill="1" applyBorder="1"/>
    <xf numFmtId="0" fontId="12" fillId="0" borderId="0" xfId="8" applyFont="1" applyFill="1" applyBorder="1"/>
    <xf numFmtId="0" fontId="10" fillId="0" borderId="0" xfId="0" applyFont="1"/>
    <xf numFmtId="0" fontId="12" fillId="0" borderId="4" xfId="8" applyFont="1" applyFill="1" applyBorder="1"/>
    <xf numFmtId="6" fontId="12" fillId="0" borderId="0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vertical="center"/>
    </xf>
    <xf numFmtId="0" fontId="12" fillId="0" borderId="9" xfId="0" applyFont="1" applyBorder="1" applyAlignment="1">
      <alignment vertical="center"/>
    </xf>
    <xf numFmtId="6" fontId="12" fillId="0" borderId="9" xfId="0" applyNumberFormat="1" applyFont="1" applyBorder="1" applyAlignment="1">
      <alignment vertical="center"/>
    </xf>
    <xf numFmtId="164" fontId="12" fillId="0" borderId="10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6" fontId="17" fillId="0" borderId="0" xfId="5" applyNumberFormat="1" applyFont="1" applyFill="1" applyBorder="1" applyAlignment="1">
      <alignment horizontal="right" vertical="center"/>
    </xf>
    <xf numFmtId="6" fontId="12" fillId="0" borderId="5" xfId="0" applyNumberFormat="1" applyFont="1" applyFill="1" applyBorder="1" applyAlignment="1">
      <alignment vertical="center"/>
    </xf>
    <xf numFmtId="164" fontId="12" fillId="0" borderId="3" xfId="0" applyNumberFormat="1" applyFont="1" applyFill="1" applyBorder="1" applyAlignment="1">
      <alignment vertical="center"/>
    </xf>
    <xf numFmtId="6" fontId="12" fillId="0" borderId="13" xfId="5" applyNumberFormat="1" applyFont="1" applyFill="1" applyBorder="1" applyAlignment="1">
      <alignment horizontal="right" vertical="center"/>
    </xf>
    <xf numFmtId="6" fontId="12" fillId="0" borderId="13" xfId="0" applyNumberFormat="1" applyFont="1" applyBorder="1" applyAlignment="1">
      <alignment horizontal="right" vertical="center"/>
    </xf>
    <xf numFmtId="6" fontId="17" fillId="0" borderId="13" xfId="5" applyNumberFormat="1" applyFont="1" applyFill="1" applyBorder="1" applyAlignment="1">
      <alignment horizontal="right" vertical="center"/>
    </xf>
    <xf numFmtId="164" fontId="12" fillId="0" borderId="14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6" fontId="12" fillId="0" borderId="6" xfId="0" applyNumberFormat="1" applyFont="1" applyFill="1" applyBorder="1" applyAlignment="1">
      <alignment vertical="center"/>
    </xf>
    <xf numFmtId="164" fontId="12" fillId="0" borderId="8" xfId="0" applyNumberFormat="1" applyFont="1" applyFill="1" applyBorder="1" applyAlignment="1">
      <alignment vertical="center"/>
    </xf>
    <xf numFmtId="0" fontId="12" fillId="3" borderId="16" xfId="0" applyFont="1" applyFill="1" applyBorder="1" applyAlignment="1">
      <alignment horizontal="right" vertical="center"/>
    </xf>
    <xf numFmtId="6" fontId="12" fillId="3" borderId="15" xfId="0" applyNumberFormat="1" applyFont="1" applyFill="1" applyBorder="1" applyAlignment="1">
      <alignment horizontal="right" vertical="center"/>
    </xf>
    <xf numFmtId="6" fontId="12" fillId="3" borderId="15" xfId="0" applyNumberFormat="1" applyFont="1" applyFill="1" applyBorder="1" applyAlignment="1">
      <alignment vertical="center"/>
    </xf>
    <xf numFmtId="164" fontId="12" fillId="3" borderId="17" xfId="0" applyNumberFormat="1" applyFont="1" applyFill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6" fontId="12" fillId="0" borderId="9" xfId="0" applyNumberFormat="1" applyFont="1" applyBorder="1" applyAlignment="1">
      <alignment horizontal="right" vertical="center"/>
    </xf>
    <xf numFmtId="6" fontId="12" fillId="0" borderId="5" xfId="0" applyNumberFormat="1" applyFont="1" applyBorder="1" applyAlignment="1">
      <alignment horizontal="right" vertical="center"/>
    </xf>
    <xf numFmtId="6" fontId="12" fillId="0" borderId="5" xfId="0" applyNumberFormat="1" applyFont="1" applyBorder="1" applyAlignment="1">
      <alignment vertical="center"/>
    </xf>
    <xf numFmtId="164" fontId="12" fillId="0" borderId="3" xfId="0" applyNumberFormat="1" applyFont="1" applyBorder="1" applyAlignment="1">
      <alignment vertical="center"/>
    </xf>
    <xf numFmtId="6" fontId="12" fillId="0" borderId="11" xfId="0" applyNumberFormat="1" applyFont="1" applyBorder="1" applyAlignment="1">
      <alignment vertical="center"/>
    </xf>
    <xf numFmtId="6" fontId="12" fillId="0" borderId="6" xfId="0" applyNumberFormat="1" applyFont="1" applyFill="1" applyBorder="1" applyAlignment="1">
      <alignment horizontal="right" vertical="center"/>
    </xf>
    <xf numFmtId="6" fontId="12" fillId="0" borderId="11" xfId="0" applyNumberFormat="1" applyFont="1" applyFill="1" applyBorder="1" applyAlignment="1">
      <alignment horizontal="right" vertical="center"/>
    </xf>
    <xf numFmtId="6" fontId="12" fillId="3" borderId="9" xfId="0" applyNumberFormat="1" applyFont="1" applyFill="1" applyBorder="1" applyAlignment="1">
      <alignment horizontal="right" vertical="center"/>
    </xf>
    <xf numFmtId="6" fontId="12" fillId="3" borderId="10" xfId="0" applyNumberFormat="1" applyFont="1" applyFill="1" applyBorder="1" applyAlignment="1">
      <alignment horizontal="right" vertical="center"/>
    </xf>
    <xf numFmtId="6" fontId="12" fillId="3" borderId="11" xfId="0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right" vertical="center"/>
    </xf>
    <xf numFmtId="0" fontId="12" fillId="0" borderId="9" xfId="0" applyFont="1" applyFill="1" applyBorder="1" applyAlignment="1">
      <alignment horizontal="right" vertical="center"/>
    </xf>
    <xf numFmtId="164" fontId="12" fillId="0" borderId="10" xfId="0" applyNumberFormat="1" applyFont="1" applyFill="1" applyBorder="1" applyAlignment="1">
      <alignment horizontal="right" vertical="center"/>
    </xf>
    <xf numFmtId="164" fontId="12" fillId="0" borderId="10" xfId="0" applyNumberFormat="1" applyFont="1" applyFill="1" applyBorder="1" applyAlignment="1">
      <alignment horizontal="left" vertical="center"/>
    </xf>
    <xf numFmtId="0" fontId="12" fillId="0" borderId="9" xfId="0" applyFont="1" applyBorder="1" applyAlignment="1">
      <alignment horizontal="right" vertical="center"/>
    </xf>
    <xf numFmtId="164" fontId="12" fillId="0" borderId="10" xfId="0" applyNumberFormat="1" applyFont="1" applyBorder="1" applyAlignment="1">
      <alignment horizontal="right" vertical="center"/>
    </xf>
    <xf numFmtId="164" fontId="12" fillId="0" borderId="3" xfId="0" applyNumberFormat="1" applyFont="1" applyFill="1" applyBorder="1" applyAlignment="1">
      <alignment horizontal="right" vertical="center"/>
    </xf>
    <xf numFmtId="164" fontId="12" fillId="0" borderId="14" xfId="0" applyNumberFormat="1" applyFont="1" applyFill="1" applyBorder="1" applyAlignment="1">
      <alignment horizontal="right" vertical="center"/>
    </xf>
    <xf numFmtId="164" fontId="12" fillId="0" borderId="8" xfId="0" applyNumberFormat="1" applyFont="1" applyFill="1" applyBorder="1" applyAlignment="1">
      <alignment horizontal="right" vertical="center"/>
    </xf>
    <xf numFmtId="164" fontId="12" fillId="3" borderId="17" xfId="0" applyNumberFormat="1" applyFont="1" applyFill="1" applyBorder="1" applyAlignment="1">
      <alignment horizontal="right" vertical="center"/>
    </xf>
    <xf numFmtId="164" fontId="12" fillId="0" borderId="3" xfId="0" applyNumberFormat="1" applyFont="1" applyBorder="1" applyAlignment="1">
      <alignment horizontal="right" vertical="center"/>
    </xf>
    <xf numFmtId="6" fontId="12" fillId="0" borderId="11" xfId="0" applyNumberFormat="1" applyFont="1" applyBorder="1" applyAlignment="1">
      <alignment horizontal="right" vertical="center"/>
    </xf>
    <xf numFmtId="164" fontId="12" fillId="3" borderId="10" xfId="0" applyNumberFormat="1" applyFont="1" applyFill="1" applyBorder="1" applyAlignment="1">
      <alignment horizontal="right" vertical="center"/>
    </xf>
    <xf numFmtId="164" fontId="12" fillId="0" borderId="9" xfId="0" applyNumberFormat="1" applyFont="1" applyBorder="1" applyAlignment="1">
      <alignment vertical="center"/>
    </xf>
    <xf numFmtId="6" fontId="12" fillId="0" borderId="0" xfId="5" applyNumberFormat="1" applyFont="1" applyFill="1" applyBorder="1" applyAlignment="1">
      <alignment vertical="center"/>
    </xf>
    <xf numFmtId="6" fontId="12" fillId="0" borderId="13" xfId="5" applyNumberFormat="1" applyFont="1" applyFill="1" applyBorder="1" applyAlignment="1">
      <alignment vertical="center"/>
    </xf>
    <xf numFmtId="6" fontId="12" fillId="3" borderId="16" xfId="0" applyNumberFormat="1" applyFont="1" applyFill="1" applyBorder="1" applyAlignment="1">
      <alignment vertical="center"/>
    </xf>
    <xf numFmtId="6" fontId="12" fillId="0" borderId="0" xfId="0" applyNumberFormat="1" applyFont="1" applyBorder="1" applyAlignment="1">
      <alignment vertical="center"/>
    </xf>
    <xf numFmtId="6" fontId="12" fillId="0" borderId="0" xfId="0" applyNumberFormat="1" applyFont="1" applyFill="1" applyBorder="1" applyAlignment="1">
      <alignment vertical="center"/>
    </xf>
    <xf numFmtId="6" fontId="17" fillId="0" borderId="0" xfId="0" applyNumberFormat="1" applyFont="1" applyFill="1" applyBorder="1" applyAlignment="1">
      <alignment vertical="center"/>
    </xf>
    <xf numFmtId="6" fontId="16" fillId="3" borderId="16" xfId="0" applyNumberFormat="1" applyFont="1" applyFill="1" applyBorder="1" applyAlignment="1">
      <alignment vertical="center"/>
    </xf>
    <xf numFmtId="6" fontId="12" fillId="0" borderId="11" xfId="0" applyNumberFormat="1" applyFont="1" applyFill="1" applyBorder="1" applyAlignment="1">
      <alignment vertical="center"/>
    </xf>
    <xf numFmtId="6" fontId="12" fillId="0" borderId="9" xfId="0" applyNumberFormat="1" applyFont="1" applyFill="1" applyBorder="1" applyAlignment="1">
      <alignment vertical="center"/>
    </xf>
    <xf numFmtId="164" fontId="12" fillId="0" borderId="10" xfId="0" applyNumberFormat="1" applyFont="1" applyFill="1" applyBorder="1" applyAlignment="1">
      <alignment vertical="center"/>
    </xf>
    <xf numFmtId="6" fontId="12" fillId="0" borderId="5" xfId="9" applyNumberFormat="1" applyFont="1" applyFill="1" applyBorder="1" applyAlignment="1">
      <alignment vertical="center"/>
    </xf>
    <xf numFmtId="6" fontId="12" fillId="0" borderId="1" xfId="0" applyNumberFormat="1" applyFont="1" applyFill="1" applyBorder="1" applyAlignment="1">
      <alignment vertical="center"/>
    </xf>
    <xf numFmtId="6" fontId="12" fillId="0" borderId="4" xfId="0" applyNumberFormat="1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vertical="center"/>
    </xf>
    <xf numFmtId="6" fontId="12" fillId="0" borderId="13" xfId="0" applyNumberFormat="1" applyFont="1" applyBorder="1" applyAlignment="1">
      <alignment vertical="center"/>
    </xf>
    <xf numFmtId="0" fontId="12" fillId="3" borderId="16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3" borderId="17" xfId="0" applyFont="1" applyFill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6" fontId="12" fillId="3" borderId="4" xfId="0" applyNumberFormat="1" applyFont="1" applyFill="1" applyBorder="1" applyAlignment="1">
      <alignment horizontal="right" vertical="center"/>
    </xf>
    <xf numFmtId="6" fontId="12" fillId="3" borderId="6" xfId="0" applyNumberFormat="1" applyFont="1" applyFill="1" applyBorder="1" applyAlignment="1">
      <alignment horizontal="right" vertical="center"/>
    </xf>
    <xf numFmtId="164" fontId="12" fillId="3" borderId="8" xfId="0" applyNumberFormat="1" applyFont="1" applyFill="1" applyBorder="1" applyAlignment="1">
      <alignment horizontal="right" vertical="center"/>
    </xf>
    <xf numFmtId="6" fontId="12" fillId="0" borderId="5" xfId="9" applyNumberFormat="1" applyFont="1" applyFill="1" applyBorder="1" applyAlignment="1">
      <alignment horizontal="right" vertical="center"/>
    </xf>
    <xf numFmtId="43" fontId="12" fillId="0" borderId="0" xfId="11" applyFont="1"/>
    <xf numFmtId="6" fontId="12" fillId="0" borderId="0" xfId="0" applyNumberFormat="1" applyFont="1"/>
    <xf numFmtId="0" fontId="1" fillId="0" borderId="0" xfId="0" applyFont="1" applyFill="1" applyAlignment="1">
      <alignment horizontal="left"/>
    </xf>
    <xf numFmtId="166" fontId="12" fillId="0" borderId="0" xfId="11" applyNumberFormat="1" applyFont="1" applyFill="1" applyBorder="1" applyAlignment="1">
      <alignment horizontal="right" vertical="center"/>
    </xf>
    <xf numFmtId="166" fontId="12" fillId="0" borderId="4" xfId="11" applyNumberFormat="1" applyFont="1" applyFill="1" applyBorder="1" applyAlignment="1">
      <alignment horizontal="right" vertical="center"/>
    </xf>
    <xf numFmtId="166" fontId="12" fillId="0" borderId="9" xfId="11" applyNumberFormat="1" applyFont="1" applyFill="1" applyBorder="1" applyAlignment="1">
      <alignment horizontal="right" vertical="center"/>
    </xf>
    <xf numFmtId="0" fontId="10" fillId="2" borderId="20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164" fontId="10" fillId="2" borderId="21" xfId="0" applyNumberFormat="1" applyFont="1" applyFill="1" applyBorder="1" applyAlignment="1">
      <alignment horizontal="center"/>
    </xf>
    <xf numFmtId="0" fontId="12" fillId="0" borderId="14" xfId="0" applyFont="1" applyBorder="1"/>
    <xf numFmtId="10" fontId="12" fillId="0" borderId="0" xfId="12" applyNumberFormat="1" applyFont="1"/>
    <xf numFmtId="6" fontId="16" fillId="0" borderId="0" xfId="0" applyNumberFormat="1" applyFont="1" applyFill="1" applyBorder="1" applyAlignment="1">
      <alignment vertical="center"/>
    </xf>
    <xf numFmtId="6" fontId="16" fillId="0" borderId="9" xfId="0" applyNumberFormat="1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8" fontId="12" fillId="0" borderId="0" xfId="0" applyNumberFormat="1" applyFont="1"/>
    <xf numFmtId="166" fontId="1" fillId="0" borderId="0" xfId="11" applyNumberFormat="1" applyFont="1"/>
    <xf numFmtId="166" fontId="3" fillId="0" borderId="0" xfId="11" applyNumberFormat="1" applyFont="1"/>
    <xf numFmtId="166" fontId="12" fillId="0" borderId="0" xfId="11" applyNumberFormat="1" applyFont="1"/>
    <xf numFmtId="6" fontId="12" fillId="0" borderId="4" xfId="5" applyNumberFormat="1" applyFont="1" applyFill="1" applyBorder="1" applyAlignment="1">
      <alignment horizontal="right" vertical="center"/>
    </xf>
    <xf numFmtId="6" fontId="12" fillId="0" borderId="0" xfId="0" applyNumberFormat="1" applyFont="1" applyBorder="1" applyAlignment="1">
      <alignment horizontal="center" vertical="center"/>
    </xf>
    <xf numFmtId="6" fontId="12" fillId="0" borderId="4" xfId="0" applyNumberFormat="1" applyFont="1" applyFill="1" applyBorder="1" applyAlignment="1">
      <alignment horizontal="center" vertical="center"/>
    </xf>
    <xf numFmtId="6" fontId="12" fillId="0" borderId="4" xfId="0" applyNumberFormat="1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6" fontId="12" fillId="0" borderId="0" xfId="0" applyNumberFormat="1" applyFont="1"/>
    <xf numFmtId="0" fontId="12" fillId="0" borderId="10" xfId="0" applyFont="1" applyBorder="1" applyAlignment="1">
      <alignment horizontal="right" vertical="center"/>
    </xf>
    <xf numFmtId="0" fontId="4" fillId="2" borderId="21" xfId="0" applyFont="1" applyFill="1" applyBorder="1" applyAlignment="1">
      <alignment horizontal="centerContinuous"/>
    </xf>
    <xf numFmtId="6" fontId="12" fillId="0" borderId="3" xfId="0" applyNumberFormat="1" applyFont="1" applyFill="1" applyBorder="1" applyAlignment="1">
      <alignment vertical="center"/>
    </xf>
    <xf numFmtId="6" fontId="12" fillId="0" borderId="14" xfId="0" applyNumberFormat="1" applyFont="1" applyFill="1" applyBorder="1" applyAlignment="1">
      <alignment vertical="center"/>
    </xf>
    <xf numFmtId="6" fontId="12" fillId="0" borderId="8" xfId="0" applyNumberFormat="1" applyFont="1" applyFill="1" applyBorder="1" applyAlignment="1">
      <alignment vertical="center"/>
    </xf>
    <xf numFmtId="0" fontId="4" fillId="2" borderId="3" xfId="0" applyFont="1" applyFill="1" applyBorder="1"/>
    <xf numFmtId="0" fontId="4" fillId="2" borderId="10" xfId="0" applyFont="1" applyFill="1" applyBorder="1"/>
    <xf numFmtId="166" fontId="12" fillId="0" borderId="11" xfId="0" applyNumberFormat="1" applyFont="1" applyFill="1" applyBorder="1" applyAlignment="1">
      <alignment horizontal="right" vertical="center"/>
    </xf>
    <xf numFmtId="6" fontId="3" fillId="0" borderId="0" xfId="0" applyNumberFormat="1" applyFont="1" applyFill="1"/>
    <xf numFmtId="6" fontId="12" fillId="0" borderId="0" xfId="0" applyNumberFormat="1" applyFont="1" applyFill="1"/>
    <xf numFmtId="165" fontId="12" fillId="0" borderId="0" xfId="11" applyNumberFormat="1" applyFont="1"/>
    <xf numFmtId="0" fontId="21" fillId="0" borderId="0" xfId="0" applyFont="1"/>
    <xf numFmtId="0" fontId="12" fillId="0" borderId="5" xfId="0" applyFont="1" applyBorder="1"/>
    <xf numFmtId="0" fontId="12" fillId="0" borderId="0" xfId="0" applyFont="1" applyBorder="1"/>
    <xf numFmtId="0" fontId="12" fillId="0" borderId="0" xfId="0" applyFont="1"/>
    <xf numFmtId="6" fontId="12" fillId="0" borderId="3" xfId="0" applyNumberFormat="1" applyFont="1" applyFill="1" applyBorder="1" applyAlignment="1">
      <alignment horizontal="right" vertical="center"/>
    </xf>
    <xf numFmtId="6" fontId="12" fillId="0" borderId="0" xfId="0" applyNumberFormat="1" applyFont="1" applyFill="1" applyBorder="1" applyAlignment="1">
      <alignment horizontal="right" vertical="center"/>
    </xf>
    <xf numFmtId="6" fontId="12" fillId="0" borderId="13" xfId="0" applyNumberFormat="1" applyFont="1" applyFill="1" applyBorder="1" applyAlignment="1">
      <alignment vertical="center"/>
    </xf>
    <xf numFmtId="6" fontId="12" fillId="0" borderId="5" xfId="0" applyNumberFormat="1" applyFont="1" applyFill="1" applyBorder="1" applyAlignment="1">
      <alignment vertical="center"/>
    </xf>
    <xf numFmtId="164" fontId="12" fillId="0" borderId="3" xfId="0" applyNumberFormat="1" applyFont="1" applyFill="1" applyBorder="1" applyAlignment="1">
      <alignment vertical="center"/>
    </xf>
    <xf numFmtId="6" fontId="12" fillId="0" borderId="0" xfId="0" applyNumberFormat="1" applyFont="1" applyFill="1" applyBorder="1" applyAlignment="1">
      <alignment vertical="center"/>
    </xf>
    <xf numFmtId="164" fontId="12" fillId="0" borderId="0" xfId="12" applyNumberFormat="1" applyFont="1"/>
    <xf numFmtId="166" fontId="12" fillId="0" borderId="0" xfId="12" applyNumberFormat="1" applyFont="1"/>
    <xf numFmtId="167" fontId="12" fillId="0" borderId="0" xfId="0" applyNumberFormat="1" applyFont="1"/>
    <xf numFmtId="168" fontId="12" fillId="0" borderId="0" xfId="11" applyNumberFormat="1" applyFont="1"/>
    <xf numFmtId="0" fontId="10" fillId="2" borderId="10" xfId="0" applyFont="1" applyFill="1" applyBorder="1" applyAlignment="1">
      <alignment horizontal="center"/>
    </xf>
    <xf numFmtId="5" fontId="12" fillId="0" borderId="0" xfId="0" applyNumberFormat="1" applyFont="1" applyFill="1" applyBorder="1" applyAlignment="1">
      <alignment vertical="center"/>
    </xf>
    <xf numFmtId="5" fontId="12" fillId="0" borderId="0" xfId="0" applyNumberFormat="1" applyFont="1" applyBorder="1" applyAlignment="1">
      <alignment vertical="center"/>
    </xf>
    <xf numFmtId="5" fontId="12" fillId="0" borderId="5" xfId="0" applyNumberFormat="1" applyFont="1" applyFill="1" applyBorder="1" applyAlignment="1">
      <alignment vertical="center"/>
    </xf>
    <xf numFmtId="5" fontId="12" fillId="0" borderId="0" xfId="5" applyNumberFormat="1" applyFont="1" applyFill="1" applyBorder="1" applyAlignment="1">
      <alignment vertical="center"/>
    </xf>
    <xf numFmtId="5" fontId="17" fillId="0" borderId="0" xfId="5" applyNumberFormat="1" applyFont="1" applyFill="1" applyBorder="1" applyAlignment="1">
      <alignment vertical="center"/>
    </xf>
    <xf numFmtId="5" fontId="12" fillId="0" borderId="6" xfId="0" applyNumberFormat="1" applyFont="1" applyFill="1" applyBorder="1" applyAlignment="1">
      <alignment vertical="center"/>
    </xf>
    <xf numFmtId="5" fontId="12" fillId="0" borderId="4" xfId="0" applyNumberFormat="1" applyFont="1" applyFill="1" applyBorder="1" applyAlignment="1">
      <alignment vertical="center"/>
    </xf>
    <xf numFmtId="5" fontId="12" fillId="0" borderId="4" xfId="0" applyNumberFormat="1" applyFont="1" applyBorder="1" applyAlignment="1">
      <alignment vertical="center"/>
    </xf>
    <xf numFmtId="5" fontId="12" fillId="0" borderId="3" xfId="0" applyNumberFormat="1" applyFont="1" applyFill="1" applyBorder="1" applyAlignment="1">
      <alignment vertical="center"/>
    </xf>
    <xf numFmtId="6" fontId="17" fillId="0" borderId="0" xfId="0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horizontal="left" vertical="center" wrapText="1"/>
    </xf>
    <xf numFmtId="6" fontId="12" fillId="0" borderId="6" xfId="9" applyNumberFormat="1" applyFont="1" applyFill="1" applyBorder="1" applyAlignment="1">
      <alignment vertical="center"/>
    </xf>
    <xf numFmtId="6" fontId="12" fillId="3" borderId="17" xfId="0" applyNumberFormat="1" applyFont="1" applyFill="1" applyBorder="1" applyAlignment="1">
      <alignment vertical="center"/>
    </xf>
    <xf numFmtId="6" fontId="12" fillId="3" borderId="0" xfId="0" applyNumberFormat="1" applyFont="1" applyFill="1" applyBorder="1" applyAlignment="1">
      <alignment vertical="center"/>
    </xf>
    <xf numFmtId="0" fontId="1" fillId="0" borderId="0" xfId="5" applyFont="1" applyFill="1" applyAlignment="1">
      <alignment horizontal="left" vertical="center" wrapText="1"/>
    </xf>
    <xf numFmtId="0" fontId="10" fillId="2" borderId="11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" fillId="0" borderId="0" xfId="5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0" fillId="2" borderId="11" xfId="0" quotePrefix="1" applyFont="1" applyFill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 vertical="center"/>
    </xf>
    <xf numFmtId="0" fontId="10" fillId="2" borderId="10" xfId="0" quotePrefix="1" applyFont="1" applyFill="1" applyBorder="1" applyAlignment="1">
      <alignment horizontal="center" vertical="center"/>
    </xf>
    <xf numFmtId="0" fontId="10" fillId="2" borderId="6" xfId="0" quotePrefix="1" applyFont="1" applyFill="1" applyBorder="1" applyAlignment="1">
      <alignment horizontal="center" vertical="center"/>
    </xf>
    <xf numFmtId="0" fontId="10" fillId="2" borderId="4" xfId="0" quotePrefix="1" applyFont="1" applyFill="1" applyBorder="1" applyAlignment="1">
      <alignment horizontal="center" vertical="center"/>
    </xf>
    <xf numFmtId="0" fontId="10" fillId="2" borderId="8" xfId="0" quotePrefix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" fillId="0" borderId="0" xfId="5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" fillId="0" borderId="0" xfId="5" applyFont="1" applyFill="1" applyBorder="1" applyAlignment="1">
      <alignment horizontal="left" vertical="top" wrapText="1"/>
    </xf>
    <xf numFmtId="0" fontId="1" fillId="0" borderId="0" xfId="5" applyFont="1" applyFill="1" applyAlignment="1">
      <alignment horizontal="left" wrapText="1"/>
    </xf>
    <xf numFmtId="0" fontId="18" fillId="0" borderId="0" xfId="0" applyFont="1" applyAlignment="1">
      <alignment horizontal="left" wrapText="1"/>
    </xf>
  </cellXfs>
  <cellStyles count="14">
    <cellStyle name="Comma" xfId="11" builtinId="3"/>
    <cellStyle name="Comma 2" xfId="6"/>
    <cellStyle name="Comma 3" xfId="10"/>
    <cellStyle name="Normal" xfId="0" builtinId="0"/>
    <cellStyle name="Normal 2" xfId="1"/>
    <cellStyle name="Normal 2 2" xfId="5"/>
    <cellStyle name="Normal 3" xfId="2"/>
    <cellStyle name="Normal 3 2" xfId="7"/>
    <cellStyle name="Normal 4" xfId="3"/>
    <cellStyle name="Normal 4 2" xfId="4"/>
    <cellStyle name="Normal 4 3" xfId="8"/>
    <cellStyle name="Normal_Regents Tuition Options, 4-option request 2007 05 09 for FA and bursar w rate change 2" xfId="9"/>
    <cellStyle name="Percent" xfId="12" builtinId="5"/>
    <cellStyle name="Percent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10/relationships/person" Target="persons/person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%20and%20Finance/Budget%20Office/CU%20Budget/FY%202023/Tuition/COA/FY%2022-23%20COA%20Tables%20-%20Boulder%20edi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ident"/>
      <sheetName val="Resident Part-Time"/>
      <sheetName val="Non-Resident"/>
      <sheetName val="Non-Resident Part-Time"/>
    </sheetNames>
    <sheetDataSet>
      <sheetData sheetId="0">
        <row r="15">
          <cell r="K15">
            <v>12411</v>
          </cell>
          <cell r="L15">
            <v>7796</v>
          </cell>
        </row>
        <row r="16">
          <cell r="K16">
            <v>12411</v>
          </cell>
          <cell r="L16">
            <v>7796</v>
          </cell>
        </row>
        <row r="17">
          <cell r="K17">
            <v>12411</v>
          </cell>
          <cell r="L17">
            <v>7796</v>
          </cell>
        </row>
        <row r="18">
          <cell r="K18">
            <v>12411</v>
          </cell>
          <cell r="L18">
            <v>7796</v>
          </cell>
        </row>
        <row r="19">
          <cell r="K19">
            <v>12411</v>
          </cell>
          <cell r="L19">
            <v>7796</v>
          </cell>
        </row>
        <row r="20">
          <cell r="K20">
            <v>12411</v>
          </cell>
          <cell r="L20">
            <v>7796</v>
          </cell>
        </row>
        <row r="21">
          <cell r="K21">
            <v>12411</v>
          </cell>
          <cell r="L21">
            <v>7796</v>
          </cell>
        </row>
        <row r="22">
          <cell r="K22">
            <v>12411</v>
          </cell>
          <cell r="L22">
            <v>7796</v>
          </cell>
        </row>
        <row r="23">
          <cell r="K23">
            <v>12411</v>
          </cell>
          <cell r="L23">
            <v>7796</v>
          </cell>
        </row>
        <row r="24">
          <cell r="K24">
            <v>12411</v>
          </cell>
          <cell r="L24">
            <v>7796</v>
          </cell>
        </row>
        <row r="25">
          <cell r="K25">
            <v>12411</v>
          </cell>
          <cell r="L25">
            <v>7796</v>
          </cell>
        </row>
        <row r="26">
          <cell r="K26">
            <v>12411</v>
          </cell>
          <cell r="L26">
            <v>7796</v>
          </cell>
        </row>
        <row r="27">
          <cell r="K27">
            <v>12411</v>
          </cell>
          <cell r="L27">
            <v>7796</v>
          </cell>
        </row>
        <row r="28">
          <cell r="K28">
            <v>12411</v>
          </cell>
          <cell r="L28">
            <v>7796</v>
          </cell>
        </row>
        <row r="29">
          <cell r="K29">
            <v>12411</v>
          </cell>
          <cell r="L29">
            <v>7796</v>
          </cell>
        </row>
        <row r="30">
          <cell r="K30">
            <v>12411</v>
          </cell>
          <cell r="L30">
            <v>7796</v>
          </cell>
        </row>
        <row r="31">
          <cell r="K31">
            <v>12411</v>
          </cell>
          <cell r="L31">
            <v>7796</v>
          </cell>
        </row>
        <row r="32">
          <cell r="K32">
            <v>12411</v>
          </cell>
          <cell r="L32">
            <v>7796</v>
          </cell>
        </row>
        <row r="33">
          <cell r="K33">
            <v>12411</v>
          </cell>
          <cell r="L33">
            <v>7796</v>
          </cell>
        </row>
      </sheetData>
      <sheetData sheetId="1"/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8"/>
  <sheetViews>
    <sheetView tabSelected="1" view="pageBreakPreview" zoomScaleNormal="80" zoomScaleSheetLayoutView="100" workbookViewId="0">
      <selection activeCell="Q4" sqref="Q4"/>
    </sheetView>
  </sheetViews>
  <sheetFormatPr defaultColWidth="9.28515625" defaultRowHeight="12.75" x14ac:dyDescent="0.2"/>
  <cols>
    <col min="1" max="1" width="2" style="9" customWidth="1"/>
    <col min="2" max="2" width="2.42578125" style="9" customWidth="1"/>
    <col min="3" max="3" width="60.28515625" style="9" customWidth="1"/>
    <col min="4" max="4" width="12.42578125" style="22" bestFit="1" customWidth="1"/>
    <col min="5" max="7" width="12.42578125" style="9" bestFit="1" customWidth="1"/>
    <col min="8" max="8" width="12.42578125" style="11" bestFit="1" customWidth="1"/>
    <col min="9" max="12" width="11.7109375" style="9" bestFit="1" customWidth="1"/>
    <col min="13" max="13" width="11.7109375" style="11" bestFit="1" customWidth="1"/>
    <col min="14" max="14" width="10.140625" style="9" customWidth="1"/>
    <col min="15" max="15" width="12.7109375" style="11" customWidth="1"/>
    <col min="16" max="16" width="9.28515625" style="9"/>
    <col min="17" max="17" width="12.42578125" style="264" bestFit="1" customWidth="1"/>
    <col min="18" max="18" width="12.42578125" style="9" customWidth="1"/>
    <col min="19" max="19" width="13" style="9" bestFit="1" customWidth="1"/>
    <col min="20" max="20" width="11.7109375" style="9" bestFit="1" customWidth="1"/>
    <col min="21" max="16384" width="9.28515625" style="9"/>
  </cols>
  <sheetData>
    <row r="1" spans="1:19" ht="18" x14ac:dyDescent="0.25">
      <c r="A1" s="43" t="s">
        <v>29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9" ht="18" x14ac:dyDescent="0.25">
      <c r="A2" s="45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9" ht="18.75" thickBot="1" x14ac:dyDescent="0.3">
      <c r="A3" s="44" t="s">
        <v>78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9" s="1" customFormat="1" ht="15.75" customHeight="1" x14ac:dyDescent="0.25">
      <c r="A4" s="46"/>
      <c r="B4" s="47"/>
      <c r="C4" s="118"/>
      <c r="D4" s="321" t="s">
        <v>116</v>
      </c>
      <c r="E4" s="322"/>
      <c r="F4" s="322"/>
      <c r="G4" s="322"/>
      <c r="H4" s="323"/>
      <c r="I4" s="321" t="s">
        <v>131</v>
      </c>
      <c r="J4" s="322"/>
      <c r="K4" s="322"/>
      <c r="L4" s="322"/>
      <c r="M4" s="323"/>
      <c r="N4" s="315" t="s">
        <v>1</v>
      </c>
      <c r="O4" s="316"/>
      <c r="Q4" s="265"/>
    </row>
    <row r="5" spans="1:19" s="1" customFormat="1" ht="12.75" customHeight="1" thickBot="1" x14ac:dyDescent="0.3">
      <c r="A5" s="48"/>
      <c r="B5" s="49"/>
      <c r="C5" s="119"/>
      <c r="D5" s="324"/>
      <c r="E5" s="325"/>
      <c r="F5" s="325"/>
      <c r="G5" s="325"/>
      <c r="H5" s="326"/>
      <c r="I5" s="324"/>
      <c r="J5" s="325"/>
      <c r="K5" s="325"/>
      <c r="L5" s="325"/>
      <c r="M5" s="326"/>
      <c r="N5" s="318" t="s">
        <v>16</v>
      </c>
      <c r="O5" s="319"/>
      <c r="Q5" s="265"/>
    </row>
    <row r="6" spans="1:19" s="1" customFormat="1" ht="15" x14ac:dyDescent="0.25">
      <c r="A6" s="48"/>
      <c r="B6" s="49"/>
      <c r="C6" s="119"/>
      <c r="D6" s="255" t="s">
        <v>117</v>
      </c>
      <c r="E6" s="255" t="s">
        <v>117</v>
      </c>
      <c r="F6" s="255" t="s">
        <v>117</v>
      </c>
      <c r="G6" s="255" t="s">
        <v>117</v>
      </c>
      <c r="H6" s="255" t="s">
        <v>117</v>
      </c>
      <c r="I6" s="255" t="s">
        <v>132</v>
      </c>
      <c r="J6" s="255" t="s">
        <v>132</v>
      </c>
      <c r="K6" s="255" t="s">
        <v>132</v>
      </c>
      <c r="L6" s="255" t="s">
        <v>132</v>
      </c>
      <c r="M6" s="255" t="s">
        <v>132</v>
      </c>
      <c r="N6" s="50" t="s">
        <v>13</v>
      </c>
      <c r="O6" s="51" t="s">
        <v>14</v>
      </c>
      <c r="Q6" s="265"/>
    </row>
    <row r="7" spans="1:19" s="1" customFormat="1" ht="18" thickBot="1" x14ac:dyDescent="0.3">
      <c r="A7" s="52" t="s">
        <v>0</v>
      </c>
      <c r="B7" s="53"/>
      <c r="C7" s="120"/>
      <c r="D7" s="256" t="s">
        <v>63</v>
      </c>
      <c r="E7" s="256" t="s">
        <v>64</v>
      </c>
      <c r="F7" s="256" t="s">
        <v>65</v>
      </c>
      <c r="G7" s="256" t="s">
        <v>66</v>
      </c>
      <c r="H7" s="257" t="s">
        <v>15</v>
      </c>
      <c r="I7" s="256" t="s">
        <v>63</v>
      </c>
      <c r="J7" s="256" t="s">
        <v>64</v>
      </c>
      <c r="K7" s="256" t="s">
        <v>65</v>
      </c>
      <c r="L7" s="256" t="s">
        <v>66</v>
      </c>
      <c r="M7" s="257" t="s">
        <v>15</v>
      </c>
      <c r="N7" s="50" t="s">
        <v>1</v>
      </c>
      <c r="O7" s="54" t="s">
        <v>1</v>
      </c>
      <c r="Q7" s="265"/>
    </row>
    <row r="8" spans="1:19" s="157" customFormat="1" ht="15.75" thickBot="1" x14ac:dyDescent="0.3">
      <c r="A8" s="55" t="s">
        <v>11</v>
      </c>
      <c r="B8" s="56"/>
      <c r="C8" s="121"/>
      <c r="D8" s="57"/>
      <c r="E8" s="56"/>
      <c r="F8" s="56"/>
      <c r="G8" s="56"/>
      <c r="H8" s="58"/>
      <c r="I8" s="57"/>
      <c r="J8" s="56"/>
      <c r="K8" s="56"/>
      <c r="L8" s="56"/>
      <c r="M8" s="58"/>
      <c r="N8" s="57"/>
      <c r="O8" s="58"/>
      <c r="Q8" s="266"/>
    </row>
    <row r="9" spans="1:19" s="157" customFormat="1" ht="15.75" customHeight="1" x14ac:dyDescent="0.2">
      <c r="A9" s="61"/>
      <c r="B9" s="62" t="s">
        <v>102</v>
      </c>
      <c r="C9" s="274"/>
      <c r="D9" s="201"/>
      <c r="E9" s="205"/>
      <c r="F9" s="205"/>
      <c r="G9" s="191"/>
      <c r="H9" s="206"/>
      <c r="I9" s="201"/>
      <c r="J9" s="205"/>
      <c r="K9" s="205"/>
      <c r="L9" s="191"/>
      <c r="M9" s="206"/>
      <c r="N9" s="205"/>
      <c r="O9" s="206"/>
      <c r="Q9" s="266"/>
    </row>
    <row r="10" spans="1:19" s="157" customFormat="1" ht="15.75" customHeight="1" x14ac:dyDescent="0.2">
      <c r="A10" s="59"/>
      <c r="B10" s="60"/>
      <c r="C10" s="234" t="s">
        <v>137</v>
      </c>
      <c r="D10" s="156">
        <v>11040</v>
      </c>
      <c r="E10" s="175">
        <v>1766.3400000000001</v>
      </c>
      <c r="F10" s="290">
        <v>15676</v>
      </c>
      <c r="G10" s="135">
        <v>7310</v>
      </c>
      <c r="H10" s="66">
        <f>D10+E10+F10+G10</f>
        <v>35792.339999999997</v>
      </c>
      <c r="I10" s="156">
        <v>11520</v>
      </c>
      <c r="J10" s="175">
        <v>1586.3400000000001</v>
      </c>
      <c r="K10" s="290">
        <f t="array" ref="K10:K13">8073*2</f>
        <v>16146</v>
      </c>
      <c r="L10" s="135">
        <v>7796</v>
      </c>
      <c r="M10" s="66">
        <f>I10+J10+K10+L10</f>
        <v>37048.339999999997</v>
      </c>
      <c r="N10" s="131">
        <f>M10-H10</f>
        <v>1256</v>
      </c>
      <c r="O10" s="207">
        <f>N10/H10</f>
        <v>3.5091307246187316E-2</v>
      </c>
      <c r="P10" s="250"/>
      <c r="Q10" s="266"/>
      <c r="S10" s="263"/>
    </row>
    <row r="11" spans="1:19" s="157" customFormat="1" ht="15.75" customHeight="1" x14ac:dyDescent="0.2">
      <c r="A11" s="59"/>
      <c r="B11" s="60"/>
      <c r="C11" s="234" t="s">
        <v>136</v>
      </c>
      <c r="D11" s="156">
        <v>12816</v>
      </c>
      <c r="E11" s="175">
        <v>1766.3400000000001</v>
      </c>
      <c r="F11" s="290">
        <v>15676</v>
      </c>
      <c r="G11" s="135">
        <v>7310</v>
      </c>
      <c r="H11" s="66">
        <f>D11+E11+F11+G11</f>
        <v>37568.339999999997</v>
      </c>
      <c r="I11" s="156">
        <v>13296</v>
      </c>
      <c r="J11" s="175">
        <v>1586.3400000000001</v>
      </c>
      <c r="K11" s="290">
        <v>16146</v>
      </c>
      <c r="L11" s="135">
        <v>7796</v>
      </c>
      <c r="M11" s="66">
        <f>I11+J11+K11+L11</f>
        <v>38824.339999999997</v>
      </c>
      <c r="N11" s="131">
        <f>M11-H11</f>
        <v>1256</v>
      </c>
      <c r="O11" s="207">
        <f>N11/H11</f>
        <v>3.3432406116426762E-2</v>
      </c>
      <c r="P11" s="250"/>
      <c r="Q11" s="266"/>
    </row>
    <row r="12" spans="1:19" s="157" customFormat="1" ht="15.75" customHeight="1" x14ac:dyDescent="0.2">
      <c r="A12" s="59"/>
      <c r="B12" s="60"/>
      <c r="C12" s="234" t="s">
        <v>135</v>
      </c>
      <c r="D12" s="156">
        <v>14592</v>
      </c>
      <c r="E12" s="175">
        <v>1766.3400000000001</v>
      </c>
      <c r="F12" s="290">
        <v>15676</v>
      </c>
      <c r="G12" s="135">
        <v>7310</v>
      </c>
      <c r="H12" s="66">
        <f>D12+E12+F12+G12</f>
        <v>39344.339999999997</v>
      </c>
      <c r="I12" s="156">
        <v>15072</v>
      </c>
      <c r="J12" s="175">
        <v>1586.3400000000001</v>
      </c>
      <c r="K12" s="290">
        <v>16146</v>
      </c>
      <c r="L12" s="135">
        <v>7796</v>
      </c>
      <c r="M12" s="66">
        <f>I12+J12+K12+L12</f>
        <v>40600.339999999997</v>
      </c>
      <c r="N12" s="131">
        <f>M12-H12</f>
        <v>1256</v>
      </c>
      <c r="O12" s="207">
        <f>N12/H12</f>
        <v>3.1923270284874523E-2</v>
      </c>
      <c r="P12" s="250"/>
      <c r="Q12" s="266"/>
    </row>
    <row r="13" spans="1:19" s="157" customFormat="1" ht="15.75" customHeight="1" x14ac:dyDescent="0.2">
      <c r="A13" s="68"/>
      <c r="B13" s="69"/>
      <c r="C13" s="235" t="s">
        <v>134</v>
      </c>
      <c r="D13" s="106">
        <v>16512</v>
      </c>
      <c r="E13" s="180">
        <v>1766.3400000000001</v>
      </c>
      <c r="F13" s="107">
        <v>15676</v>
      </c>
      <c r="G13" s="179">
        <v>7310</v>
      </c>
      <c r="H13" s="71">
        <f>D13+E13+F13+G13</f>
        <v>41264.339999999997</v>
      </c>
      <c r="I13" s="106">
        <v>16992</v>
      </c>
      <c r="J13" s="180">
        <v>1586.3400000000001</v>
      </c>
      <c r="K13" s="107">
        <v>16146</v>
      </c>
      <c r="L13" s="179">
        <v>7796</v>
      </c>
      <c r="M13" s="71">
        <f>I13+J13+K13+L13</f>
        <v>42520.34</v>
      </c>
      <c r="N13" s="107">
        <f>M13-H13</f>
        <v>1256</v>
      </c>
      <c r="O13" s="208">
        <f>N13/H13</f>
        <v>3.0437903526386225E-2</v>
      </c>
      <c r="P13" s="250"/>
      <c r="Q13" s="266"/>
    </row>
    <row r="14" spans="1:19" s="157" customFormat="1" ht="15.75" customHeight="1" x14ac:dyDescent="0.2">
      <c r="A14" s="59"/>
      <c r="B14" s="60" t="s">
        <v>77</v>
      </c>
      <c r="C14" s="234"/>
      <c r="D14" s="156"/>
      <c r="E14" s="175"/>
      <c r="F14" s="290"/>
      <c r="G14" s="135"/>
      <c r="H14" s="66"/>
      <c r="I14" s="156"/>
      <c r="J14" s="175"/>
      <c r="K14" s="131"/>
      <c r="L14" s="135"/>
      <c r="M14" s="66"/>
      <c r="N14" s="131"/>
      <c r="O14" s="207"/>
      <c r="P14" s="250"/>
      <c r="Q14" s="266"/>
    </row>
    <row r="15" spans="1:19" s="157" customFormat="1" ht="15.75" customHeight="1" x14ac:dyDescent="0.2">
      <c r="A15" s="59"/>
      <c r="B15" s="60"/>
      <c r="C15" s="234" t="s">
        <v>19</v>
      </c>
      <c r="D15" s="302">
        <v>12168</v>
      </c>
      <c r="E15" s="304">
        <f>866.29*2</f>
        <v>1732.58</v>
      </c>
      <c r="F15" s="300">
        <v>11844</v>
      </c>
      <c r="G15" s="300">
        <v>7310</v>
      </c>
      <c r="H15" s="66">
        <f t="shared" ref="H15:H24" si="0">D15+E15+F15+G15</f>
        <v>33054.58</v>
      </c>
      <c r="I15" s="302">
        <v>12528</v>
      </c>
      <c r="J15" s="304">
        <f>776.29*2</f>
        <v>1552.58</v>
      </c>
      <c r="K15" s="300">
        <f>12411</f>
        <v>12411</v>
      </c>
      <c r="L15" s="301">
        <v>7796</v>
      </c>
      <c r="M15" s="66">
        <f>I15+J15+K15+L15</f>
        <v>34287.58</v>
      </c>
      <c r="N15" s="131">
        <f>M15-H15</f>
        <v>1233</v>
      </c>
      <c r="O15" s="207">
        <f>N15/H15</f>
        <v>3.7301941213592787E-2</v>
      </c>
      <c r="P15" s="250"/>
      <c r="Q15" s="266"/>
      <c r="R15" s="263"/>
    </row>
    <row r="16" spans="1:19" s="157" customFormat="1" ht="15.75" customHeight="1" x14ac:dyDescent="0.2">
      <c r="A16" s="59"/>
      <c r="B16" s="60"/>
      <c r="C16" s="234" t="s">
        <v>43</v>
      </c>
      <c r="D16" s="302">
        <v>13896</v>
      </c>
      <c r="E16" s="304">
        <v>1732.5800000000002</v>
      </c>
      <c r="F16" s="300">
        <v>11844</v>
      </c>
      <c r="G16" s="300">
        <v>7310</v>
      </c>
      <c r="H16" s="66">
        <f t="shared" si="0"/>
        <v>34782.58</v>
      </c>
      <c r="I16" s="302">
        <v>14310</v>
      </c>
      <c r="J16" s="304">
        <f t="shared" ref="J16:J29" si="1">776.29*2</f>
        <v>1552.58</v>
      </c>
      <c r="K16" s="300">
        <v>12411</v>
      </c>
      <c r="L16" s="301">
        <v>7796</v>
      </c>
      <c r="M16" s="66">
        <f>I16+J16+K16+L16</f>
        <v>36069.58</v>
      </c>
      <c r="N16" s="131">
        <f>M16-H16</f>
        <v>1287</v>
      </c>
      <c r="O16" s="207">
        <f t="shared" ref="O16:O29" si="2">N16/H16</f>
        <v>3.7001280526056432E-2</v>
      </c>
      <c r="P16" s="250"/>
      <c r="Q16" s="266"/>
    </row>
    <row r="17" spans="1:19" s="157" customFormat="1" ht="15.75" customHeight="1" x14ac:dyDescent="0.2">
      <c r="A17" s="59"/>
      <c r="B17" s="60"/>
      <c r="C17" s="182" t="s">
        <v>44</v>
      </c>
      <c r="D17" s="302">
        <v>22896</v>
      </c>
      <c r="E17" s="304">
        <v>1732.5800000000002</v>
      </c>
      <c r="F17" s="300">
        <v>11844</v>
      </c>
      <c r="G17" s="301">
        <v>7310</v>
      </c>
      <c r="H17" s="66">
        <f t="shared" si="0"/>
        <v>43782.58</v>
      </c>
      <c r="I17" s="302">
        <v>23568</v>
      </c>
      <c r="J17" s="304">
        <f t="shared" si="1"/>
        <v>1552.58</v>
      </c>
      <c r="K17" s="300">
        <v>12411</v>
      </c>
      <c r="L17" s="301">
        <v>7796</v>
      </c>
      <c r="M17" s="66">
        <f>I17+J17+K17+L17</f>
        <v>45327.58</v>
      </c>
      <c r="N17" s="131">
        <f t="shared" ref="N17:N29" si="3">M17-H17</f>
        <v>1545</v>
      </c>
      <c r="O17" s="207">
        <f t="shared" si="2"/>
        <v>3.5288007239408913E-2</v>
      </c>
      <c r="P17" s="250"/>
      <c r="Q17" s="266"/>
    </row>
    <row r="18" spans="1:19" s="157" customFormat="1" ht="15.75" customHeight="1" x14ac:dyDescent="0.2">
      <c r="A18" s="59"/>
      <c r="B18" s="60"/>
      <c r="C18" s="182" t="s">
        <v>45</v>
      </c>
      <c r="D18" s="302">
        <v>25272</v>
      </c>
      <c r="E18" s="304">
        <v>1732.5800000000002</v>
      </c>
      <c r="F18" s="300">
        <v>11844</v>
      </c>
      <c r="G18" s="301">
        <v>7310</v>
      </c>
      <c r="H18" s="66">
        <f t="shared" si="0"/>
        <v>46158.58</v>
      </c>
      <c r="I18" s="302">
        <v>26016</v>
      </c>
      <c r="J18" s="304">
        <f t="shared" si="1"/>
        <v>1552.58</v>
      </c>
      <c r="K18" s="300">
        <v>12411</v>
      </c>
      <c r="L18" s="301">
        <v>7796</v>
      </c>
      <c r="M18" s="66">
        <f>I18+J18+K18+L18</f>
        <v>47775.58</v>
      </c>
      <c r="N18" s="131">
        <f t="shared" si="3"/>
        <v>1617</v>
      </c>
      <c r="O18" s="207">
        <f t="shared" si="2"/>
        <v>3.5031406945360971E-2</v>
      </c>
      <c r="P18" s="250"/>
      <c r="Q18" s="266"/>
    </row>
    <row r="19" spans="1:19" s="157" customFormat="1" ht="15.75" customHeight="1" x14ac:dyDescent="0.2">
      <c r="A19" s="59"/>
      <c r="B19" s="60"/>
      <c r="C19" s="182" t="s">
        <v>46</v>
      </c>
      <c r="D19" s="302">
        <v>17370</v>
      </c>
      <c r="E19" s="304">
        <v>1732.5800000000002</v>
      </c>
      <c r="F19" s="300">
        <v>11844</v>
      </c>
      <c r="G19" s="301">
        <v>7310</v>
      </c>
      <c r="H19" s="66">
        <f t="shared" si="0"/>
        <v>38256.58</v>
      </c>
      <c r="I19" s="302">
        <v>17874</v>
      </c>
      <c r="J19" s="304">
        <f t="shared" si="1"/>
        <v>1552.58</v>
      </c>
      <c r="K19" s="300">
        <v>12411</v>
      </c>
      <c r="L19" s="301">
        <v>7796</v>
      </c>
      <c r="M19" s="66">
        <f t="shared" ref="M19:M24" si="4">I19+J19+K19+L19</f>
        <v>39633.58</v>
      </c>
      <c r="N19" s="131">
        <f t="shared" si="3"/>
        <v>1377</v>
      </c>
      <c r="O19" s="207">
        <f t="shared" si="2"/>
        <v>3.5993808123988079E-2</v>
      </c>
      <c r="P19" s="250"/>
      <c r="Q19" s="266"/>
    </row>
    <row r="20" spans="1:19" s="157" customFormat="1" ht="15.75" customHeight="1" x14ac:dyDescent="0.2">
      <c r="A20" s="59"/>
      <c r="B20" s="60"/>
      <c r="C20" s="182" t="s">
        <v>86</v>
      </c>
      <c r="D20" s="302">
        <v>15822</v>
      </c>
      <c r="E20" s="304">
        <v>1732.5800000000002</v>
      </c>
      <c r="F20" s="300">
        <v>11844</v>
      </c>
      <c r="G20" s="301">
        <v>7310</v>
      </c>
      <c r="H20" s="66">
        <f t="shared" si="0"/>
        <v>36708.58</v>
      </c>
      <c r="I20" s="302">
        <v>16290</v>
      </c>
      <c r="J20" s="304">
        <f t="shared" si="1"/>
        <v>1552.58</v>
      </c>
      <c r="K20" s="300">
        <v>12411</v>
      </c>
      <c r="L20" s="301">
        <v>7796</v>
      </c>
      <c r="M20" s="66">
        <f t="shared" si="4"/>
        <v>38049.58</v>
      </c>
      <c r="N20" s="131">
        <f t="shared" si="3"/>
        <v>1341</v>
      </c>
      <c r="O20" s="207">
        <f t="shared" si="2"/>
        <v>3.6530969054101248E-2</v>
      </c>
      <c r="P20" s="250"/>
      <c r="Q20" s="266"/>
    </row>
    <row r="21" spans="1:19" s="157" customFormat="1" ht="15.75" customHeight="1" x14ac:dyDescent="0.2">
      <c r="A21" s="59"/>
      <c r="B21" s="60"/>
      <c r="C21" s="182" t="s">
        <v>87</v>
      </c>
      <c r="D21" s="302">
        <v>27528</v>
      </c>
      <c r="E21" s="304">
        <v>1732.5800000000002</v>
      </c>
      <c r="F21" s="300">
        <v>11844</v>
      </c>
      <c r="G21" s="301">
        <v>7310</v>
      </c>
      <c r="H21" s="66">
        <f t="shared" si="0"/>
        <v>48414.58</v>
      </c>
      <c r="I21" s="302">
        <v>28344</v>
      </c>
      <c r="J21" s="304">
        <f t="shared" si="1"/>
        <v>1552.58</v>
      </c>
      <c r="K21" s="300">
        <v>12411</v>
      </c>
      <c r="L21" s="301">
        <v>7796</v>
      </c>
      <c r="M21" s="66">
        <f t="shared" si="4"/>
        <v>50103.58</v>
      </c>
      <c r="N21" s="131">
        <f t="shared" si="3"/>
        <v>1689</v>
      </c>
      <c r="O21" s="207">
        <f t="shared" si="2"/>
        <v>3.4886185112005516E-2</v>
      </c>
      <c r="P21" s="250"/>
      <c r="Q21" s="266"/>
    </row>
    <row r="22" spans="1:19" s="157" customFormat="1" ht="15.75" customHeight="1" x14ac:dyDescent="0.2">
      <c r="A22" s="59"/>
      <c r="B22" s="60"/>
      <c r="C22" s="182" t="s">
        <v>47</v>
      </c>
      <c r="D22" s="302">
        <v>30600</v>
      </c>
      <c r="E22" s="304">
        <v>1732.5800000000002</v>
      </c>
      <c r="F22" s="300">
        <v>11844</v>
      </c>
      <c r="G22" s="301">
        <v>7310</v>
      </c>
      <c r="H22" s="66">
        <f t="shared" si="0"/>
        <v>51486.58</v>
      </c>
      <c r="I22" s="302">
        <v>31518</v>
      </c>
      <c r="J22" s="304">
        <f t="shared" si="1"/>
        <v>1552.58</v>
      </c>
      <c r="K22" s="300">
        <v>12411</v>
      </c>
      <c r="L22" s="301">
        <v>7796</v>
      </c>
      <c r="M22" s="66">
        <f>I22+J22+K22+L22</f>
        <v>53277.58</v>
      </c>
      <c r="N22" s="131">
        <f>M22-H22</f>
        <v>1791</v>
      </c>
      <c r="O22" s="207">
        <f t="shared" si="2"/>
        <v>3.4785763591211535E-2</v>
      </c>
      <c r="P22" s="250"/>
      <c r="Q22" s="266"/>
      <c r="R22" s="295"/>
    </row>
    <row r="23" spans="1:19" s="157" customFormat="1" ht="15.75" customHeight="1" x14ac:dyDescent="0.2">
      <c r="A23" s="59"/>
      <c r="B23" s="60"/>
      <c r="C23" s="182" t="s">
        <v>84</v>
      </c>
      <c r="D23" s="302">
        <v>28488</v>
      </c>
      <c r="E23" s="304">
        <v>1732.5800000000002</v>
      </c>
      <c r="F23" s="300">
        <v>11844</v>
      </c>
      <c r="G23" s="300">
        <v>7310</v>
      </c>
      <c r="H23" s="66">
        <f t="shared" si="0"/>
        <v>49374.58</v>
      </c>
      <c r="I23" s="302">
        <v>29328</v>
      </c>
      <c r="J23" s="304">
        <f t="shared" si="1"/>
        <v>1552.58</v>
      </c>
      <c r="K23" s="300">
        <v>12411</v>
      </c>
      <c r="L23" s="300">
        <v>7796</v>
      </c>
      <c r="M23" s="66">
        <f t="shared" si="4"/>
        <v>51087.58</v>
      </c>
      <c r="N23" s="131">
        <f t="shared" si="3"/>
        <v>1713</v>
      </c>
      <c r="O23" s="207">
        <f t="shared" si="2"/>
        <v>3.4693966004369046E-2</v>
      </c>
      <c r="P23" s="250"/>
      <c r="Q23" s="266"/>
      <c r="S23" s="273"/>
    </row>
    <row r="24" spans="1:19" s="157" customFormat="1" ht="15.75" customHeight="1" x14ac:dyDescent="0.2">
      <c r="A24" s="59"/>
      <c r="B24" s="60"/>
      <c r="C24" s="182" t="s">
        <v>85</v>
      </c>
      <c r="D24" s="302">
        <v>26208</v>
      </c>
      <c r="E24" s="304">
        <v>1732.5800000000002</v>
      </c>
      <c r="F24" s="300">
        <v>11844</v>
      </c>
      <c r="G24" s="301">
        <v>7310</v>
      </c>
      <c r="H24" s="66">
        <f t="shared" si="0"/>
        <v>47094.58</v>
      </c>
      <c r="I24" s="302">
        <v>26976</v>
      </c>
      <c r="J24" s="304">
        <f t="shared" si="1"/>
        <v>1552.58</v>
      </c>
      <c r="K24" s="300">
        <v>12411</v>
      </c>
      <c r="L24" s="301">
        <v>7796</v>
      </c>
      <c r="M24" s="66">
        <f t="shared" si="4"/>
        <v>48735.58</v>
      </c>
      <c r="N24" s="131">
        <f t="shared" si="3"/>
        <v>1641</v>
      </c>
      <c r="O24" s="207">
        <f t="shared" si="2"/>
        <v>3.484477406954261E-2</v>
      </c>
      <c r="P24" s="250"/>
      <c r="Q24" s="266"/>
    </row>
    <row r="25" spans="1:19" s="157" customFormat="1" ht="15.75" customHeight="1" x14ac:dyDescent="0.2">
      <c r="A25" s="59"/>
      <c r="B25" s="60"/>
      <c r="C25" s="182" t="s">
        <v>138</v>
      </c>
      <c r="D25" s="302">
        <v>22896</v>
      </c>
      <c r="E25" s="304">
        <v>1732.5800000000002</v>
      </c>
      <c r="F25" s="300">
        <v>11844</v>
      </c>
      <c r="G25" s="300">
        <v>7310</v>
      </c>
      <c r="H25" s="66">
        <f t="shared" ref="H25:H33" si="5">SUM(D25:G25)</f>
        <v>43782.58</v>
      </c>
      <c r="I25" s="302">
        <v>23568</v>
      </c>
      <c r="J25" s="304">
        <f t="shared" si="1"/>
        <v>1552.58</v>
      </c>
      <c r="K25" s="300">
        <v>12411</v>
      </c>
      <c r="L25" s="300">
        <v>7796</v>
      </c>
      <c r="M25" s="66">
        <f t="shared" ref="M25:M33" si="6">SUM(I25:L25)</f>
        <v>45327.58</v>
      </c>
      <c r="N25" s="131">
        <f t="shared" si="3"/>
        <v>1545</v>
      </c>
      <c r="O25" s="207">
        <f t="shared" si="2"/>
        <v>3.5288007239408913E-2</v>
      </c>
      <c r="P25" s="250"/>
      <c r="Q25" s="266"/>
    </row>
    <row r="26" spans="1:19" s="157" customFormat="1" ht="15.75" customHeight="1" x14ac:dyDescent="0.2">
      <c r="A26" s="59"/>
      <c r="B26" s="60"/>
      <c r="C26" s="182" t="s">
        <v>105</v>
      </c>
      <c r="D26" s="302">
        <v>24768</v>
      </c>
      <c r="E26" s="304">
        <v>1732.5800000000002</v>
      </c>
      <c r="F26" s="300">
        <v>11844</v>
      </c>
      <c r="G26" s="300">
        <v>7310</v>
      </c>
      <c r="H26" s="66">
        <f t="shared" si="5"/>
        <v>45654.58</v>
      </c>
      <c r="I26" s="302">
        <v>25488</v>
      </c>
      <c r="J26" s="304">
        <f t="shared" si="1"/>
        <v>1552.58</v>
      </c>
      <c r="K26" s="300">
        <v>12411</v>
      </c>
      <c r="L26" s="300">
        <v>7796</v>
      </c>
      <c r="M26" s="66">
        <f t="shared" si="6"/>
        <v>47247.58</v>
      </c>
      <c r="N26" s="131">
        <f t="shared" si="3"/>
        <v>1593</v>
      </c>
      <c r="O26" s="207">
        <f t="shared" si="2"/>
        <v>3.4892446716189261E-2</v>
      </c>
      <c r="P26" s="250"/>
      <c r="Q26" s="266"/>
    </row>
    <row r="27" spans="1:19" s="157" customFormat="1" ht="15.75" customHeight="1" x14ac:dyDescent="0.2">
      <c r="A27" s="59"/>
      <c r="B27" s="60"/>
      <c r="C27" s="182" t="s">
        <v>82</v>
      </c>
      <c r="D27" s="302">
        <v>27528</v>
      </c>
      <c r="E27" s="304">
        <v>1732.5800000000002</v>
      </c>
      <c r="F27" s="300">
        <v>11844</v>
      </c>
      <c r="G27" s="300">
        <v>7310</v>
      </c>
      <c r="H27" s="66">
        <f t="shared" si="5"/>
        <v>48414.58</v>
      </c>
      <c r="I27" s="302">
        <v>28344</v>
      </c>
      <c r="J27" s="304">
        <f t="shared" si="1"/>
        <v>1552.58</v>
      </c>
      <c r="K27" s="300">
        <v>12411</v>
      </c>
      <c r="L27" s="300">
        <v>7796</v>
      </c>
      <c r="M27" s="66">
        <f t="shared" si="6"/>
        <v>50103.58</v>
      </c>
      <c r="N27" s="131">
        <f>M27-H27</f>
        <v>1689</v>
      </c>
      <c r="O27" s="207">
        <f>N27/H27</f>
        <v>3.4886185112005516E-2</v>
      </c>
      <c r="P27" s="250"/>
      <c r="Q27" s="266"/>
    </row>
    <row r="28" spans="1:19" s="157" customFormat="1" ht="15.75" customHeight="1" x14ac:dyDescent="0.2">
      <c r="A28" s="59"/>
      <c r="B28" s="60"/>
      <c r="C28" s="182" t="s">
        <v>83</v>
      </c>
      <c r="D28" s="302">
        <v>27528</v>
      </c>
      <c r="E28" s="304">
        <v>1732.5800000000002</v>
      </c>
      <c r="F28" s="300">
        <v>11844</v>
      </c>
      <c r="G28" s="300">
        <v>7310</v>
      </c>
      <c r="H28" s="66">
        <f t="shared" si="5"/>
        <v>48414.58</v>
      </c>
      <c r="I28" s="302">
        <v>28344</v>
      </c>
      <c r="J28" s="304">
        <f t="shared" si="1"/>
        <v>1552.58</v>
      </c>
      <c r="K28" s="300">
        <v>12411</v>
      </c>
      <c r="L28" s="300">
        <v>7796</v>
      </c>
      <c r="M28" s="66">
        <f t="shared" si="6"/>
        <v>50103.58</v>
      </c>
      <c r="N28" s="131">
        <f>M28-H28</f>
        <v>1689</v>
      </c>
      <c r="O28" s="207">
        <f>N28/H28</f>
        <v>3.4886185112005516E-2</v>
      </c>
      <c r="P28" s="250"/>
      <c r="Q28" s="266"/>
    </row>
    <row r="29" spans="1:19" s="157" customFormat="1" ht="15.75" customHeight="1" x14ac:dyDescent="0.2">
      <c r="A29" s="59"/>
      <c r="B29" s="60"/>
      <c r="C29" s="182" t="s">
        <v>76</v>
      </c>
      <c r="D29" s="302">
        <v>26016</v>
      </c>
      <c r="E29" s="304">
        <v>1732.5800000000002</v>
      </c>
      <c r="F29" s="300">
        <v>11844</v>
      </c>
      <c r="G29" s="301">
        <v>7310</v>
      </c>
      <c r="H29" s="66">
        <f t="shared" si="5"/>
        <v>46902.58</v>
      </c>
      <c r="I29" s="302">
        <v>26784</v>
      </c>
      <c r="J29" s="304">
        <f t="shared" si="1"/>
        <v>1552.58</v>
      </c>
      <c r="K29" s="300">
        <v>12411</v>
      </c>
      <c r="L29" s="301">
        <v>7796</v>
      </c>
      <c r="M29" s="66">
        <f t="shared" si="6"/>
        <v>48543.58</v>
      </c>
      <c r="N29" s="131">
        <f t="shared" si="3"/>
        <v>1641</v>
      </c>
      <c r="O29" s="207">
        <f t="shared" si="2"/>
        <v>3.4987414338400996E-2</v>
      </c>
      <c r="P29" s="250"/>
      <c r="Q29" s="266"/>
    </row>
    <row r="30" spans="1:19" s="157" customFormat="1" ht="15.75" customHeight="1" x14ac:dyDescent="0.2">
      <c r="A30" s="59"/>
      <c r="B30" s="60"/>
      <c r="C30" s="182" t="s">
        <v>118</v>
      </c>
      <c r="D30" s="302">
        <v>11664</v>
      </c>
      <c r="E30" s="304">
        <f>(67.24+12+11.62)*2</f>
        <v>181.72</v>
      </c>
      <c r="F30" s="300">
        <v>11844</v>
      </c>
      <c r="G30" s="301">
        <v>7310</v>
      </c>
      <c r="H30" s="289">
        <f t="shared" si="5"/>
        <v>30999.72</v>
      </c>
      <c r="I30" s="302">
        <v>11664</v>
      </c>
      <c r="J30" s="304">
        <f>(67.24+12+11.62)*2</f>
        <v>181.72</v>
      </c>
      <c r="K30" s="300">
        <v>12411</v>
      </c>
      <c r="L30" s="301">
        <v>7796</v>
      </c>
      <c r="M30" s="66">
        <f t="shared" si="6"/>
        <v>32052.720000000001</v>
      </c>
      <c r="N30" s="290">
        <f>M30-H30</f>
        <v>1053</v>
      </c>
      <c r="O30" s="207">
        <f>N30/H30</f>
        <v>3.3968048743666074E-2</v>
      </c>
      <c r="P30" s="250"/>
      <c r="Q30" s="266"/>
    </row>
    <row r="31" spans="1:19" s="157" customFormat="1" ht="15.75" customHeight="1" x14ac:dyDescent="0.2">
      <c r="A31" s="59"/>
      <c r="B31" s="60"/>
      <c r="C31" s="182" t="s">
        <v>119</v>
      </c>
      <c r="D31" s="302">
        <v>17400</v>
      </c>
      <c r="E31" s="304">
        <f>(67.24+12+11.62)*2</f>
        <v>181.72</v>
      </c>
      <c r="F31" s="300">
        <v>11844</v>
      </c>
      <c r="G31" s="301">
        <v>7310</v>
      </c>
      <c r="H31" s="289">
        <f t="shared" si="5"/>
        <v>36735.72</v>
      </c>
      <c r="I31" s="302">
        <v>17904</v>
      </c>
      <c r="J31" s="304">
        <f>(67.24+12+11.62)*2</f>
        <v>181.72</v>
      </c>
      <c r="K31" s="300">
        <v>12411</v>
      </c>
      <c r="L31" s="301">
        <v>7796</v>
      </c>
      <c r="M31" s="66">
        <f t="shared" si="6"/>
        <v>38292.720000000001</v>
      </c>
      <c r="N31" s="290">
        <f>M31-H31</f>
        <v>1557</v>
      </c>
      <c r="O31" s="207">
        <f>N31/H31</f>
        <v>4.2383816078737535E-2</v>
      </c>
      <c r="P31" s="250"/>
      <c r="Q31" s="266"/>
    </row>
    <row r="32" spans="1:19" s="157" customFormat="1" ht="15.75" customHeight="1" x14ac:dyDescent="0.2">
      <c r="A32" s="59"/>
      <c r="B32" s="60"/>
      <c r="C32" s="182" t="s">
        <v>120</v>
      </c>
      <c r="D32" s="302">
        <v>26736</v>
      </c>
      <c r="E32" s="304">
        <f>(67.24+12+11.62)*2</f>
        <v>181.72</v>
      </c>
      <c r="F32" s="300">
        <v>11844</v>
      </c>
      <c r="G32" s="301">
        <v>7310</v>
      </c>
      <c r="H32" s="289">
        <f t="shared" si="5"/>
        <v>46071.72</v>
      </c>
      <c r="I32" s="302">
        <v>27528</v>
      </c>
      <c r="J32" s="304">
        <f>(67.24+12+11.62)*2</f>
        <v>181.72</v>
      </c>
      <c r="K32" s="300">
        <v>12411</v>
      </c>
      <c r="L32" s="301">
        <v>7796</v>
      </c>
      <c r="M32" s="66">
        <f t="shared" si="6"/>
        <v>47916.72</v>
      </c>
      <c r="N32" s="290">
        <f>M32-H32</f>
        <v>1845</v>
      </c>
      <c r="O32" s="207">
        <f>N32/H32</f>
        <v>4.0046258312040443E-2</v>
      </c>
      <c r="P32" s="250"/>
      <c r="Q32" s="295"/>
    </row>
    <row r="33" spans="1:22" s="157" customFormat="1" ht="15.75" customHeight="1" thickBot="1" x14ac:dyDescent="0.25">
      <c r="A33" s="77"/>
      <c r="B33" s="78"/>
      <c r="C33" s="244" t="s">
        <v>121</v>
      </c>
      <c r="D33" s="305">
        <v>17400</v>
      </c>
      <c r="E33" s="304">
        <f>(67.24+12+11.62)*2</f>
        <v>181.72</v>
      </c>
      <c r="F33" s="306">
        <v>11844</v>
      </c>
      <c r="G33" s="307">
        <v>7310</v>
      </c>
      <c r="H33" s="289">
        <f t="shared" si="5"/>
        <v>36735.72</v>
      </c>
      <c r="I33" s="305">
        <v>17904</v>
      </c>
      <c r="J33" s="304">
        <f>(67.24+12+11.62)*2</f>
        <v>181.72</v>
      </c>
      <c r="K33" s="306">
        <v>12411</v>
      </c>
      <c r="L33" s="307">
        <v>7796</v>
      </c>
      <c r="M33" s="79">
        <f t="shared" si="6"/>
        <v>38292.720000000001</v>
      </c>
      <c r="N33" s="290">
        <f>M33-H33</f>
        <v>1557</v>
      </c>
      <c r="O33" s="207">
        <f>N33/H33</f>
        <v>4.2383816078737535E-2</v>
      </c>
      <c r="P33" s="250"/>
      <c r="Q33" s="266"/>
      <c r="R33" s="295"/>
    </row>
    <row r="34" spans="1:22" s="157" customFormat="1" ht="15.75" thickBot="1" x14ac:dyDescent="0.3">
      <c r="A34" s="55" t="s">
        <v>5</v>
      </c>
      <c r="B34" s="56"/>
      <c r="C34" s="236"/>
      <c r="D34" s="187"/>
      <c r="E34" s="138"/>
      <c r="F34" s="186"/>
      <c r="G34" s="138"/>
      <c r="H34" s="73"/>
      <c r="I34" s="187"/>
      <c r="J34" s="138"/>
      <c r="K34" s="186"/>
      <c r="L34" s="138"/>
      <c r="M34" s="73"/>
      <c r="N34" s="187"/>
      <c r="O34" s="210"/>
      <c r="P34" s="250"/>
      <c r="Q34" s="295"/>
      <c r="R34" s="296"/>
    </row>
    <row r="35" spans="1:22" s="157" customFormat="1" ht="15.75" customHeight="1" x14ac:dyDescent="0.2">
      <c r="A35" s="59"/>
      <c r="B35" s="60" t="s">
        <v>2</v>
      </c>
      <c r="C35" s="234"/>
      <c r="D35" s="192"/>
      <c r="E35" s="135"/>
      <c r="F35" s="190"/>
      <c r="G35" s="191"/>
      <c r="H35" s="74"/>
      <c r="I35" s="192"/>
      <c r="J35" s="135"/>
      <c r="K35" s="190"/>
      <c r="L35" s="191"/>
      <c r="M35" s="74"/>
      <c r="N35" s="192"/>
      <c r="O35" s="211"/>
      <c r="P35" s="250"/>
      <c r="Q35" s="266"/>
      <c r="R35" s="295"/>
    </row>
    <row r="36" spans="1:22" s="157" customFormat="1" ht="15.75" customHeight="1" x14ac:dyDescent="0.2">
      <c r="A36" s="59"/>
      <c r="B36" s="60"/>
      <c r="C36" s="234" t="s">
        <v>24</v>
      </c>
      <c r="D36" s="290">
        <v>9118</v>
      </c>
      <c r="E36" s="290">
        <v>1641.7</v>
      </c>
      <c r="F36" s="290">
        <v>12678</v>
      </c>
      <c r="G36" s="135">
        <v>7310</v>
      </c>
      <c r="H36" s="66">
        <f>D36+E36+F36+G36</f>
        <v>30747.7</v>
      </c>
      <c r="I36" s="131">
        <v>9540</v>
      </c>
      <c r="J36" s="131">
        <v>1488.54</v>
      </c>
      <c r="K36" s="290">
        <f>6549*2</f>
        <v>13098</v>
      </c>
      <c r="L36" s="135">
        <v>7796</v>
      </c>
      <c r="M36" s="66">
        <f>I36+J36+K36+L36</f>
        <v>31922.54</v>
      </c>
      <c r="N36" s="156">
        <f>M36-H36</f>
        <v>1174.8400000000001</v>
      </c>
      <c r="O36" s="207">
        <f>N36/H36</f>
        <v>3.8209036773482245E-2</v>
      </c>
      <c r="P36" s="250"/>
      <c r="Q36" s="266"/>
      <c r="V36" s="295"/>
    </row>
    <row r="37" spans="1:22" s="157" customFormat="1" ht="15.75" customHeight="1" x14ac:dyDescent="0.2">
      <c r="A37" s="59"/>
      <c r="B37" s="60"/>
      <c r="C37" s="234" t="s">
        <v>48</v>
      </c>
      <c r="D37" s="290">
        <v>9920</v>
      </c>
      <c r="E37" s="290">
        <v>1641.7</v>
      </c>
      <c r="F37" s="290">
        <v>12678</v>
      </c>
      <c r="G37" s="135">
        <v>7310</v>
      </c>
      <c r="H37" s="66">
        <f>D37+E37+F37+G37</f>
        <v>31549.7</v>
      </c>
      <c r="I37" s="131">
        <v>10358</v>
      </c>
      <c r="J37" s="131">
        <v>1488.54</v>
      </c>
      <c r="K37" s="290">
        <f>6429*2</f>
        <v>12858</v>
      </c>
      <c r="L37" s="135">
        <v>7796</v>
      </c>
      <c r="M37" s="66">
        <f>I37+J37+K37+L37</f>
        <v>32500.54</v>
      </c>
      <c r="N37" s="156">
        <f>M37-H37</f>
        <v>950.84000000000015</v>
      </c>
      <c r="O37" s="207">
        <f>N37/H37</f>
        <v>3.013784600170525E-2</v>
      </c>
      <c r="P37" s="250"/>
      <c r="Q37" s="266"/>
      <c r="V37" s="295"/>
    </row>
    <row r="38" spans="1:22" s="157" customFormat="1" ht="15.75" customHeight="1" x14ac:dyDescent="0.2">
      <c r="A38" s="59"/>
      <c r="B38" s="60"/>
      <c r="C38" s="234" t="s">
        <v>21</v>
      </c>
      <c r="D38" s="290">
        <v>11310</v>
      </c>
      <c r="E38" s="290">
        <v>1641.7</v>
      </c>
      <c r="F38" s="290">
        <v>12678</v>
      </c>
      <c r="G38" s="135">
        <v>7310</v>
      </c>
      <c r="H38" s="66">
        <f>D38+E38+F38+G38</f>
        <v>32939.699999999997</v>
      </c>
      <c r="I38" s="131">
        <v>11776</v>
      </c>
      <c r="J38" s="131">
        <v>1488.54</v>
      </c>
      <c r="K38" s="290">
        <f>6429*2</f>
        <v>12858</v>
      </c>
      <c r="L38" s="135">
        <v>7796</v>
      </c>
      <c r="M38" s="66">
        <f>I38+J38+K38+L38</f>
        <v>33918.54</v>
      </c>
      <c r="N38" s="156">
        <f>M38-H38</f>
        <v>978.84000000000378</v>
      </c>
      <c r="O38" s="207">
        <f>N38/H38</f>
        <v>2.9716117633129747E-2</v>
      </c>
      <c r="P38" s="250"/>
      <c r="Q38" s="266"/>
    </row>
    <row r="39" spans="1:22" s="157" customFormat="1" ht="15.75" customHeight="1" x14ac:dyDescent="0.2">
      <c r="A39" s="59"/>
      <c r="B39" s="60"/>
      <c r="C39" s="235" t="s">
        <v>17</v>
      </c>
      <c r="D39" s="107">
        <v>12330</v>
      </c>
      <c r="E39" s="107">
        <v>1641.7</v>
      </c>
      <c r="F39" s="290">
        <v>12678</v>
      </c>
      <c r="G39" s="179">
        <v>7310</v>
      </c>
      <c r="H39" s="71">
        <f>D39+E39+F39+G39</f>
        <v>33959.699999999997</v>
      </c>
      <c r="I39" s="107">
        <v>12816</v>
      </c>
      <c r="J39" s="107">
        <v>1488.54</v>
      </c>
      <c r="K39" s="290">
        <f>6429*2</f>
        <v>12858</v>
      </c>
      <c r="L39" s="179">
        <v>7796</v>
      </c>
      <c r="M39" s="71">
        <f>I39+J39+K39+L39</f>
        <v>34958.54</v>
      </c>
      <c r="N39" s="106">
        <f>M39-H39</f>
        <v>998.84000000000378</v>
      </c>
      <c r="O39" s="208">
        <f>N39/H39</f>
        <v>2.941250953335877E-2</v>
      </c>
      <c r="P39" s="250"/>
      <c r="Q39" s="266"/>
    </row>
    <row r="40" spans="1:22" s="157" customFormat="1" ht="15.75" customHeight="1" x14ac:dyDescent="0.2">
      <c r="A40" s="75"/>
      <c r="B40" s="76" t="s">
        <v>4</v>
      </c>
      <c r="C40" s="237"/>
      <c r="D40" s="156"/>
      <c r="E40" s="290"/>
      <c r="F40" s="140"/>
      <c r="G40" s="135"/>
      <c r="H40" s="66"/>
      <c r="I40" s="156"/>
      <c r="J40" s="131"/>
      <c r="K40" s="140"/>
      <c r="L40" s="135"/>
      <c r="M40" s="66"/>
      <c r="N40" s="156"/>
      <c r="O40" s="207"/>
      <c r="P40" s="250"/>
      <c r="Q40" s="266"/>
    </row>
    <row r="41" spans="1:22" s="157" customFormat="1" ht="15.75" customHeight="1" x14ac:dyDescent="0.2">
      <c r="A41" s="59"/>
      <c r="B41" s="60"/>
      <c r="C41" s="234" t="s">
        <v>58</v>
      </c>
      <c r="D41" s="156">
        <v>13248</v>
      </c>
      <c r="E41" s="290">
        <v>1471.3</v>
      </c>
      <c r="F41" s="290">
        <v>11844</v>
      </c>
      <c r="G41" s="135">
        <v>7310</v>
      </c>
      <c r="H41" s="66">
        <f>D41+E41+F41+G41</f>
        <v>33873.300000000003</v>
      </c>
      <c r="I41" s="156">
        <v>13838</v>
      </c>
      <c r="J41" s="131">
        <v>1357.08</v>
      </c>
      <c r="K41" s="131">
        <v>12411</v>
      </c>
      <c r="L41" s="135">
        <v>7796</v>
      </c>
      <c r="M41" s="66">
        <f>I41+J41+K41+L41</f>
        <v>35402.080000000002</v>
      </c>
      <c r="N41" s="156">
        <f>M41-H41</f>
        <v>1528.7799999999988</v>
      </c>
      <c r="O41" s="207">
        <f>N41/H41</f>
        <v>4.5132301842454051E-2</v>
      </c>
      <c r="P41" s="250"/>
      <c r="Q41" s="266"/>
      <c r="R41" s="263"/>
      <c r="S41" s="284"/>
    </row>
    <row r="42" spans="1:22" s="157" customFormat="1" ht="15.75" customHeight="1" x14ac:dyDescent="0.2">
      <c r="A42" s="59"/>
      <c r="B42" s="60"/>
      <c r="C42" s="234" t="s">
        <v>59</v>
      </c>
      <c r="D42" s="156">
        <v>13248</v>
      </c>
      <c r="E42" s="290">
        <f>E41</f>
        <v>1471.3</v>
      </c>
      <c r="F42" s="290">
        <v>11844</v>
      </c>
      <c r="G42" s="135">
        <v>7310</v>
      </c>
      <c r="H42" s="66">
        <f>D42+E42+F42+G42</f>
        <v>33873.300000000003</v>
      </c>
      <c r="I42" s="156">
        <v>13838</v>
      </c>
      <c r="J42" s="131">
        <v>1357.08</v>
      </c>
      <c r="K42" s="131">
        <v>12411</v>
      </c>
      <c r="L42" s="135">
        <v>7796</v>
      </c>
      <c r="M42" s="66">
        <f>I42+J42+K42+L42</f>
        <v>35402.080000000002</v>
      </c>
      <c r="N42" s="156">
        <f>M42-H42</f>
        <v>1528.7799999999988</v>
      </c>
      <c r="O42" s="207">
        <f>N42/H42</f>
        <v>4.5132301842454051E-2</v>
      </c>
      <c r="P42" s="250"/>
      <c r="Q42" s="266"/>
    </row>
    <row r="43" spans="1:22" s="157" customFormat="1" ht="15.75" customHeight="1" x14ac:dyDescent="0.2">
      <c r="A43" s="59"/>
      <c r="B43" s="60"/>
      <c r="C43" s="234" t="s">
        <v>60</v>
      </c>
      <c r="D43" s="156">
        <v>16656</v>
      </c>
      <c r="E43" s="290">
        <f>E42</f>
        <v>1471.3</v>
      </c>
      <c r="F43" s="290">
        <v>11844</v>
      </c>
      <c r="G43" s="135">
        <v>7310</v>
      </c>
      <c r="H43" s="66">
        <f>D43+E43+F43+G43</f>
        <v>37281.300000000003</v>
      </c>
      <c r="I43" s="156">
        <v>17348</v>
      </c>
      <c r="J43" s="131">
        <v>1357.08</v>
      </c>
      <c r="K43" s="131">
        <v>12411</v>
      </c>
      <c r="L43" s="135">
        <v>7796</v>
      </c>
      <c r="M43" s="66">
        <f>I43+J43+K43+L43</f>
        <v>38912.080000000002</v>
      </c>
      <c r="N43" s="156">
        <f>M43-H43</f>
        <v>1630.7799999999988</v>
      </c>
      <c r="O43" s="207">
        <f>N43/H43</f>
        <v>4.3742573354469898E-2</v>
      </c>
      <c r="P43" s="250"/>
      <c r="Q43" s="266"/>
    </row>
    <row r="44" spans="1:22" s="157" customFormat="1" ht="15.75" customHeight="1" x14ac:dyDescent="0.2">
      <c r="A44" s="59"/>
      <c r="B44" s="60"/>
      <c r="C44" s="234" t="s">
        <v>61</v>
      </c>
      <c r="D44" s="156">
        <v>15984</v>
      </c>
      <c r="E44" s="290">
        <f>E43</f>
        <v>1471.3</v>
      </c>
      <c r="F44" s="290">
        <v>11844</v>
      </c>
      <c r="G44" s="135">
        <v>7310</v>
      </c>
      <c r="H44" s="66">
        <f>D44+E44+F44+G44</f>
        <v>36609.300000000003</v>
      </c>
      <c r="I44" s="156">
        <v>16656</v>
      </c>
      <c r="J44" s="131">
        <v>1357.08</v>
      </c>
      <c r="K44" s="131">
        <v>12411</v>
      </c>
      <c r="L44" s="135">
        <v>7796</v>
      </c>
      <c r="M44" s="66">
        <f>I44+J44+K44+L44</f>
        <v>38220.080000000002</v>
      </c>
      <c r="N44" s="156">
        <f>M44-H44</f>
        <v>1610.7799999999988</v>
      </c>
      <c r="O44" s="207">
        <f>N44/H44</f>
        <v>4.3999202388464095E-2</v>
      </c>
      <c r="P44" s="250"/>
      <c r="Q44" s="266"/>
    </row>
    <row r="45" spans="1:22" s="157" customFormat="1" ht="15.75" customHeight="1" thickBot="1" x14ac:dyDescent="0.25">
      <c r="A45" s="59"/>
      <c r="B45" s="60"/>
      <c r="C45" s="182" t="s">
        <v>115</v>
      </c>
      <c r="D45" s="156">
        <v>21652</v>
      </c>
      <c r="E45" s="290">
        <f>E44</f>
        <v>1471.3</v>
      </c>
      <c r="F45" s="290">
        <v>11844</v>
      </c>
      <c r="G45" s="135">
        <v>7310</v>
      </c>
      <c r="H45" s="66">
        <f>D45+E45+F45+G45</f>
        <v>42277.3</v>
      </c>
      <c r="I45" s="156">
        <v>22499.32</v>
      </c>
      <c r="J45" s="131">
        <v>1357.08</v>
      </c>
      <c r="K45" s="131">
        <v>12411</v>
      </c>
      <c r="L45" s="135">
        <v>7796</v>
      </c>
      <c r="M45" s="66">
        <f>I45+J45+K45+L45</f>
        <v>44063.4</v>
      </c>
      <c r="N45" s="156">
        <f>M45-H45</f>
        <v>1786.0999999999985</v>
      </c>
      <c r="O45" s="207">
        <f>N45/H45</f>
        <v>4.2247257984781392E-2</v>
      </c>
      <c r="P45" s="250"/>
      <c r="Q45" s="266"/>
    </row>
    <row r="46" spans="1:22" s="157" customFormat="1" ht="15.75" thickBot="1" x14ac:dyDescent="0.3">
      <c r="A46" s="55" t="s">
        <v>68</v>
      </c>
      <c r="B46" s="56"/>
      <c r="C46" s="236"/>
      <c r="D46" s="187"/>
      <c r="E46" s="138"/>
      <c r="F46" s="138"/>
      <c r="G46" s="138"/>
      <c r="H46" s="73"/>
      <c r="I46" s="187"/>
      <c r="J46" s="138"/>
      <c r="K46" s="138"/>
      <c r="L46" s="138"/>
      <c r="M46" s="73"/>
      <c r="N46" s="187"/>
      <c r="O46" s="210"/>
      <c r="P46" s="250"/>
      <c r="Q46" s="266"/>
    </row>
    <row r="47" spans="1:22" s="157" customFormat="1" ht="15.75" customHeight="1" x14ac:dyDescent="0.2">
      <c r="A47" s="61"/>
      <c r="B47" s="62" t="s">
        <v>2</v>
      </c>
      <c r="C47" s="238"/>
      <c r="D47" s="156"/>
      <c r="E47" s="135"/>
      <c r="F47" s="135"/>
      <c r="G47" s="191"/>
      <c r="H47" s="74"/>
      <c r="I47" s="156"/>
      <c r="J47" s="135"/>
      <c r="K47" s="135"/>
      <c r="L47" s="191"/>
      <c r="M47" s="74"/>
      <c r="N47" s="212"/>
      <c r="O47" s="206"/>
      <c r="P47" s="250"/>
      <c r="Q47" s="266"/>
    </row>
    <row r="48" spans="1:22" s="157" customFormat="1" ht="15.75" customHeight="1" x14ac:dyDescent="0.2">
      <c r="A48" s="59"/>
      <c r="B48" s="60"/>
      <c r="C48" s="234" t="s">
        <v>74</v>
      </c>
      <c r="D48" s="156">
        <v>10200</v>
      </c>
      <c r="E48" s="290">
        <v>1379.8400000000001</v>
      </c>
      <c r="F48" s="290">
        <v>11844</v>
      </c>
      <c r="G48" s="290">
        <v>7310</v>
      </c>
      <c r="H48" s="66">
        <f>D48+E48+F48+G48</f>
        <v>30733.84</v>
      </c>
      <c r="I48" s="156">
        <v>10830</v>
      </c>
      <c r="J48" s="131">
        <v>970.4</v>
      </c>
      <c r="K48" s="290">
        <v>14000</v>
      </c>
      <c r="L48" s="131">
        <v>7796</v>
      </c>
      <c r="M48" s="66">
        <f>I48+J48+K48+L48</f>
        <v>33596.400000000001</v>
      </c>
      <c r="N48" s="156">
        <f>M48-H48</f>
        <v>2862.5600000000013</v>
      </c>
      <c r="O48" s="207">
        <f>N48/H48</f>
        <v>9.3140330007574754E-2</v>
      </c>
      <c r="P48" s="250"/>
      <c r="Q48" s="298"/>
      <c r="R48" s="250"/>
      <c r="S48" s="259"/>
      <c r="T48" s="250"/>
    </row>
    <row r="49" spans="1:20" s="157" customFormat="1" ht="14.25" x14ac:dyDescent="0.2">
      <c r="A49" s="59"/>
      <c r="B49" s="60"/>
      <c r="C49" s="127" t="s">
        <v>108</v>
      </c>
      <c r="D49" s="156">
        <v>11700</v>
      </c>
      <c r="E49" s="290">
        <v>1379.8400000000001</v>
      </c>
      <c r="F49" s="290">
        <v>11844</v>
      </c>
      <c r="G49" s="290">
        <v>7310</v>
      </c>
      <c r="H49" s="66">
        <f>SUM(D49:G49)</f>
        <v>32233.84</v>
      </c>
      <c r="I49" s="156">
        <v>12330</v>
      </c>
      <c r="J49" s="131">
        <v>970.4</v>
      </c>
      <c r="K49" s="290">
        <v>14000</v>
      </c>
      <c r="L49" s="131">
        <v>7796</v>
      </c>
      <c r="M49" s="66">
        <f>SUM(I49:L49)</f>
        <v>35096.400000000001</v>
      </c>
      <c r="N49" s="156">
        <f>M49-H49</f>
        <v>2862.5600000000013</v>
      </c>
      <c r="O49" s="207">
        <f>N49/H49</f>
        <v>8.8806049791151198E-2</v>
      </c>
      <c r="P49" s="250"/>
      <c r="Q49" s="298"/>
      <c r="R49" s="273"/>
    </row>
    <row r="50" spans="1:20" s="157" customFormat="1" ht="15.75" customHeight="1" thickBot="1" x14ac:dyDescent="0.25">
      <c r="A50" s="77"/>
      <c r="B50" s="78"/>
      <c r="C50" s="310" t="s">
        <v>80</v>
      </c>
      <c r="D50" s="196">
        <v>32850</v>
      </c>
      <c r="E50" s="141">
        <v>1379.8400000000001</v>
      </c>
      <c r="F50" s="141">
        <v>11844</v>
      </c>
      <c r="G50" s="141">
        <v>7310</v>
      </c>
      <c r="H50" s="79">
        <f>SUM(D50:G50)</f>
        <v>53383.839999999997</v>
      </c>
      <c r="I50" s="196">
        <v>33930</v>
      </c>
      <c r="J50" s="141">
        <v>970.4</v>
      </c>
      <c r="K50" s="141">
        <v>14000</v>
      </c>
      <c r="L50" s="141">
        <v>7796</v>
      </c>
      <c r="M50" s="79">
        <f>SUM(I50:L50)</f>
        <v>56696.4</v>
      </c>
      <c r="N50" s="196">
        <f>M50-H50</f>
        <v>3312.5600000000049</v>
      </c>
      <c r="O50" s="209">
        <f>N50/H50</f>
        <v>6.2051737005056305E-2</v>
      </c>
      <c r="P50" s="250"/>
      <c r="Q50" s="298"/>
      <c r="R50" s="250"/>
      <c r="T50" s="250"/>
    </row>
    <row r="51" spans="1:20" s="288" customFormat="1" ht="15.75" thickBot="1" x14ac:dyDescent="0.3">
      <c r="A51" s="55" t="s">
        <v>68</v>
      </c>
      <c r="B51" s="56"/>
      <c r="C51" s="236"/>
      <c r="D51" s="187"/>
      <c r="E51" s="138"/>
      <c r="F51" s="138"/>
      <c r="G51" s="138"/>
      <c r="H51" s="73"/>
      <c r="I51" s="187"/>
      <c r="J51" s="138"/>
      <c r="K51" s="138"/>
      <c r="L51" s="138"/>
      <c r="M51" s="73"/>
      <c r="N51" s="187"/>
      <c r="O51" s="210"/>
      <c r="P51" s="250"/>
      <c r="Q51" s="266"/>
    </row>
    <row r="52" spans="1:20" s="157" customFormat="1" ht="15.75" customHeight="1" x14ac:dyDescent="0.2">
      <c r="A52" s="75"/>
      <c r="B52" s="287" t="s">
        <v>4</v>
      </c>
      <c r="C52" s="234"/>
      <c r="D52" s="156"/>
      <c r="E52" s="290"/>
      <c r="F52" s="290"/>
      <c r="G52" s="290"/>
      <c r="H52" s="66"/>
      <c r="I52" s="156"/>
      <c r="J52" s="131"/>
      <c r="K52" s="131"/>
      <c r="L52" s="131"/>
      <c r="M52" s="66"/>
      <c r="N52" s="156"/>
      <c r="O52" s="207"/>
      <c r="P52" s="250"/>
      <c r="Q52" s="266"/>
      <c r="R52" s="250"/>
    </row>
    <row r="53" spans="1:20" s="157" customFormat="1" ht="15.75" customHeight="1" x14ac:dyDescent="0.2">
      <c r="A53" s="59"/>
      <c r="B53" s="60"/>
      <c r="C53" s="234" t="s">
        <v>7</v>
      </c>
      <c r="D53" s="156">
        <v>9312</v>
      </c>
      <c r="E53" s="290">
        <v>1223.8400000000001</v>
      </c>
      <c r="F53" s="290">
        <v>11844</v>
      </c>
      <c r="G53" s="290">
        <v>7310</v>
      </c>
      <c r="H53" s="66">
        <f t="shared" ref="H53:H59" si="7">D53+E53+F53+G53</f>
        <v>29689.84</v>
      </c>
      <c r="I53" s="156">
        <v>10296</v>
      </c>
      <c r="J53" s="131">
        <v>898.4</v>
      </c>
      <c r="K53" s="131">
        <v>12411</v>
      </c>
      <c r="L53" s="131">
        <v>7796</v>
      </c>
      <c r="M53" s="66">
        <f t="shared" ref="M53:M59" si="8">I53+J53+K53+L53</f>
        <v>31401.4</v>
      </c>
      <c r="N53" s="156">
        <f t="shared" ref="N53:N59" si="9">M53-H53</f>
        <v>1711.5600000000013</v>
      </c>
      <c r="O53" s="207">
        <f t="shared" ref="O53:O59" si="10">N53/H53</f>
        <v>5.7648003492103743E-2</v>
      </c>
      <c r="P53" s="250"/>
      <c r="Q53" s="266"/>
    </row>
    <row r="54" spans="1:20" s="157" customFormat="1" ht="15.75" customHeight="1" x14ac:dyDescent="0.2">
      <c r="A54" s="59"/>
      <c r="B54" s="60"/>
      <c r="C54" s="182" t="s">
        <v>8</v>
      </c>
      <c r="D54" s="156">
        <v>11376</v>
      </c>
      <c r="E54" s="290">
        <v>1223.8400000000001</v>
      </c>
      <c r="F54" s="290">
        <v>11844</v>
      </c>
      <c r="G54" s="290">
        <v>7310</v>
      </c>
      <c r="H54" s="66">
        <f t="shared" si="7"/>
        <v>31753.84</v>
      </c>
      <c r="I54" s="156">
        <v>11928</v>
      </c>
      <c r="J54" s="131">
        <v>898.4</v>
      </c>
      <c r="K54" s="131">
        <v>12411</v>
      </c>
      <c r="L54" s="131">
        <v>7796</v>
      </c>
      <c r="M54" s="66">
        <f t="shared" si="8"/>
        <v>33033.4</v>
      </c>
      <c r="N54" s="156">
        <f t="shared" si="9"/>
        <v>1279.5600000000013</v>
      </c>
      <c r="O54" s="207">
        <f t="shared" si="10"/>
        <v>4.0296228739579255E-2</v>
      </c>
      <c r="P54" s="250"/>
      <c r="Q54" s="266"/>
      <c r="T54" s="297"/>
    </row>
    <row r="55" spans="1:20" s="157" customFormat="1" ht="15.75" customHeight="1" x14ac:dyDescent="0.2">
      <c r="A55" s="59"/>
      <c r="B55" s="60"/>
      <c r="C55" s="182" t="s">
        <v>109</v>
      </c>
      <c r="D55" s="156">
        <v>15408</v>
      </c>
      <c r="E55" s="290">
        <v>1223.8400000000001</v>
      </c>
      <c r="F55" s="290">
        <v>11844</v>
      </c>
      <c r="G55" s="290">
        <v>7310</v>
      </c>
      <c r="H55" s="66">
        <f t="shared" si="7"/>
        <v>35785.839999999997</v>
      </c>
      <c r="I55" s="156">
        <v>16008</v>
      </c>
      <c r="J55" s="131">
        <v>898.4</v>
      </c>
      <c r="K55" s="131">
        <v>12411</v>
      </c>
      <c r="L55" s="131">
        <v>7796</v>
      </c>
      <c r="M55" s="66">
        <f t="shared" si="8"/>
        <v>37113.4</v>
      </c>
      <c r="N55" s="156">
        <f t="shared" si="9"/>
        <v>1327.5600000000049</v>
      </c>
      <c r="O55" s="207">
        <f t="shared" si="10"/>
        <v>3.7097354707895776E-2</v>
      </c>
      <c r="P55" s="250"/>
      <c r="Q55" s="266"/>
    </row>
    <row r="56" spans="1:20" s="157" customFormat="1" ht="15.75" customHeight="1" x14ac:dyDescent="0.2">
      <c r="A56" s="59"/>
      <c r="B56" s="60"/>
      <c r="C56" s="234" t="s">
        <v>22</v>
      </c>
      <c r="D56" s="156">
        <v>13008</v>
      </c>
      <c r="E56" s="290">
        <v>1223.8400000000001</v>
      </c>
      <c r="F56" s="290">
        <v>11844</v>
      </c>
      <c r="G56" s="290">
        <v>7310</v>
      </c>
      <c r="H56" s="66">
        <f t="shared" si="7"/>
        <v>33385.839999999997</v>
      </c>
      <c r="I56" s="156">
        <v>13608</v>
      </c>
      <c r="J56" s="131">
        <v>898.4</v>
      </c>
      <c r="K56" s="131">
        <v>12411</v>
      </c>
      <c r="L56" s="131">
        <v>7796</v>
      </c>
      <c r="M56" s="66">
        <f t="shared" si="8"/>
        <v>34713.4</v>
      </c>
      <c r="N56" s="156">
        <f t="shared" si="9"/>
        <v>1327.5600000000049</v>
      </c>
      <c r="O56" s="207">
        <f t="shared" si="10"/>
        <v>3.9764163489671225E-2</v>
      </c>
      <c r="P56" s="250"/>
      <c r="Q56" s="266"/>
      <c r="T56" s="297"/>
    </row>
    <row r="57" spans="1:20" s="157" customFormat="1" ht="15.75" customHeight="1" x14ac:dyDescent="0.2">
      <c r="A57" s="59"/>
      <c r="B57" s="60"/>
      <c r="C57" s="234" t="s">
        <v>9</v>
      </c>
      <c r="D57" s="156">
        <v>11376</v>
      </c>
      <c r="E57" s="290">
        <v>1223.8400000000001</v>
      </c>
      <c r="F57" s="290">
        <v>11844</v>
      </c>
      <c r="G57" s="290">
        <v>7310</v>
      </c>
      <c r="H57" s="66">
        <f t="shared" si="7"/>
        <v>31753.84</v>
      </c>
      <c r="I57" s="156">
        <v>11928</v>
      </c>
      <c r="J57" s="131">
        <v>898.4</v>
      </c>
      <c r="K57" s="131">
        <v>12411</v>
      </c>
      <c r="L57" s="131">
        <v>7796</v>
      </c>
      <c r="M57" s="66">
        <f t="shared" si="8"/>
        <v>33033.4</v>
      </c>
      <c r="N57" s="156">
        <f t="shared" si="9"/>
        <v>1279.5600000000013</v>
      </c>
      <c r="O57" s="207">
        <f t="shared" si="10"/>
        <v>4.0296228739579255E-2</v>
      </c>
      <c r="P57" s="250"/>
      <c r="Q57" s="266"/>
      <c r="T57" s="295"/>
    </row>
    <row r="58" spans="1:20" s="157" customFormat="1" ht="15.75" customHeight="1" x14ac:dyDescent="0.2">
      <c r="A58" s="59"/>
      <c r="B58" s="60"/>
      <c r="C58" s="234" t="s">
        <v>6</v>
      </c>
      <c r="D58" s="156">
        <v>9312</v>
      </c>
      <c r="E58" s="290">
        <v>1223.8400000000001</v>
      </c>
      <c r="F58" s="290">
        <v>11844</v>
      </c>
      <c r="G58" s="290">
        <v>7310</v>
      </c>
      <c r="H58" s="66">
        <f t="shared" si="7"/>
        <v>29689.84</v>
      </c>
      <c r="I58" s="156">
        <v>10296</v>
      </c>
      <c r="J58" s="131">
        <v>898.4</v>
      </c>
      <c r="K58" s="131">
        <v>12411</v>
      </c>
      <c r="L58" s="131">
        <v>7796</v>
      </c>
      <c r="M58" s="66">
        <f t="shared" si="8"/>
        <v>31401.4</v>
      </c>
      <c r="N58" s="156">
        <f t="shared" si="9"/>
        <v>1711.5600000000013</v>
      </c>
      <c r="O58" s="207">
        <f t="shared" si="10"/>
        <v>5.7648003492103743E-2</v>
      </c>
      <c r="P58" s="250"/>
      <c r="Q58" s="266"/>
    </row>
    <row r="59" spans="1:20" s="157" customFormat="1" ht="15.75" customHeight="1" thickBot="1" x14ac:dyDescent="0.25">
      <c r="A59" s="77"/>
      <c r="B59" s="78"/>
      <c r="C59" s="239" t="s">
        <v>98</v>
      </c>
      <c r="D59" s="196">
        <v>15408</v>
      </c>
      <c r="E59" s="141">
        <v>1223.8400000000001</v>
      </c>
      <c r="F59" s="141">
        <v>11844</v>
      </c>
      <c r="G59" s="141">
        <v>7310</v>
      </c>
      <c r="H59" s="79">
        <f t="shared" si="7"/>
        <v>35785.839999999997</v>
      </c>
      <c r="I59" s="196">
        <v>16008</v>
      </c>
      <c r="J59" s="141">
        <v>898.4</v>
      </c>
      <c r="K59" s="141">
        <v>12411</v>
      </c>
      <c r="L59" s="141">
        <v>7796</v>
      </c>
      <c r="M59" s="79">
        <f t="shared" si="8"/>
        <v>37113.4</v>
      </c>
      <c r="N59" s="196">
        <f t="shared" si="9"/>
        <v>1327.5600000000049</v>
      </c>
      <c r="O59" s="209">
        <f t="shared" si="10"/>
        <v>3.7097354707895776E-2</v>
      </c>
      <c r="P59" s="250"/>
      <c r="Q59" s="266"/>
    </row>
    <row r="60" spans="1:20" s="157" customFormat="1" ht="18" thickBot="1" x14ac:dyDescent="0.3">
      <c r="A60" s="80" t="s">
        <v>67</v>
      </c>
      <c r="B60" s="81"/>
      <c r="C60" s="240"/>
      <c r="D60" s="200"/>
      <c r="E60" s="198"/>
      <c r="F60" s="198"/>
      <c r="G60" s="198"/>
      <c r="H60" s="199"/>
      <c r="I60" s="200"/>
      <c r="J60" s="198"/>
      <c r="K60" s="198"/>
      <c r="L60" s="198"/>
      <c r="M60" s="199"/>
      <c r="N60" s="200"/>
      <c r="O60" s="213"/>
      <c r="P60" s="250"/>
      <c r="Q60" s="266"/>
    </row>
    <row r="61" spans="1:20" s="149" customFormat="1" ht="15.75" customHeight="1" x14ac:dyDescent="0.2">
      <c r="A61" s="82"/>
      <c r="B61" s="83" t="s">
        <v>2</v>
      </c>
      <c r="C61" s="241"/>
      <c r="D61" s="281"/>
      <c r="E61" s="202"/>
      <c r="F61" s="202"/>
      <c r="G61" s="152"/>
      <c r="H61" s="203"/>
      <c r="I61" s="281"/>
      <c r="J61" s="202"/>
      <c r="K61" s="202"/>
      <c r="L61" s="152"/>
      <c r="M61" s="203"/>
      <c r="N61" s="201"/>
      <c r="O61" s="203"/>
      <c r="P61" s="250"/>
      <c r="Q61" s="266"/>
    </row>
    <row r="62" spans="1:20" s="149" customFormat="1" ht="15.75" customHeight="1" x14ac:dyDescent="0.2">
      <c r="A62" s="84"/>
      <c r="B62" s="72"/>
      <c r="C62" s="182" t="s">
        <v>12</v>
      </c>
      <c r="D62" s="290">
        <v>13350</v>
      </c>
      <c r="E62" s="290">
        <v>223.39999999999998</v>
      </c>
      <c r="F62" s="290">
        <v>11844</v>
      </c>
      <c r="G62" s="290">
        <v>7310</v>
      </c>
      <c r="H62" s="66">
        <f>D62+E62+F62+G62</f>
        <v>32727.4</v>
      </c>
      <c r="I62" s="290">
        <v>13620</v>
      </c>
      <c r="J62" s="131">
        <v>223.4</v>
      </c>
      <c r="K62" s="131">
        <v>12411</v>
      </c>
      <c r="L62" s="131">
        <v>7796</v>
      </c>
      <c r="M62" s="66">
        <f>I62+J62+K62+L62</f>
        <v>34050.400000000001</v>
      </c>
      <c r="N62" s="156">
        <f>M62-H62</f>
        <v>1323</v>
      </c>
      <c r="O62" s="207">
        <f>N62/H62</f>
        <v>4.042484279227803E-2</v>
      </c>
      <c r="P62" s="250"/>
      <c r="Q62" s="266"/>
    </row>
    <row r="63" spans="1:20" s="149" customFormat="1" ht="15.75" customHeight="1" x14ac:dyDescent="0.2">
      <c r="A63" s="85"/>
      <c r="B63" s="70"/>
      <c r="C63" s="242" t="s">
        <v>35</v>
      </c>
      <c r="D63" s="107">
        <v>12000</v>
      </c>
      <c r="E63" s="107">
        <v>223.39999999999998</v>
      </c>
      <c r="F63" s="107">
        <v>11844</v>
      </c>
      <c r="G63" s="107">
        <v>7310</v>
      </c>
      <c r="H63" s="71">
        <f>D63+E63+F63+G63</f>
        <v>31377.4</v>
      </c>
      <c r="I63" s="107">
        <v>12240</v>
      </c>
      <c r="J63" s="107">
        <v>223.4</v>
      </c>
      <c r="K63" s="107">
        <v>12411</v>
      </c>
      <c r="L63" s="107">
        <v>7796</v>
      </c>
      <c r="M63" s="71">
        <f>I63+J63+K63+L63</f>
        <v>32670.400000000001</v>
      </c>
      <c r="N63" s="106">
        <f>M63-H63</f>
        <v>1293</v>
      </c>
      <c r="O63" s="208">
        <f>N63/H63</f>
        <v>4.1208003212503265E-2</v>
      </c>
      <c r="P63" s="250"/>
      <c r="Q63" s="266"/>
    </row>
    <row r="64" spans="1:20" s="149" customFormat="1" ht="15.75" customHeight="1" x14ac:dyDescent="0.2">
      <c r="A64" s="84"/>
      <c r="B64" s="72" t="s">
        <v>4</v>
      </c>
      <c r="C64" s="182"/>
      <c r="D64" s="156"/>
      <c r="E64" s="290"/>
      <c r="F64" s="290"/>
      <c r="G64" s="290"/>
      <c r="H64" s="66"/>
      <c r="I64" s="156"/>
      <c r="J64" s="131"/>
      <c r="K64" s="131"/>
      <c r="L64" s="131"/>
      <c r="M64" s="66"/>
      <c r="N64" s="156"/>
      <c r="O64" s="207"/>
      <c r="P64" s="250"/>
      <c r="Q64" s="266"/>
    </row>
    <row r="65" spans="1:18" s="149" customFormat="1" ht="15.75" customHeight="1" x14ac:dyDescent="0.2">
      <c r="A65" s="84"/>
      <c r="B65" s="72"/>
      <c r="C65" s="182" t="s">
        <v>49</v>
      </c>
      <c r="D65" s="156">
        <v>12600</v>
      </c>
      <c r="E65" s="290">
        <v>223.39999999999998</v>
      </c>
      <c r="F65" s="290">
        <v>11844</v>
      </c>
      <c r="G65" s="290">
        <v>7310</v>
      </c>
      <c r="H65" s="66">
        <f t="shared" ref="H65:H79" si="11">D65+E65+F65+G65</f>
        <v>31977.4</v>
      </c>
      <c r="I65" s="156">
        <v>12984</v>
      </c>
      <c r="J65" s="131">
        <v>223.4</v>
      </c>
      <c r="K65" s="131">
        <v>12411</v>
      </c>
      <c r="L65" s="131">
        <v>7796</v>
      </c>
      <c r="M65" s="66">
        <f t="shared" ref="M65:M79" si="12">I65+J65+K65+L65</f>
        <v>33414.400000000001</v>
      </c>
      <c r="N65" s="156">
        <f t="shared" ref="N65:N78" si="13">M65-H65</f>
        <v>1437</v>
      </c>
      <c r="O65" s="207">
        <f t="shared" ref="O65:O78" si="14">N65/H65</f>
        <v>4.4937987453639132E-2</v>
      </c>
      <c r="P65" s="250"/>
      <c r="Q65" s="250"/>
      <c r="R65" s="250"/>
    </row>
    <row r="66" spans="1:18" s="149" customFormat="1" ht="15.75" customHeight="1" x14ac:dyDescent="0.2">
      <c r="A66" s="84"/>
      <c r="B66" s="72"/>
      <c r="C66" s="182" t="s">
        <v>50</v>
      </c>
      <c r="D66" s="156">
        <v>11904</v>
      </c>
      <c r="E66" s="290">
        <v>223.39999999999998</v>
      </c>
      <c r="F66" s="290">
        <v>11844</v>
      </c>
      <c r="G66" s="290">
        <v>7310</v>
      </c>
      <c r="H66" s="66">
        <f t="shared" si="11"/>
        <v>31281.4</v>
      </c>
      <c r="I66" s="156">
        <v>12264</v>
      </c>
      <c r="J66" s="131">
        <v>223.4</v>
      </c>
      <c r="K66" s="131">
        <v>12411</v>
      </c>
      <c r="L66" s="131">
        <v>7796</v>
      </c>
      <c r="M66" s="66">
        <f t="shared" si="12"/>
        <v>32694.400000000001</v>
      </c>
      <c r="N66" s="156">
        <f>M66-H66</f>
        <v>1413</v>
      </c>
      <c r="O66" s="207">
        <f>N66/H66</f>
        <v>4.5170612568491177E-2</v>
      </c>
      <c r="P66" s="250"/>
      <c r="Q66" s="266"/>
    </row>
    <row r="67" spans="1:18" s="149" customFormat="1" ht="15.75" customHeight="1" x14ac:dyDescent="0.2">
      <c r="A67" s="84"/>
      <c r="B67" s="72"/>
      <c r="C67" s="182" t="s">
        <v>51</v>
      </c>
      <c r="D67" s="156">
        <v>13968</v>
      </c>
      <c r="E67" s="290">
        <v>223.39999999999998</v>
      </c>
      <c r="F67" s="290">
        <v>11844</v>
      </c>
      <c r="G67" s="290">
        <v>7310</v>
      </c>
      <c r="H67" s="66">
        <f t="shared" si="11"/>
        <v>33345.4</v>
      </c>
      <c r="I67" s="156">
        <v>14544</v>
      </c>
      <c r="J67" s="131">
        <v>223.4</v>
      </c>
      <c r="K67" s="131">
        <v>12411</v>
      </c>
      <c r="L67" s="131">
        <v>7796</v>
      </c>
      <c r="M67" s="66">
        <f t="shared" si="12"/>
        <v>34974.400000000001</v>
      </c>
      <c r="N67" s="156">
        <f>M67-H67</f>
        <v>1629</v>
      </c>
      <c r="O67" s="207">
        <f>N67/H67</f>
        <v>4.8852315461802825E-2</v>
      </c>
      <c r="P67" s="250"/>
      <c r="Q67" s="250"/>
      <c r="R67" s="283"/>
    </row>
    <row r="68" spans="1:18" s="149" customFormat="1" ht="15.75" customHeight="1" x14ac:dyDescent="0.2">
      <c r="A68" s="84"/>
      <c r="B68" s="72"/>
      <c r="C68" s="234" t="s">
        <v>30</v>
      </c>
      <c r="D68" s="156">
        <v>19991.999999999996</v>
      </c>
      <c r="E68" s="290">
        <v>223.39999999999998</v>
      </c>
      <c r="F68" s="290">
        <v>11844</v>
      </c>
      <c r="G68" s="290">
        <v>7310</v>
      </c>
      <c r="H68" s="66">
        <f t="shared" si="11"/>
        <v>39369.399999999994</v>
      </c>
      <c r="I68" s="156">
        <f>850*24</f>
        <v>20400</v>
      </c>
      <c r="J68" s="131">
        <v>223.4</v>
      </c>
      <c r="K68" s="131">
        <v>12411</v>
      </c>
      <c r="L68" s="131">
        <v>7796</v>
      </c>
      <c r="M68" s="66">
        <f t="shared" si="12"/>
        <v>40830.400000000001</v>
      </c>
      <c r="N68" s="156">
        <f t="shared" si="13"/>
        <v>1461.0000000000073</v>
      </c>
      <c r="O68" s="207">
        <f t="shared" si="14"/>
        <v>3.7110039777085949E-2</v>
      </c>
      <c r="P68" s="250"/>
      <c r="Q68" s="266"/>
    </row>
    <row r="69" spans="1:18" s="149" customFormat="1" ht="15.75" customHeight="1" x14ac:dyDescent="0.2">
      <c r="A69" s="84"/>
      <c r="B69" s="72"/>
      <c r="C69" s="234" t="s">
        <v>31</v>
      </c>
      <c r="D69" s="156">
        <v>12144</v>
      </c>
      <c r="E69" s="290">
        <v>223.39999999999998</v>
      </c>
      <c r="F69" s="290">
        <v>11844</v>
      </c>
      <c r="G69" s="290">
        <v>7310</v>
      </c>
      <c r="H69" s="66">
        <f t="shared" si="11"/>
        <v>31521.4</v>
      </c>
      <c r="I69" s="156">
        <f>516*24</f>
        <v>12384</v>
      </c>
      <c r="J69" s="131">
        <v>223.4</v>
      </c>
      <c r="K69" s="131">
        <v>12411</v>
      </c>
      <c r="L69" s="131">
        <v>7796</v>
      </c>
      <c r="M69" s="66">
        <f t="shared" si="12"/>
        <v>32814.400000000001</v>
      </c>
      <c r="N69" s="156">
        <f t="shared" si="13"/>
        <v>1293</v>
      </c>
      <c r="O69" s="207">
        <f t="shared" si="14"/>
        <v>4.1019751660776489E-2</v>
      </c>
      <c r="P69" s="250"/>
      <c r="Q69" s="266"/>
    </row>
    <row r="70" spans="1:18" s="149" customFormat="1" ht="15.75" customHeight="1" x14ac:dyDescent="0.2">
      <c r="A70" s="84"/>
      <c r="B70" s="72"/>
      <c r="C70" s="182" t="s">
        <v>36</v>
      </c>
      <c r="D70" s="156">
        <v>12144</v>
      </c>
      <c r="E70" s="290">
        <v>223.39999999999998</v>
      </c>
      <c r="F70" s="290">
        <v>11844</v>
      </c>
      <c r="G70" s="290">
        <v>7310</v>
      </c>
      <c r="H70" s="66">
        <f t="shared" si="11"/>
        <v>31521.4</v>
      </c>
      <c r="I70" s="156">
        <f>516*24</f>
        <v>12384</v>
      </c>
      <c r="J70" s="131">
        <v>223.4</v>
      </c>
      <c r="K70" s="131">
        <v>12411</v>
      </c>
      <c r="L70" s="131">
        <v>7796</v>
      </c>
      <c r="M70" s="66">
        <f t="shared" si="12"/>
        <v>32814.400000000001</v>
      </c>
      <c r="N70" s="156">
        <f t="shared" si="13"/>
        <v>1293</v>
      </c>
      <c r="O70" s="207">
        <f t="shared" si="14"/>
        <v>4.1019751660776489E-2</v>
      </c>
      <c r="P70" s="250"/>
      <c r="Q70" s="250"/>
      <c r="R70" s="283"/>
    </row>
    <row r="71" spans="1:18" s="149" customFormat="1" ht="15.75" customHeight="1" x14ac:dyDescent="0.2">
      <c r="A71" s="84"/>
      <c r="B71" s="72"/>
      <c r="C71" s="182" t="s">
        <v>37</v>
      </c>
      <c r="D71" s="156">
        <v>13248</v>
      </c>
      <c r="E71" s="290">
        <v>223.39999999999998</v>
      </c>
      <c r="F71" s="290">
        <v>11844</v>
      </c>
      <c r="G71" s="290">
        <v>7310</v>
      </c>
      <c r="H71" s="66">
        <f t="shared" si="11"/>
        <v>32625.4</v>
      </c>
      <c r="I71" s="156">
        <f>563*24</f>
        <v>13512</v>
      </c>
      <c r="J71" s="131">
        <v>223.4</v>
      </c>
      <c r="K71" s="131">
        <v>12411</v>
      </c>
      <c r="L71" s="131">
        <v>7796</v>
      </c>
      <c r="M71" s="66">
        <f t="shared" si="12"/>
        <v>33942.400000000001</v>
      </c>
      <c r="N71" s="156">
        <f t="shared" si="13"/>
        <v>1317</v>
      </c>
      <c r="O71" s="207">
        <f t="shared" si="14"/>
        <v>4.0367321166943547E-2</v>
      </c>
      <c r="P71" s="250"/>
      <c r="Q71" s="250"/>
      <c r="R71" s="283"/>
    </row>
    <row r="72" spans="1:18" s="149" customFormat="1" ht="15.75" customHeight="1" x14ac:dyDescent="0.2">
      <c r="A72" s="84"/>
      <c r="B72" s="72"/>
      <c r="C72" s="234" t="s">
        <v>20</v>
      </c>
      <c r="D72" s="156">
        <v>16752</v>
      </c>
      <c r="E72" s="290">
        <v>223.39999999999998</v>
      </c>
      <c r="F72" s="290">
        <v>11844</v>
      </c>
      <c r="G72" s="290">
        <v>7310</v>
      </c>
      <c r="H72" s="66">
        <f t="shared" si="11"/>
        <v>36129.4</v>
      </c>
      <c r="I72" s="156">
        <v>17592</v>
      </c>
      <c r="J72" s="131">
        <v>223.4</v>
      </c>
      <c r="K72" s="131">
        <v>12411</v>
      </c>
      <c r="L72" s="131">
        <v>7796</v>
      </c>
      <c r="M72" s="66">
        <f t="shared" si="12"/>
        <v>38022.400000000001</v>
      </c>
      <c r="N72" s="156">
        <f t="shared" si="13"/>
        <v>1893</v>
      </c>
      <c r="O72" s="207">
        <f t="shared" si="14"/>
        <v>5.2395002408011204E-2</v>
      </c>
      <c r="P72" s="250"/>
      <c r="Q72" s="266"/>
    </row>
    <row r="73" spans="1:18" s="149" customFormat="1" ht="15.75" customHeight="1" x14ac:dyDescent="0.2">
      <c r="A73" s="84"/>
      <c r="B73" s="72"/>
      <c r="C73" s="234" t="s">
        <v>38</v>
      </c>
      <c r="D73" s="156">
        <v>18696</v>
      </c>
      <c r="E73" s="290">
        <v>223.39999999999998</v>
      </c>
      <c r="F73" s="290">
        <v>11844</v>
      </c>
      <c r="G73" s="290">
        <v>7310</v>
      </c>
      <c r="H73" s="66">
        <f t="shared" si="11"/>
        <v>38073.4</v>
      </c>
      <c r="I73" s="156">
        <f>779*24</f>
        <v>18696</v>
      </c>
      <c r="J73" s="131">
        <v>223.4</v>
      </c>
      <c r="K73" s="131">
        <v>12411</v>
      </c>
      <c r="L73" s="131">
        <v>7796</v>
      </c>
      <c r="M73" s="66">
        <f t="shared" si="12"/>
        <v>39126.400000000001</v>
      </c>
      <c r="N73" s="156">
        <f t="shared" si="13"/>
        <v>1053</v>
      </c>
      <c r="O73" s="207">
        <f t="shared" si="14"/>
        <v>2.765710443511743E-2</v>
      </c>
      <c r="P73" s="250"/>
      <c r="Q73" s="250"/>
      <c r="R73" s="283"/>
    </row>
    <row r="74" spans="1:18" s="149" customFormat="1" ht="15.75" customHeight="1" x14ac:dyDescent="0.2">
      <c r="A74" s="84"/>
      <c r="B74" s="72"/>
      <c r="C74" s="234" t="s">
        <v>70</v>
      </c>
      <c r="D74" s="156">
        <v>17400.000000000004</v>
      </c>
      <c r="E74" s="290">
        <v>223.39999999999998</v>
      </c>
      <c r="F74" s="290">
        <v>11844</v>
      </c>
      <c r="G74" s="290">
        <v>7310</v>
      </c>
      <c r="H74" s="66">
        <f t="shared" si="11"/>
        <v>36777.400000000009</v>
      </c>
      <c r="I74" s="156">
        <v>17880</v>
      </c>
      <c r="J74" s="131">
        <v>223.4</v>
      </c>
      <c r="K74" s="131">
        <v>12411</v>
      </c>
      <c r="L74" s="131">
        <v>7796</v>
      </c>
      <c r="M74" s="66">
        <f t="shared" si="12"/>
        <v>38310.400000000001</v>
      </c>
      <c r="N74" s="156">
        <f t="shared" si="13"/>
        <v>1532.9999999999927</v>
      </c>
      <c r="O74" s="207">
        <f t="shared" si="14"/>
        <v>4.1683207622072047E-2</v>
      </c>
      <c r="P74" s="250"/>
      <c r="Q74" s="250"/>
    </row>
    <row r="75" spans="1:18" s="149" customFormat="1" ht="15.75" customHeight="1" x14ac:dyDescent="0.2">
      <c r="A75" s="84"/>
      <c r="B75" s="72"/>
      <c r="C75" s="234" t="s">
        <v>39</v>
      </c>
      <c r="D75" s="156">
        <v>16920</v>
      </c>
      <c r="E75" s="290">
        <v>223.39999999999998</v>
      </c>
      <c r="F75" s="290">
        <v>11844</v>
      </c>
      <c r="G75" s="290">
        <v>7310</v>
      </c>
      <c r="H75" s="66">
        <f t="shared" si="11"/>
        <v>36297.4</v>
      </c>
      <c r="I75" s="156">
        <v>17424</v>
      </c>
      <c r="J75" s="131">
        <v>223.4</v>
      </c>
      <c r="K75" s="131">
        <v>12411</v>
      </c>
      <c r="L75" s="131">
        <v>7796</v>
      </c>
      <c r="M75" s="66">
        <f t="shared" si="12"/>
        <v>37854.400000000001</v>
      </c>
      <c r="N75" s="156">
        <f t="shared" si="13"/>
        <v>1557</v>
      </c>
      <c r="O75" s="207">
        <f t="shared" si="14"/>
        <v>4.2895634398056055E-2</v>
      </c>
      <c r="P75" s="250"/>
      <c r="Q75" s="266"/>
    </row>
    <row r="76" spans="1:18" s="149" customFormat="1" ht="15.75" customHeight="1" x14ac:dyDescent="0.2">
      <c r="A76" s="84"/>
      <c r="B76" s="72"/>
      <c r="C76" s="182" t="s">
        <v>32</v>
      </c>
      <c r="D76" s="156">
        <v>17399.999999999996</v>
      </c>
      <c r="E76" s="290">
        <v>223.39999999999998</v>
      </c>
      <c r="F76" s="290">
        <v>11844</v>
      </c>
      <c r="G76" s="290">
        <v>7310</v>
      </c>
      <c r="H76" s="66">
        <f t="shared" si="11"/>
        <v>36777.399999999994</v>
      </c>
      <c r="I76" s="156">
        <v>17760.000000000004</v>
      </c>
      <c r="J76" s="131">
        <v>223.4</v>
      </c>
      <c r="K76" s="131">
        <v>12411</v>
      </c>
      <c r="L76" s="131">
        <v>7796</v>
      </c>
      <c r="M76" s="66">
        <f t="shared" si="12"/>
        <v>38190.400000000009</v>
      </c>
      <c r="N76" s="156">
        <f t="shared" si="13"/>
        <v>1413.0000000000146</v>
      </c>
      <c r="O76" s="207">
        <f t="shared" si="14"/>
        <v>3.8420334226998504E-2</v>
      </c>
      <c r="P76" s="250"/>
      <c r="Q76" s="266"/>
    </row>
    <row r="77" spans="1:18" s="149" customFormat="1" ht="15.75" customHeight="1" x14ac:dyDescent="0.2">
      <c r="A77" s="84"/>
      <c r="B77" s="72"/>
      <c r="C77" s="182" t="s">
        <v>33</v>
      </c>
      <c r="D77" s="156">
        <v>16200</v>
      </c>
      <c r="E77" s="290">
        <v>223.39999999999998</v>
      </c>
      <c r="F77" s="290">
        <v>11844</v>
      </c>
      <c r="G77" s="290">
        <v>7310</v>
      </c>
      <c r="H77" s="66">
        <f t="shared" si="11"/>
        <v>35577.4</v>
      </c>
      <c r="I77" s="156">
        <v>16560</v>
      </c>
      <c r="J77" s="131">
        <v>223.4</v>
      </c>
      <c r="K77" s="131">
        <v>12411</v>
      </c>
      <c r="L77" s="131">
        <v>7796</v>
      </c>
      <c r="M77" s="66">
        <f t="shared" si="12"/>
        <v>36990.400000000001</v>
      </c>
      <c r="N77" s="156">
        <f t="shared" si="13"/>
        <v>1413</v>
      </c>
      <c r="O77" s="207">
        <f t="shared" si="14"/>
        <v>3.971622434466824E-2</v>
      </c>
      <c r="P77" s="250"/>
      <c r="Q77" s="266"/>
    </row>
    <row r="78" spans="1:18" s="149" customFormat="1" ht="16.5" x14ac:dyDescent="0.2">
      <c r="A78" s="84"/>
      <c r="B78" s="72"/>
      <c r="C78" s="182" t="s">
        <v>110</v>
      </c>
      <c r="D78" s="290">
        <f>177*18</f>
        <v>3186</v>
      </c>
      <c r="E78" s="290">
        <v>223.39999999999998</v>
      </c>
      <c r="F78" s="290">
        <v>11844</v>
      </c>
      <c r="G78" s="290">
        <v>7310</v>
      </c>
      <c r="H78" s="66">
        <f t="shared" si="11"/>
        <v>22563.4</v>
      </c>
      <c r="I78" s="290">
        <f>177*18</f>
        <v>3186</v>
      </c>
      <c r="J78" s="131">
        <v>223.4</v>
      </c>
      <c r="K78" s="131">
        <v>12411</v>
      </c>
      <c r="L78" s="131">
        <v>7796</v>
      </c>
      <c r="M78" s="66">
        <f t="shared" si="12"/>
        <v>23616.400000000001</v>
      </c>
      <c r="N78" s="156">
        <f t="shared" si="13"/>
        <v>1053</v>
      </c>
      <c r="O78" s="207">
        <f t="shared" si="14"/>
        <v>4.6668498541886413E-2</v>
      </c>
      <c r="P78" s="250"/>
      <c r="Q78" s="266"/>
    </row>
    <row r="79" spans="1:18" s="149" customFormat="1" ht="15" customHeight="1" x14ac:dyDescent="0.2">
      <c r="A79" s="150"/>
      <c r="B79" s="72"/>
      <c r="C79" s="242" t="s">
        <v>112</v>
      </c>
      <c r="D79" s="107">
        <f>773*24</f>
        <v>18552</v>
      </c>
      <c r="E79" s="107">
        <v>223.39999999999998</v>
      </c>
      <c r="F79" s="107">
        <v>11844</v>
      </c>
      <c r="G79" s="107">
        <v>7310</v>
      </c>
      <c r="H79" s="71">
        <f t="shared" si="11"/>
        <v>37929.4</v>
      </c>
      <c r="I79" s="106">
        <f>773*24</f>
        <v>18552</v>
      </c>
      <c r="J79" s="107">
        <v>223.4</v>
      </c>
      <c r="K79" s="107">
        <v>12411</v>
      </c>
      <c r="L79" s="107">
        <v>7796</v>
      </c>
      <c r="M79" s="71">
        <f t="shared" si="12"/>
        <v>38982.400000000001</v>
      </c>
      <c r="N79" s="106">
        <f>M79-H79</f>
        <v>1053</v>
      </c>
      <c r="O79" s="208">
        <f>N79/H79</f>
        <v>2.776210538526842E-2</v>
      </c>
      <c r="P79" s="250"/>
      <c r="Q79" s="266"/>
    </row>
    <row r="80" spans="1:18" s="158" customFormat="1" ht="15.75" customHeight="1" x14ac:dyDescent="0.2">
      <c r="A80" s="87"/>
      <c r="B80" s="88" t="s">
        <v>10</v>
      </c>
      <c r="C80" s="243"/>
      <c r="D80" s="156"/>
      <c r="E80" s="290"/>
      <c r="F80" s="290"/>
      <c r="G80" s="290"/>
      <c r="H80" s="66"/>
      <c r="I80" s="156"/>
      <c r="J80" s="131"/>
      <c r="K80" s="131"/>
      <c r="L80" s="131"/>
      <c r="M80" s="66"/>
      <c r="N80" s="156"/>
      <c r="O80" s="207"/>
      <c r="P80" s="250"/>
      <c r="Q80" s="266"/>
    </row>
    <row r="81" spans="1:17" s="149" customFormat="1" ht="15.75" customHeight="1" x14ac:dyDescent="0.2">
      <c r="A81" s="84"/>
      <c r="B81" s="72"/>
      <c r="C81" s="182" t="s">
        <v>101</v>
      </c>
      <c r="D81" s="156">
        <v>42390</v>
      </c>
      <c r="E81" s="290">
        <v>223.39999999999998</v>
      </c>
      <c r="F81" s="290">
        <v>11844</v>
      </c>
      <c r="G81" s="290">
        <v>7310</v>
      </c>
      <c r="H81" s="66">
        <f t="shared" ref="H81:H86" si="15">D81+E81+F81+G81</f>
        <v>61767.4</v>
      </c>
      <c r="I81" s="156">
        <v>43449.749999999993</v>
      </c>
      <c r="J81" s="131">
        <v>223.4</v>
      </c>
      <c r="K81" s="131">
        <v>12411</v>
      </c>
      <c r="L81" s="131">
        <v>7796</v>
      </c>
      <c r="M81" s="66">
        <f t="shared" ref="M81:M86" si="16">I81+J81+K81+L81</f>
        <v>63880.149999999994</v>
      </c>
      <c r="N81" s="156">
        <f t="shared" ref="N81:N86" si="17">M81-H81</f>
        <v>2112.7499999999927</v>
      </c>
      <c r="O81" s="207">
        <f t="shared" ref="O81:O86" si="18">N81/H81</f>
        <v>3.4204936584670761E-2</v>
      </c>
      <c r="P81" s="250"/>
      <c r="Q81" s="266"/>
    </row>
    <row r="82" spans="1:17" s="149" customFormat="1" ht="15.75" customHeight="1" x14ac:dyDescent="0.2">
      <c r="A82" s="84"/>
      <c r="B82" s="72"/>
      <c r="C82" s="182" t="s">
        <v>26</v>
      </c>
      <c r="D82" s="156">
        <v>41344</v>
      </c>
      <c r="E82" s="290">
        <v>223.39999999999998</v>
      </c>
      <c r="F82" s="290">
        <v>11844</v>
      </c>
      <c r="G82" s="290">
        <v>7310</v>
      </c>
      <c r="H82" s="66">
        <f t="shared" si="15"/>
        <v>60721.4</v>
      </c>
      <c r="I82" s="156">
        <v>41344</v>
      </c>
      <c r="J82" s="131">
        <v>223.4</v>
      </c>
      <c r="K82" s="131">
        <v>12411</v>
      </c>
      <c r="L82" s="131">
        <v>7796</v>
      </c>
      <c r="M82" s="66">
        <f t="shared" si="16"/>
        <v>61774.400000000001</v>
      </c>
      <c r="N82" s="156">
        <f t="shared" si="17"/>
        <v>1053</v>
      </c>
      <c r="O82" s="207">
        <f t="shared" si="18"/>
        <v>1.734149739630509E-2</v>
      </c>
      <c r="P82" s="250"/>
      <c r="Q82" s="266"/>
    </row>
    <row r="83" spans="1:17" s="149" customFormat="1" ht="15.75" customHeight="1" x14ac:dyDescent="0.2">
      <c r="A83" s="84"/>
      <c r="B83" s="72"/>
      <c r="C83" s="182" t="s">
        <v>27</v>
      </c>
      <c r="D83" s="156">
        <v>13536</v>
      </c>
      <c r="E83" s="290">
        <v>223.39999999999998</v>
      </c>
      <c r="F83" s="290">
        <v>11844</v>
      </c>
      <c r="G83" s="290">
        <v>7310</v>
      </c>
      <c r="H83" s="66">
        <f t="shared" si="15"/>
        <v>32913.4</v>
      </c>
      <c r="I83" s="156">
        <v>14208</v>
      </c>
      <c r="J83" s="131">
        <v>223.4</v>
      </c>
      <c r="K83" s="131">
        <v>12411</v>
      </c>
      <c r="L83" s="131">
        <v>7796</v>
      </c>
      <c r="M83" s="66">
        <f t="shared" si="16"/>
        <v>34638.400000000001</v>
      </c>
      <c r="N83" s="156">
        <f t="shared" si="17"/>
        <v>1725</v>
      </c>
      <c r="O83" s="207">
        <f t="shared" si="18"/>
        <v>5.2410264512326284E-2</v>
      </c>
      <c r="P83" s="250"/>
      <c r="Q83" s="266"/>
    </row>
    <row r="84" spans="1:17" s="149" customFormat="1" ht="15.75" customHeight="1" x14ac:dyDescent="0.2">
      <c r="A84" s="84"/>
      <c r="B84" s="72"/>
      <c r="C84" s="182" t="s">
        <v>23</v>
      </c>
      <c r="D84" s="156">
        <v>17399.999999999996</v>
      </c>
      <c r="E84" s="290">
        <v>223.39999999999998</v>
      </c>
      <c r="F84" s="290">
        <v>11844</v>
      </c>
      <c r="G84" s="290">
        <v>7310</v>
      </c>
      <c r="H84" s="66">
        <f t="shared" si="15"/>
        <v>36777.399999999994</v>
      </c>
      <c r="I84" s="156">
        <v>17760</v>
      </c>
      <c r="J84" s="131">
        <v>223.4</v>
      </c>
      <c r="K84" s="131">
        <v>12411</v>
      </c>
      <c r="L84" s="131">
        <v>7796</v>
      </c>
      <c r="M84" s="66">
        <f t="shared" si="16"/>
        <v>38190.400000000001</v>
      </c>
      <c r="N84" s="156">
        <f t="shared" si="17"/>
        <v>1413.0000000000073</v>
      </c>
      <c r="O84" s="207">
        <f t="shared" si="18"/>
        <v>3.8420334226998309E-2</v>
      </c>
      <c r="P84" s="250"/>
      <c r="Q84" s="266"/>
    </row>
    <row r="85" spans="1:17" s="149" customFormat="1" ht="15.75" customHeight="1" x14ac:dyDescent="0.2">
      <c r="A85" s="84"/>
      <c r="B85" s="72"/>
      <c r="C85" s="182" t="s">
        <v>88</v>
      </c>
      <c r="D85" s="156">
        <v>21413</v>
      </c>
      <c r="E85" s="290">
        <v>223.39999999999998</v>
      </c>
      <c r="F85" s="290">
        <v>11844</v>
      </c>
      <c r="G85" s="290">
        <v>7310</v>
      </c>
      <c r="H85" s="66">
        <f t="shared" si="15"/>
        <v>40790.400000000001</v>
      </c>
      <c r="I85" s="156">
        <v>22483.282500000001</v>
      </c>
      <c r="J85" s="131">
        <v>223.4</v>
      </c>
      <c r="K85" s="131">
        <v>12411</v>
      </c>
      <c r="L85" s="131">
        <v>7796</v>
      </c>
      <c r="M85" s="66">
        <f t="shared" si="16"/>
        <v>42913.682500000003</v>
      </c>
      <c r="N85" s="156">
        <f t="shared" si="17"/>
        <v>2123.2825000000012</v>
      </c>
      <c r="O85" s="207">
        <f t="shared" si="18"/>
        <v>5.2053485624068432E-2</v>
      </c>
      <c r="P85" s="250"/>
      <c r="Q85" s="266"/>
    </row>
    <row r="86" spans="1:17" s="149" customFormat="1" ht="15.75" customHeight="1" thickBot="1" x14ac:dyDescent="0.25">
      <c r="A86" s="89"/>
      <c r="B86" s="90"/>
      <c r="C86" s="244" t="s">
        <v>28</v>
      </c>
      <c r="D86" s="196">
        <f>1393.5*24</f>
        <v>33444</v>
      </c>
      <c r="E86" s="141">
        <v>223.39999999999998</v>
      </c>
      <c r="F86" s="141">
        <v>11844</v>
      </c>
      <c r="G86" s="141">
        <v>7310</v>
      </c>
      <c r="H86" s="79">
        <f t="shared" si="15"/>
        <v>52821.4</v>
      </c>
      <c r="I86" s="196">
        <f>1393.5*24</f>
        <v>33444</v>
      </c>
      <c r="J86" s="141">
        <v>223.4</v>
      </c>
      <c r="K86" s="141">
        <v>12411</v>
      </c>
      <c r="L86" s="141">
        <v>7796</v>
      </c>
      <c r="M86" s="79">
        <f t="shared" si="16"/>
        <v>53874.400000000001</v>
      </c>
      <c r="N86" s="196">
        <f t="shared" si="17"/>
        <v>1053</v>
      </c>
      <c r="O86" s="209">
        <f t="shared" si="18"/>
        <v>1.9935102060907133E-2</v>
      </c>
      <c r="P86" s="250"/>
      <c r="Q86" s="266"/>
    </row>
    <row r="87" spans="1:17" s="4" customFormat="1" ht="21.75" customHeight="1" x14ac:dyDescent="0.25">
      <c r="A87" s="3"/>
      <c r="B87" s="5" t="s">
        <v>18</v>
      </c>
      <c r="C87" s="3"/>
      <c r="D87" s="17"/>
      <c r="E87" s="2"/>
      <c r="F87" s="2"/>
      <c r="G87" s="2"/>
      <c r="H87" s="2"/>
      <c r="I87" s="17"/>
      <c r="J87" s="2"/>
      <c r="K87" s="2"/>
      <c r="L87" s="2"/>
      <c r="M87" s="2"/>
      <c r="N87" s="2"/>
      <c r="O87" s="6"/>
      <c r="P87" s="282"/>
      <c r="Q87" s="282"/>
    </row>
    <row r="88" spans="1:17" s="7" customFormat="1" ht="12.75" customHeight="1" x14ac:dyDescent="0.2">
      <c r="A88" s="10"/>
      <c r="B88" s="10"/>
      <c r="C88" s="36" t="s">
        <v>53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104"/>
      <c r="Q88" s="266"/>
    </row>
    <row r="89" spans="1:17" s="7" customFormat="1" ht="12.75" customHeight="1" x14ac:dyDescent="0.2">
      <c r="A89" s="10"/>
      <c r="B89" s="10"/>
      <c r="C89" s="35" t="s">
        <v>40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8"/>
      <c r="Q89" s="266"/>
    </row>
    <row r="90" spans="1:17" s="7" customFormat="1" ht="14.25" x14ac:dyDescent="0.2">
      <c r="C90" s="314" t="s">
        <v>69</v>
      </c>
      <c r="D90" s="314"/>
      <c r="E90" s="314"/>
      <c r="F90" s="314"/>
      <c r="G90" s="314"/>
      <c r="H90" s="314"/>
      <c r="I90" s="314"/>
      <c r="J90" s="314"/>
      <c r="K90" s="314"/>
      <c r="L90" s="314"/>
      <c r="M90" s="314"/>
      <c r="N90" s="314"/>
      <c r="O90" s="314"/>
      <c r="Q90" s="266"/>
    </row>
    <row r="91" spans="1:17" s="7" customFormat="1" ht="12.75" customHeight="1" x14ac:dyDescent="0.2">
      <c r="C91" s="39" t="s">
        <v>54</v>
      </c>
      <c r="D91" s="40"/>
      <c r="E91" s="40"/>
      <c r="F91" s="40"/>
      <c r="G91" s="40"/>
      <c r="H91" s="41"/>
      <c r="I91" s="40"/>
      <c r="J91" s="40"/>
      <c r="K91" s="40"/>
      <c r="L91" s="40"/>
      <c r="M91" s="41"/>
      <c r="N91" s="40"/>
      <c r="O91" s="41"/>
      <c r="Q91" s="266"/>
    </row>
    <row r="92" spans="1:17" s="7" customFormat="1" ht="12" customHeight="1" x14ac:dyDescent="0.2">
      <c r="C92" s="317" t="s">
        <v>94</v>
      </c>
      <c r="D92" s="317"/>
      <c r="E92" s="317"/>
      <c r="F92" s="317"/>
      <c r="G92" s="317"/>
      <c r="H92" s="317"/>
      <c r="I92" s="317"/>
      <c r="J92" s="317"/>
      <c r="K92" s="317"/>
      <c r="L92" s="317"/>
      <c r="M92" s="317"/>
      <c r="N92" s="317"/>
      <c r="O92" s="317"/>
      <c r="Q92" s="266"/>
    </row>
    <row r="93" spans="1:17" ht="12.75" customHeight="1" x14ac:dyDescent="0.2">
      <c r="C93" s="42" t="s">
        <v>141</v>
      </c>
      <c r="D93" s="40"/>
      <c r="E93" s="40"/>
      <c r="F93" s="40"/>
      <c r="G93" s="40"/>
      <c r="H93" s="41"/>
      <c r="I93" s="40"/>
      <c r="J93" s="40"/>
      <c r="K93" s="40"/>
      <c r="L93" s="40"/>
      <c r="M93" s="41"/>
      <c r="N93" s="40"/>
      <c r="O93" s="41"/>
      <c r="Q93" s="266"/>
    </row>
    <row r="94" spans="1:17" ht="14.25" x14ac:dyDescent="0.2">
      <c r="C94" s="155" t="s">
        <v>139</v>
      </c>
      <c r="D94" s="155"/>
      <c r="E94" s="155"/>
      <c r="F94" s="155"/>
      <c r="G94" s="155"/>
      <c r="H94" s="155"/>
      <c r="I94" s="155"/>
      <c r="J94" s="155"/>
      <c r="K94" s="155"/>
      <c r="L94" s="155"/>
      <c r="M94" s="151"/>
      <c r="N94" s="151"/>
      <c r="O94" s="151"/>
      <c r="Q94" s="266"/>
    </row>
    <row r="95" spans="1:17" ht="27.75" customHeight="1" x14ac:dyDescent="0.2">
      <c r="C95" s="320" t="s">
        <v>96</v>
      </c>
      <c r="D95" s="320"/>
      <c r="E95" s="320"/>
      <c r="F95" s="320"/>
      <c r="G95" s="320"/>
      <c r="H95" s="320"/>
      <c r="I95" s="320"/>
      <c r="J95" s="320"/>
      <c r="K95" s="320"/>
      <c r="L95" s="320"/>
      <c r="M95" s="320"/>
      <c r="N95" s="320"/>
      <c r="O95" s="320"/>
      <c r="Q95" s="266"/>
    </row>
    <row r="96" spans="1:17" s="23" customFormat="1" ht="14.25" x14ac:dyDescent="0.2">
      <c r="C96" s="320" t="s">
        <v>122</v>
      </c>
      <c r="D96" s="320"/>
      <c r="E96" s="320"/>
      <c r="F96" s="320"/>
      <c r="G96" s="320"/>
      <c r="H96" s="320"/>
      <c r="I96" s="320"/>
      <c r="J96" s="320"/>
      <c r="K96" s="320"/>
      <c r="L96" s="320"/>
      <c r="M96" s="320"/>
      <c r="N96" s="320"/>
      <c r="O96" s="320"/>
      <c r="Q96" s="266"/>
    </row>
    <row r="97" spans="3:17" ht="14.25" x14ac:dyDescent="0.2">
      <c r="C97" s="35" t="s">
        <v>56</v>
      </c>
      <c r="Q97" s="266"/>
    </row>
    <row r="98" spans="3:17" ht="35.25" customHeight="1" x14ac:dyDescent="0.2">
      <c r="C98" s="314"/>
      <c r="D98" s="314"/>
      <c r="E98" s="314"/>
      <c r="F98" s="314"/>
      <c r="G98" s="314"/>
      <c r="H98" s="314"/>
      <c r="I98" s="314"/>
      <c r="J98" s="314"/>
      <c r="K98" s="314"/>
      <c r="L98" s="314"/>
    </row>
    <row r="99" spans="3:17" x14ac:dyDescent="0.2">
      <c r="M99" s="8"/>
      <c r="N99" s="8"/>
      <c r="O99" s="8"/>
    </row>
    <row r="100" spans="3:17" x14ac:dyDescent="0.2">
      <c r="L100" s="105"/>
      <c r="M100" s="103"/>
      <c r="N100" s="8"/>
      <c r="O100" s="8"/>
    </row>
    <row r="101" spans="3:17" x14ac:dyDescent="0.2">
      <c r="M101" s="103"/>
      <c r="N101" s="8"/>
      <c r="O101" s="8"/>
    </row>
    <row r="102" spans="3:17" x14ac:dyDescent="0.2">
      <c r="M102" s="103"/>
      <c r="N102" s="8"/>
      <c r="O102" s="8"/>
    </row>
    <row r="103" spans="3:17" x14ac:dyDescent="0.2">
      <c r="N103" s="8"/>
      <c r="O103" s="8"/>
    </row>
    <row r="104" spans="3:17" x14ac:dyDescent="0.2">
      <c r="N104" s="8"/>
      <c r="O104" s="8"/>
    </row>
    <row r="105" spans="3:17" x14ac:dyDescent="0.2">
      <c r="M105" s="8"/>
      <c r="N105" s="8"/>
      <c r="O105" s="8"/>
    </row>
    <row r="106" spans="3:17" x14ac:dyDescent="0.2">
      <c r="C106" s="130"/>
      <c r="M106" s="8"/>
      <c r="N106" s="8"/>
      <c r="O106" s="8"/>
    </row>
    <row r="107" spans="3:17" x14ac:dyDescent="0.2">
      <c r="M107" s="8"/>
      <c r="N107" s="8"/>
      <c r="O107" s="12"/>
    </row>
    <row r="108" spans="3:17" x14ac:dyDescent="0.2">
      <c r="M108" s="8"/>
      <c r="N108" s="8"/>
      <c r="O108" s="8"/>
    </row>
  </sheetData>
  <mergeCells count="9">
    <mergeCell ref="C98:L98"/>
    <mergeCell ref="N4:O4"/>
    <mergeCell ref="C92:O92"/>
    <mergeCell ref="C90:O90"/>
    <mergeCell ref="N5:O5"/>
    <mergeCell ref="C95:O95"/>
    <mergeCell ref="C96:O96"/>
    <mergeCell ref="D4:H5"/>
    <mergeCell ref="I4:M5"/>
  </mergeCells>
  <phoneticPr fontId="0" type="noConversion"/>
  <printOptions horizontalCentered="1"/>
  <pageMargins left="0.7" right="0.7" top="0.75" bottom="0.75" header="0.3" footer="0.3"/>
  <pageSetup scale="58" fitToWidth="2" fitToHeight="2" orientation="landscape" r:id="rId1"/>
  <headerFooter alignWithMargins="0"/>
  <rowBreaks count="1" manualBreakCount="1">
    <brk id="5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view="pageBreakPreview" zoomScaleNormal="70" zoomScaleSheetLayoutView="100" workbookViewId="0">
      <selection activeCell="F1" sqref="F1"/>
    </sheetView>
  </sheetViews>
  <sheetFormatPr defaultColWidth="9.28515625" defaultRowHeight="12.75" x14ac:dyDescent="0.2"/>
  <cols>
    <col min="1" max="1" width="2" style="9" customWidth="1"/>
    <col min="2" max="2" width="2.28515625" style="9" customWidth="1"/>
    <col min="3" max="3" width="60" style="9" customWidth="1"/>
    <col min="4" max="4" width="11" style="113" customWidth="1"/>
    <col min="5" max="5" width="10.140625" style="113" bestFit="1" customWidth="1"/>
    <col min="6" max="7" width="10.7109375" style="113" customWidth="1"/>
    <col min="8" max="8" width="10.7109375" style="114" customWidth="1"/>
    <col min="9" max="9" width="12.5703125" style="9" customWidth="1"/>
    <col min="10" max="10" width="8.7109375" style="9" bestFit="1" customWidth="1"/>
    <col min="11" max="11" width="12.5703125" style="9" bestFit="1" customWidth="1"/>
    <col min="12" max="12" width="10.7109375" style="9" customWidth="1"/>
    <col min="13" max="13" width="12.5703125" style="11" bestFit="1" customWidth="1"/>
    <col min="14" max="14" width="10.7109375" style="9" customWidth="1"/>
    <col min="15" max="15" width="11.5703125" style="11" customWidth="1"/>
    <col min="16" max="17" width="9.28515625" style="9"/>
    <col min="18" max="18" width="12.28515625" style="9" customWidth="1"/>
    <col min="19" max="19" width="12" style="9" customWidth="1"/>
    <col min="20" max="16384" width="9.28515625" style="9"/>
  </cols>
  <sheetData>
    <row r="1" spans="1:19" ht="18" x14ac:dyDescent="0.25">
      <c r="A1" s="43" t="s">
        <v>29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9" ht="18" x14ac:dyDescent="0.25">
      <c r="A2" s="43" t="str">
        <f>Resident!A2</f>
        <v>FY 2023 Cost of Attendance Estimate*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9" ht="18.75" thickBot="1" x14ac:dyDescent="0.3">
      <c r="A3" s="44" t="s">
        <v>81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9" s="1" customFormat="1" ht="15.75" x14ac:dyDescent="0.25">
      <c r="A4" s="91"/>
      <c r="B4" s="92"/>
      <c r="C4" s="92"/>
      <c r="D4" s="321" t="str">
        <f>Resident!D4</f>
        <v xml:space="preserve">FY 2022 Cost of Attendance Estimate </v>
      </c>
      <c r="E4" s="322"/>
      <c r="F4" s="322"/>
      <c r="G4" s="322"/>
      <c r="H4" s="323"/>
      <c r="I4" s="321" t="str">
        <f>Resident!I4</f>
        <v xml:space="preserve">FY 2023 Cost of Attendance Estimate </v>
      </c>
      <c r="J4" s="322"/>
      <c r="K4" s="322"/>
      <c r="L4" s="322"/>
      <c r="M4" s="323"/>
      <c r="N4" s="327" t="s">
        <v>1</v>
      </c>
      <c r="O4" s="328"/>
    </row>
    <row r="5" spans="1:19" s="1" customFormat="1" ht="12.75" customHeight="1" thickBot="1" x14ac:dyDescent="0.3">
      <c r="A5" s="93"/>
      <c r="B5" s="94"/>
      <c r="C5" s="94"/>
      <c r="D5" s="324"/>
      <c r="E5" s="325"/>
      <c r="F5" s="325"/>
      <c r="G5" s="325"/>
      <c r="H5" s="326"/>
      <c r="I5" s="324"/>
      <c r="J5" s="325"/>
      <c r="K5" s="325"/>
      <c r="L5" s="325"/>
      <c r="M5" s="326"/>
      <c r="N5" s="330" t="s">
        <v>16</v>
      </c>
      <c r="O5" s="331"/>
    </row>
    <row r="6" spans="1:19" s="117" customFormat="1" ht="15.75" x14ac:dyDescent="0.25">
      <c r="A6" s="115"/>
      <c r="B6" s="116"/>
      <c r="C6" s="116"/>
      <c r="D6" s="255" t="str">
        <f>Resident!D6</f>
        <v xml:space="preserve">FY 2022  </v>
      </c>
      <c r="E6" s="255" t="str">
        <f>Resident!E6</f>
        <v xml:space="preserve">FY 2022  </v>
      </c>
      <c r="F6" s="255" t="str">
        <f>Resident!F6</f>
        <v xml:space="preserve">FY 2022  </v>
      </c>
      <c r="G6" s="255" t="str">
        <f>Resident!G6</f>
        <v xml:space="preserve">FY 2022  </v>
      </c>
      <c r="H6" s="255" t="str">
        <f>Resident!H6</f>
        <v xml:space="preserve">FY 2022  </v>
      </c>
      <c r="I6" s="255" t="str">
        <f>Resident!I6</f>
        <v xml:space="preserve">FY 2023 </v>
      </c>
      <c r="J6" s="255" t="str">
        <f>Resident!J6</f>
        <v xml:space="preserve">FY 2023 </v>
      </c>
      <c r="K6" s="255" t="str">
        <f>Resident!K6</f>
        <v xml:space="preserve">FY 2023 </v>
      </c>
      <c r="L6" s="255" t="str">
        <f>Resident!L6</f>
        <v xml:space="preserve">FY 2023 </v>
      </c>
      <c r="M6" s="255" t="str">
        <f>Resident!M6</f>
        <v xml:space="preserve">FY 2023 </v>
      </c>
      <c r="N6" s="95" t="s">
        <v>13</v>
      </c>
      <c r="O6" s="96" t="s">
        <v>14</v>
      </c>
    </row>
    <row r="7" spans="1:19" s="1" customFormat="1" ht="18" thickBot="1" x14ac:dyDescent="0.3">
      <c r="A7" s="97" t="s">
        <v>0</v>
      </c>
      <c r="B7" s="98"/>
      <c r="C7" s="98"/>
      <c r="D7" s="256" t="s">
        <v>63</v>
      </c>
      <c r="E7" s="256" t="s">
        <v>64</v>
      </c>
      <c r="F7" s="256" t="s">
        <v>65</v>
      </c>
      <c r="G7" s="256" t="s">
        <v>66</v>
      </c>
      <c r="H7" s="257" t="s">
        <v>15</v>
      </c>
      <c r="I7" s="256" t="s">
        <v>63</v>
      </c>
      <c r="J7" s="256" t="s">
        <v>64</v>
      </c>
      <c r="K7" s="256" t="s">
        <v>65</v>
      </c>
      <c r="L7" s="256" t="s">
        <v>66</v>
      </c>
      <c r="M7" s="257" t="s">
        <v>15</v>
      </c>
      <c r="N7" s="95" t="s">
        <v>1</v>
      </c>
      <c r="O7" s="99" t="s">
        <v>1</v>
      </c>
    </row>
    <row r="8" spans="1:19" s="157" customFormat="1" ht="15.75" thickBot="1" x14ac:dyDescent="0.3">
      <c r="A8" s="55" t="s">
        <v>11</v>
      </c>
      <c r="B8" s="56"/>
      <c r="C8" s="57"/>
      <c r="D8" s="57"/>
      <c r="E8" s="56"/>
      <c r="F8" s="56"/>
      <c r="G8" s="56"/>
      <c r="H8" s="159"/>
      <c r="I8" s="57"/>
      <c r="J8" s="56"/>
      <c r="K8" s="56"/>
      <c r="L8" s="56"/>
      <c r="M8" s="159"/>
      <c r="N8" s="57"/>
      <c r="O8" s="58"/>
    </row>
    <row r="9" spans="1:19" s="157" customFormat="1" ht="15.75" customHeight="1" x14ac:dyDescent="0.2">
      <c r="A9" s="61"/>
      <c r="B9" s="62" t="s">
        <v>102</v>
      </c>
      <c r="C9" s="126"/>
      <c r="D9" s="174"/>
      <c r="E9" s="171"/>
      <c r="F9" s="171"/>
      <c r="G9" s="171"/>
      <c r="H9" s="214"/>
      <c r="I9" s="174"/>
      <c r="J9" s="171"/>
      <c r="K9" s="171"/>
      <c r="L9" s="171"/>
      <c r="M9" s="173"/>
      <c r="N9" s="171"/>
      <c r="O9" s="173"/>
    </row>
    <row r="10" spans="1:19" s="157" customFormat="1" ht="15.75" customHeight="1" x14ac:dyDescent="0.2">
      <c r="A10" s="59"/>
      <c r="B10" s="60"/>
      <c r="C10" s="122" t="s">
        <v>137</v>
      </c>
      <c r="D10" s="292">
        <v>5520</v>
      </c>
      <c r="E10" s="215">
        <v>1599.1</v>
      </c>
      <c r="F10" s="219">
        <v>15676</v>
      </c>
      <c r="G10" s="218">
        <v>3655</v>
      </c>
      <c r="H10" s="219">
        <f>D10+E10+F10+G10</f>
        <v>26450.1</v>
      </c>
      <c r="I10" s="176">
        <v>5760</v>
      </c>
      <c r="J10" s="215">
        <v>1519.1</v>
      </c>
      <c r="K10" s="294">
        <v>16146</v>
      </c>
      <c r="L10" s="219">
        <v>3898</v>
      </c>
      <c r="M10" s="276">
        <f>I10+J10+K10+L10</f>
        <v>27323.1</v>
      </c>
      <c r="N10" s="219">
        <f>M10-H10</f>
        <v>873</v>
      </c>
      <c r="O10" s="177">
        <f>N10/H10</f>
        <v>3.3005546292830652E-2</v>
      </c>
      <c r="R10" s="263"/>
    </row>
    <row r="11" spans="1:19" s="157" customFormat="1" ht="15.75" customHeight="1" x14ac:dyDescent="0.2">
      <c r="A11" s="59"/>
      <c r="B11" s="60"/>
      <c r="C11" s="122" t="s">
        <v>136</v>
      </c>
      <c r="D11" s="292">
        <v>6408</v>
      </c>
      <c r="E11" s="215">
        <v>1599</v>
      </c>
      <c r="F11" s="219">
        <v>15676</v>
      </c>
      <c r="G11" s="218">
        <v>3655</v>
      </c>
      <c r="H11" s="219">
        <f>D11+E11+F11+G11</f>
        <v>27338</v>
      </c>
      <c r="I11" s="176">
        <v>6648</v>
      </c>
      <c r="J11" s="215">
        <v>1519</v>
      </c>
      <c r="K11" s="294">
        <v>16146</v>
      </c>
      <c r="L11" s="219">
        <v>3898</v>
      </c>
      <c r="M11" s="276">
        <f>I11+J11+K11+L11</f>
        <v>28211</v>
      </c>
      <c r="N11" s="219">
        <f>M11-H11</f>
        <v>873</v>
      </c>
      <c r="O11" s="177">
        <f>N11/H11</f>
        <v>3.1933572316921503E-2</v>
      </c>
    </row>
    <row r="12" spans="1:19" s="157" customFormat="1" ht="15.75" customHeight="1" x14ac:dyDescent="0.2">
      <c r="A12" s="59"/>
      <c r="B12" s="60"/>
      <c r="C12" s="122" t="s">
        <v>135</v>
      </c>
      <c r="D12" s="292">
        <v>7296</v>
      </c>
      <c r="E12" s="215">
        <v>1599</v>
      </c>
      <c r="F12" s="219">
        <v>15676</v>
      </c>
      <c r="G12" s="218">
        <v>3655</v>
      </c>
      <c r="H12" s="219">
        <f>D12+E12+F12+G12</f>
        <v>28226</v>
      </c>
      <c r="I12" s="176">
        <v>7536</v>
      </c>
      <c r="J12" s="215">
        <v>1519</v>
      </c>
      <c r="K12" s="294">
        <v>16146</v>
      </c>
      <c r="L12" s="219">
        <v>3898</v>
      </c>
      <c r="M12" s="276">
        <f>I12+J12+K12+L12</f>
        <v>29099</v>
      </c>
      <c r="N12" s="219">
        <f>M12-H12</f>
        <v>873</v>
      </c>
      <c r="O12" s="177">
        <f>N12/H12</f>
        <v>3.0928930773046127E-2</v>
      </c>
    </row>
    <row r="13" spans="1:19" s="157" customFormat="1" ht="15.75" customHeight="1" x14ac:dyDescent="0.2">
      <c r="A13" s="59"/>
      <c r="B13" s="60"/>
      <c r="C13" s="258" t="s">
        <v>134</v>
      </c>
      <c r="D13" s="143">
        <v>8256</v>
      </c>
      <c r="E13" s="216">
        <v>1599</v>
      </c>
      <c r="F13" s="291">
        <v>15676</v>
      </c>
      <c r="G13" s="230">
        <v>3655</v>
      </c>
      <c r="H13" s="291">
        <f>D13+E13+F13+G13</f>
        <v>29186</v>
      </c>
      <c r="I13" s="143">
        <v>8496</v>
      </c>
      <c r="J13" s="216">
        <v>1519</v>
      </c>
      <c r="K13" s="291">
        <v>16146</v>
      </c>
      <c r="L13" s="291">
        <v>3898</v>
      </c>
      <c r="M13" s="277">
        <f t="shared" ref="M13:M29" si="0">I13+J13+K13+L13</f>
        <v>30059</v>
      </c>
      <c r="N13" s="143">
        <f>M13-H13</f>
        <v>873</v>
      </c>
      <c r="O13" s="181">
        <f>N13/H13</f>
        <v>2.9911601452751319E-2</v>
      </c>
    </row>
    <row r="14" spans="1:19" s="157" customFormat="1" ht="15.75" customHeight="1" x14ac:dyDescent="0.2">
      <c r="A14" s="75"/>
      <c r="B14" s="76" t="s">
        <v>4</v>
      </c>
      <c r="C14" s="122"/>
      <c r="D14" s="292"/>
      <c r="E14" s="215"/>
      <c r="F14" s="219"/>
      <c r="G14" s="218"/>
      <c r="H14" s="219"/>
      <c r="I14" s="176"/>
      <c r="J14" s="215"/>
      <c r="K14" s="294"/>
      <c r="L14" s="219"/>
      <c r="M14" s="276"/>
      <c r="N14" s="219"/>
      <c r="O14" s="177"/>
    </row>
    <row r="15" spans="1:19" s="157" customFormat="1" ht="15.75" customHeight="1" x14ac:dyDescent="0.2">
      <c r="A15" s="59"/>
      <c r="B15" s="60"/>
      <c r="C15" s="122" t="s">
        <v>19</v>
      </c>
      <c r="D15" s="302">
        <v>6084</v>
      </c>
      <c r="E15" s="303">
        <v>1052</v>
      </c>
      <c r="F15" s="300">
        <v>11844</v>
      </c>
      <c r="G15" s="300">
        <v>3655</v>
      </c>
      <c r="H15" s="219">
        <f t="shared" ref="H15:H33" si="1">D15+E15+F15+G15</f>
        <v>22635</v>
      </c>
      <c r="I15" s="302">
        <v>6264</v>
      </c>
      <c r="J15" s="303">
        <v>952</v>
      </c>
      <c r="K15" s="300">
        <f>[1]Resident!K15</f>
        <v>12411</v>
      </c>
      <c r="L15" s="300">
        <f>[1]Resident!L15*0.5</f>
        <v>3898</v>
      </c>
      <c r="M15" s="276">
        <f t="shared" si="0"/>
        <v>23525</v>
      </c>
      <c r="N15" s="219">
        <f t="shared" ref="N15:N22" si="2">M15-H15</f>
        <v>890</v>
      </c>
      <c r="O15" s="177">
        <f t="shared" ref="O15:O33" si="3">N15/H15</f>
        <v>3.9319637729180471E-2</v>
      </c>
    </row>
    <row r="16" spans="1:19" s="157" customFormat="1" ht="15.75" customHeight="1" x14ac:dyDescent="0.2">
      <c r="A16" s="59"/>
      <c r="B16" s="60"/>
      <c r="C16" s="124" t="s">
        <v>43</v>
      </c>
      <c r="D16" s="302">
        <v>6948</v>
      </c>
      <c r="E16" s="303">
        <v>1052</v>
      </c>
      <c r="F16" s="300">
        <v>11844</v>
      </c>
      <c r="G16" s="300">
        <v>3655</v>
      </c>
      <c r="H16" s="219">
        <f t="shared" si="1"/>
        <v>23499</v>
      </c>
      <c r="I16" s="302">
        <v>7155</v>
      </c>
      <c r="J16" s="303">
        <v>952</v>
      </c>
      <c r="K16" s="300">
        <f>[1]Resident!K16</f>
        <v>12411</v>
      </c>
      <c r="L16" s="300">
        <f>[1]Resident!L16*0.5</f>
        <v>3898</v>
      </c>
      <c r="M16" s="276">
        <f t="shared" si="0"/>
        <v>24416</v>
      </c>
      <c r="N16" s="219">
        <f t="shared" si="2"/>
        <v>917</v>
      </c>
      <c r="O16" s="177">
        <f t="shared" si="3"/>
        <v>3.9022937146261545E-2</v>
      </c>
      <c r="R16" s="263"/>
      <c r="S16" s="263"/>
    </row>
    <row r="17" spans="1:18" s="157" customFormat="1" ht="15.75" customHeight="1" x14ac:dyDescent="0.2">
      <c r="A17" s="59"/>
      <c r="B17" s="60"/>
      <c r="C17" s="124" t="s">
        <v>89</v>
      </c>
      <c r="D17" s="302">
        <v>8586</v>
      </c>
      <c r="E17" s="303">
        <v>1052</v>
      </c>
      <c r="F17" s="300">
        <v>11844</v>
      </c>
      <c r="G17" s="301">
        <v>3655</v>
      </c>
      <c r="H17" s="219">
        <f t="shared" si="1"/>
        <v>25137</v>
      </c>
      <c r="I17" s="302">
        <v>8838</v>
      </c>
      <c r="J17" s="303">
        <v>952</v>
      </c>
      <c r="K17" s="300">
        <f>[1]Resident!K17</f>
        <v>12411</v>
      </c>
      <c r="L17" s="300">
        <f>[1]Resident!L17*0.5</f>
        <v>3898</v>
      </c>
      <c r="M17" s="276">
        <f t="shared" si="0"/>
        <v>26099</v>
      </c>
      <c r="N17" s="219">
        <f t="shared" si="2"/>
        <v>962</v>
      </c>
      <c r="O17" s="177">
        <f>N17/H17</f>
        <v>3.827027887178263E-2</v>
      </c>
      <c r="R17" s="263"/>
    </row>
    <row r="18" spans="1:18" s="157" customFormat="1" ht="15.75" customHeight="1" x14ac:dyDescent="0.2">
      <c r="A18" s="59"/>
      <c r="B18" s="60"/>
      <c r="C18" s="124" t="s">
        <v>45</v>
      </c>
      <c r="D18" s="302">
        <v>9477</v>
      </c>
      <c r="E18" s="303">
        <v>1052</v>
      </c>
      <c r="F18" s="300">
        <v>11844</v>
      </c>
      <c r="G18" s="301">
        <v>3655</v>
      </c>
      <c r="H18" s="219">
        <f t="shared" si="1"/>
        <v>26028</v>
      </c>
      <c r="I18" s="302">
        <v>9756</v>
      </c>
      <c r="J18" s="303">
        <v>952</v>
      </c>
      <c r="K18" s="300">
        <f>[1]Resident!K18</f>
        <v>12411</v>
      </c>
      <c r="L18" s="300">
        <f>[1]Resident!L18*0.5</f>
        <v>3898</v>
      </c>
      <c r="M18" s="276">
        <f t="shared" si="0"/>
        <v>27017</v>
      </c>
      <c r="N18" s="219">
        <f t="shared" si="2"/>
        <v>989</v>
      </c>
      <c r="O18" s="177">
        <f>N18/H18</f>
        <v>3.7997541109574304E-2</v>
      </c>
    </row>
    <row r="19" spans="1:18" s="157" customFormat="1" ht="15.75" customHeight="1" x14ac:dyDescent="0.2">
      <c r="A19" s="59"/>
      <c r="B19" s="60"/>
      <c r="C19" s="124" t="s">
        <v>46</v>
      </c>
      <c r="D19" s="302">
        <v>8685</v>
      </c>
      <c r="E19" s="303">
        <v>1052</v>
      </c>
      <c r="F19" s="300">
        <v>11844</v>
      </c>
      <c r="G19" s="301">
        <v>3655</v>
      </c>
      <c r="H19" s="219">
        <f t="shared" si="1"/>
        <v>25236</v>
      </c>
      <c r="I19" s="302">
        <v>8937</v>
      </c>
      <c r="J19" s="303">
        <v>952</v>
      </c>
      <c r="K19" s="300">
        <f>[1]Resident!K19</f>
        <v>12411</v>
      </c>
      <c r="L19" s="300">
        <f>[1]Resident!L19*0.5</f>
        <v>3898</v>
      </c>
      <c r="M19" s="276">
        <f t="shared" si="0"/>
        <v>26198</v>
      </c>
      <c r="N19" s="219">
        <f t="shared" si="2"/>
        <v>962</v>
      </c>
      <c r="O19" s="177">
        <f>N19/H19</f>
        <v>3.8120145823426849E-2</v>
      </c>
    </row>
    <row r="20" spans="1:18" s="157" customFormat="1" ht="15.75" customHeight="1" x14ac:dyDescent="0.2">
      <c r="A20" s="59"/>
      <c r="B20" s="60"/>
      <c r="C20" s="122" t="s">
        <v>86</v>
      </c>
      <c r="D20" s="302">
        <v>7911</v>
      </c>
      <c r="E20" s="303">
        <v>1052</v>
      </c>
      <c r="F20" s="300">
        <v>11844</v>
      </c>
      <c r="G20" s="301">
        <v>3655</v>
      </c>
      <c r="H20" s="219">
        <f t="shared" si="1"/>
        <v>24462</v>
      </c>
      <c r="I20" s="302">
        <v>8145</v>
      </c>
      <c r="J20" s="303">
        <v>952</v>
      </c>
      <c r="K20" s="300">
        <f>[1]Resident!K20</f>
        <v>12411</v>
      </c>
      <c r="L20" s="300">
        <f>[1]Resident!L20*0.5</f>
        <v>3898</v>
      </c>
      <c r="M20" s="276">
        <f t="shared" si="0"/>
        <v>25406</v>
      </c>
      <c r="N20" s="219">
        <f t="shared" si="2"/>
        <v>944</v>
      </c>
      <c r="O20" s="177">
        <f>N20/H20</f>
        <v>3.859046684653749E-2</v>
      </c>
    </row>
    <row r="21" spans="1:18" s="157" customFormat="1" ht="15.75" customHeight="1" x14ac:dyDescent="0.2">
      <c r="A21" s="59"/>
      <c r="B21" s="60"/>
      <c r="C21" s="124" t="s">
        <v>90</v>
      </c>
      <c r="D21" s="302">
        <v>10323</v>
      </c>
      <c r="E21" s="303">
        <v>1052</v>
      </c>
      <c r="F21" s="300">
        <v>11844</v>
      </c>
      <c r="G21" s="301">
        <v>3655</v>
      </c>
      <c r="H21" s="219">
        <f t="shared" si="1"/>
        <v>26874</v>
      </c>
      <c r="I21" s="302">
        <v>10629</v>
      </c>
      <c r="J21" s="303">
        <v>952</v>
      </c>
      <c r="K21" s="300">
        <f>[1]Resident!K21</f>
        <v>12411</v>
      </c>
      <c r="L21" s="300">
        <f>[1]Resident!L21*0.5</f>
        <v>3898</v>
      </c>
      <c r="M21" s="276">
        <f t="shared" si="0"/>
        <v>27890</v>
      </c>
      <c r="N21" s="219">
        <f t="shared" si="2"/>
        <v>1016</v>
      </c>
      <c r="O21" s="177">
        <f>N21/H21</f>
        <v>3.7806057899828834E-2</v>
      </c>
    </row>
    <row r="22" spans="1:18" s="157" customFormat="1" ht="15.75" customHeight="1" x14ac:dyDescent="0.2">
      <c r="A22" s="59"/>
      <c r="B22" s="60"/>
      <c r="C22" s="122" t="s">
        <v>47</v>
      </c>
      <c r="D22" s="302">
        <v>15300</v>
      </c>
      <c r="E22" s="303">
        <v>1052</v>
      </c>
      <c r="F22" s="300">
        <v>11844</v>
      </c>
      <c r="G22" s="301">
        <v>3655</v>
      </c>
      <c r="H22" s="219">
        <f t="shared" si="1"/>
        <v>31851</v>
      </c>
      <c r="I22" s="302">
        <v>15759</v>
      </c>
      <c r="J22" s="303">
        <v>952</v>
      </c>
      <c r="K22" s="300">
        <f>[1]Resident!K22</f>
        <v>12411</v>
      </c>
      <c r="L22" s="300">
        <f>[1]Resident!L22*0.5</f>
        <v>3898</v>
      </c>
      <c r="M22" s="276">
        <f t="shared" si="0"/>
        <v>33020</v>
      </c>
      <c r="N22" s="219">
        <f t="shared" si="2"/>
        <v>1169</v>
      </c>
      <c r="O22" s="177">
        <f t="shared" si="3"/>
        <v>3.6702144359674733E-2</v>
      </c>
    </row>
    <row r="23" spans="1:18" s="157" customFormat="1" ht="15.75" customHeight="1" x14ac:dyDescent="0.2">
      <c r="A23" s="59"/>
      <c r="B23" s="60"/>
      <c r="C23" s="124" t="s">
        <v>84</v>
      </c>
      <c r="D23" s="302">
        <v>10683</v>
      </c>
      <c r="E23" s="303">
        <v>1052</v>
      </c>
      <c r="F23" s="300">
        <v>11844</v>
      </c>
      <c r="G23" s="301">
        <v>3655</v>
      </c>
      <c r="H23" s="219">
        <f t="shared" si="1"/>
        <v>27234</v>
      </c>
      <c r="I23" s="302">
        <v>10998</v>
      </c>
      <c r="J23" s="303">
        <v>952</v>
      </c>
      <c r="K23" s="300">
        <f>[1]Resident!K23</f>
        <v>12411</v>
      </c>
      <c r="L23" s="300">
        <f>[1]Resident!L23*0.5</f>
        <v>3898</v>
      </c>
      <c r="M23" s="276">
        <f t="shared" si="0"/>
        <v>28259</v>
      </c>
      <c r="N23" s="219">
        <f t="shared" ref="N23:N28" si="4">M23-H23</f>
        <v>1025</v>
      </c>
      <c r="O23" s="177">
        <f t="shared" si="3"/>
        <v>3.7636777557464932E-2</v>
      </c>
    </row>
    <row r="24" spans="1:18" s="157" customFormat="1" ht="15.75" customHeight="1" x14ac:dyDescent="0.2">
      <c r="A24" s="59"/>
      <c r="B24" s="60"/>
      <c r="C24" s="124" t="s">
        <v>85</v>
      </c>
      <c r="D24" s="302">
        <v>9828</v>
      </c>
      <c r="E24" s="303">
        <v>1052</v>
      </c>
      <c r="F24" s="300">
        <v>11844</v>
      </c>
      <c r="G24" s="301">
        <v>3655</v>
      </c>
      <c r="H24" s="219">
        <f t="shared" si="1"/>
        <v>26379</v>
      </c>
      <c r="I24" s="302">
        <v>10116</v>
      </c>
      <c r="J24" s="303">
        <v>952</v>
      </c>
      <c r="K24" s="300">
        <f>[1]Resident!K24</f>
        <v>12411</v>
      </c>
      <c r="L24" s="300">
        <f>[1]Resident!L24*0.5</f>
        <v>3898</v>
      </c>
      <c r="M24" s="276">
        <f t="shared" si="0"/>
        <v>27377</v>
      </c>
      <c r="N24" s="219">
        <f t="shared" si="4"/>
        <v>998</v>
      </c>
      <c r="O24" s="177">
        <f t="shared" si="3"/>
        <v>3.7833124834148378E-2</v>
      </c>
    </row>
    <row r="25" spans="1:18" s="157" customFormat="1" ht="15.75" customHeight="1" x14ac:dyDescent="0.2">
      <c r="A25" s="59"/>
      <c r="B25" s="60"/>
      <c r="C25" s="124" t="s">
        <v>138</v>
      </c>
      <c r="D25" s="302">
        <v>8586</v>
      </c>
      <c r="E25" s="303">
        <v>1052</v>
      </c>
      <c r="F25" s="300">
        <v>11844</v>
      </c>
      <c r="G25" s="301">
        <v>3655</v>
      </c>
      <c r="H25" s="219">
        <f t="shared" si="1"/>
        <v>25137</v>
      </c>
      <c r="I25" s="302">
        <v>8838</v>
      </c>
      <c r="J25" s="303">
        <v>952</v>
      </c>
      <c r="K25" s="300">
        <f>[1]Resident!K25</f>
        <v>12411</v>
      </c>
      <c r="L25" s="300">
        <f>[1]Resident!L25*0.5</f>
        <v>3898</v>
      </c>
      <c r="M25" s="276">
        <f t="shared" si="0"/>
        <v>26099</v>
      </c>
      <c r="N25" s="219">
        <f t="shared" si="4"/>
        <v>962</v>
      </c>
      <c r="O25" s="177">
        <f t="shared" si="3"/>
        <v>3.827027887178263E-2</v>
      </c>
    </row>
    <row r="26" spans="1:18" s="157" customFormat="1" ht="15.75" customHeight="1" x14ac:dyDescent="0.2">
      <c r="A26" s="59"/>
      <c r="B26" s="60"/>
      <c r="C26" s="124" t="s">
        <v>105</v>
      </c>
      <c r="D26" s="302">
        <v>9288</v>
      </c>
      <c r="E26" s="303">
        <v>1052</v>
      </c>
      <c r="F26" s="300">
        <v>11844</v>
      </c>
      <c r="G26" s="301">
        <v>3655</v>
      </c>
      <c r="H26" s="219">
        <f t="shared" si="1"/>
        <v>25839</v>
      </c>
      <c r="I26" s="302">
        <v>9558</v>
      </c>
      <c r="J26" s="303">
        <v>952</v>
      </c>
      <c r="K26" s="300">
        <f>[1]Resident!K26</f>
        <v>12411</v>
      </c>
      <c r="L26" s="300">
        <f>[1]Resident!L26*0.5</f>
        <v>3898</v>
      </c>
      <c r="M26" s="276">
        <f t="shared" si="0"/>
        <v>26819</v>
      </c>
      <c r="N26" s="219">
        <f t="shared" si="4"/>
        <v>980</v>
      </c>
      <c r="O26" s="177">
        <f t="shared" si="3"/>
        <v>3.792716436394597E-2</v>
      </c>
    </row>
    <row r="27" spans="1:18" s="157" customFormat="1" ht="15.75" customHeight="1" x14ac:dyDescent="0.2">
      <c r="A27" s="59"/>
      <c r="B27" s="60"/>
      <c r="C27" s="124" t="s">
        <v>82</v>
      </c>
      <c r="D27" s="302">
        <v>10323</v>
      </c>
      <c r="E27" s="303">
        <v>1052</v>
      </c>
      <c r="F27" s="300">
        <v>11844</v>
      </c>
      <c r="G27" s="301">
        <v>3655</v>
      </c>
      <c r="H27" s="219">
        <f t="shared" si="1"/>
        <v>26874</v>
      </c>
      <c r="I27" s="302">
        <v>10629</v>
      </c>
      <c r="J27" s="303">
        <v>952</v>
      </c>
      <c r="K27" s="300">
        <f>[1]Resident!K27</f>
        <v>12411</v>
      </c>
      <c r="L27" s="300">
        <f>[1]Resident!L27*0.5</f>
        <v>3898</v>
      </c>
      <c r="M27" s="276">
        <f t="shared" si="0"/>
        <v>27890</v>
      </c>
      <c r="N27" s="219">
        <f t="shared" si="4"/>
        <v>1016</v>
      </c>
      <c r="O27" s="177">
        <f t="shared" si="3"/>
        <v>3.7806057899828834E-2</v>
      </c>
    </row>
    <row r="28" spans="1:18" s="157" customFormat="1" ht="15.75" customHeight="1" x14ac:dyDescent="0.2">
      <c r="A28" s="59"/>
      <c r="B28" s="60"/>
      <c r="C28" s="124" t="s">
        <v>83</v>
      </c>
      <c r="D28" s="302">
        <v>10323</v>
      </c>
      <c r="E28" s="303">
        <v>1052</v>
      </c>
      <c r="F28" s="300">
        <v>11844</v>
      </c>
      <c r="G28" s="301">
        <v>3655</v>
      </c>
      <c r="H28" s="219">
        <f t="shared" si="1"/>
        <v>26874</v>
      </c>
      <c r="I28" s="302">
        <v>10629</v>
      </c>
      <c r="J28" s="303">
        <v>952</v>
      </c>
      <c r="K28" s="300">
        <f>[1]Resident!K28</f>
        <v>12411</v>
      </c>
      <c r="L28" s="300">
        <f>[1]Resident!L28*0.5</f>
        <v>3898</v>
      </c>
      <c r="M28" s="276">
        <f t="shared" si="0"/>
        <v>27890</v>
      </c>
      <c r="N28" s="219">
        <f t="shared" si="4"/>
        <v>1016</v>
      </c>
      <c r="O28" s="177">
        <f t="shared" si="3"/>
        <v>3.7806057899828834E-2</v>
      </c>
    </row>
    <row r="29" spans="1:18" s="157" customFormat="1" ht="15.75" customHeight="1" x14ac:dyDescent="0.2">
      <c r="A29" s="59"/>
      <c r="B29" s="60"/>
      <c r="C29" s="124" t="s">
        <v>76</v>
      </c>
      <c r="D29" s="302">
        <v>9756</v>
      </c>
      <c r="E29" s="303">
        <v>1052</v>
      </c>
      <c r="F29" s="300">
        <v>11844</v>
      </c>
      <c r="G29" s="301">
        <v>3655</v>
      </c>
      <c r="H29" s="219">
        <f t="shared" si="1"/>
        <v>26307</v>
      </c>
      <c r="I29" s="302">
        <v>10044</v>
      </c>
      <c r="J29" s="303">
        <v>952</v>
      </c>
      <c r="K29" s="300">
        <f>[1]Resident!K29</f>
        <v>12411</v>
      </c>
      <c r="L29" s="300">
        <f>[1]Resident!L29*0.5</f>
        <v>3898</v>
      </c>
      <c r="M29" s="276">
        <f t="shared" si="0"/>
        <v>27305</v>
      </c>
      <c r="N29" s="219">
        <f>M29-H29</f>
        <v>998</v>
      </c>
      <c r="O29" s="177">
        <f t="shared" si="3"/>
        <v>3.793667084806325E-2</v>
      </c>
    </row>
    <row r="30" spans="1:18" s="157" customFormat="1" ht="15.75" customHeight="1" x14ac:dyDescent="0.2">
      <c r="A30" s="59"/>
      <c r="B30" s="60"/>
      <c r="C30" s="182" t="s">
        <v>118</v>
      </c>
      <c r="D30" s="302">
        <v>4374</v>
      </c>
      <c r="E30" s="304">
        <f>(33.62+12+11.62)*2</f>
        <v>114.47999999999999</v>
      </c>
      <c r="F30" s="300">
        <v>11844</v>
      </c>
      <c r="G30" s="301">
        <v>3655</v>
      </c>
      <c r="H30" s="294">
        <f t="shared" si="1"/>
        <v>19987.48</v>
      </c>
      <c r="I30" s="302">
        <v>4374</v>
      </c>
      <c r="J30" s="304">
        <f>(33.62+12+11.62)*2</f>
        <v>114.47999999999999</v>
      </c>
      <c r="K30" s="300">
        <f>[1]Resident!K30</f>
        <v>12411</v>
      </c>
      <c r="L30" s="300">
        <f>[1]Resident!L30*0.5</f>
        <v>3898</v>
      </c>
      <c r="M30" s="276">
        <f>I30+J30+K30+L30</f>
        <v>20797.48</v>
      </c>
      <c r="N30" s="294">
        <f>M30-H30</f>
        <v>810</v>
      </c>
      <c r="O30" s="293">
        <f t="shared" si="3"/>
        <v>4.0525368880919455E-2</v>
      </c>
    </row>
    <row r="31" spans="1:18" s="157" customFormat="1" ht="15.75" customHeight="1" x14ac:dyDescent="0.2">
      <c r="A31" s="59"/>
      <c r="B31" s="60"/>
      <c r="C31" s="182" t="s">
        <v>119</v>
      </c>
      <c r="D31" s="302">
        <v>6525</v>
      </c>
      <c r="E31" s="304">
        <f>(33.62+12+11.62)*2</f>
        <v>114.47999999999999</v>
      </c>
      <c r="F31" s="300">
        <v>11844</v>
      </c>
      <c r="G31" s="301">
        <v>3655</v>
      </c>
      <c r="H31" s="294">
        <f t="shared" si="1"/>
        <v>22138.48</v>
      </c>
      <c r="I31" s="302">
        <v>6714</v>
      </c>
      <c r="J31" s="304">
        <f>(33.62+12+11.62)*2</f>
        <v>114.47999999999999</v>
      </c>
      <c r="K31" s="300">
        <f>[1]Resident!K31</f>
        <v>12411</v>
      </c>
      <c r="L31" s="300">
        <f>[1]Resident!L31*0.5</f>
        <v>3898</v>
      </c>
      <c r="M31" s="276">
        <f>I31+J31+K31+L31</f>
        <v>23137.48</v>
      </c>
      <c r="N31" s="294">
        <f>M31-H31</f>
        <v>999</v>
      </c>
      <c r="O31" s="293">
        <f t="shared" si="3"/>
        <v>4.5125049235539207E-2</v>
      </c>
    </row>
    <row r="32" spans="1:18" s="157" customFormat="1" ht="15.75" customHeight="1" x14ac:dyDescent="0.2">
      <c r="A32" s="59"/>
      <c r="B32" s="60"/>
      <c r="C32" s="182" t="s">
        <v>120</v>
      </c>
      <c r="D32" s="302">
        <v>10026</v>
      </c>
      <c r="E32" s="304">
        <f>(33.62+12+11.62)*2</f>
        <v>114.47999999999999</v>
      </c>
      <c r="F32" s="300">
        <v>11844</v>
      </c>
      <c r="G32" s="301">
        <v>3655</v>
      </c>
      <c r="H32" s="294">
        <f t="shared" si="1"/>
        <v>25639.48</v>
      </c>
      <c r="I32" s="302">
        <v>10323</v>
      </c>
      <c r="J32" s="304">
        <f>(33.62+12+11.62)*2</f>
        <v>114.47999999999999</v>
      </c>
      <c r="K32" s="300">
        <f>[1]Resident!K32</f>
        <v>12411</v>
      </c>
      <c r="L32" s="300">
        <f>[1]Resident!L32*0.5</f>
        <v>3898</v>
      </c>
      <c r="M32" s="276">
        <f>I32+J32+K32+L32</f>
        <v>26746.48</v>
      </c>
      <c r="N32" s="294">
        <f>M32-H32</f>
        <v>1107</v>
      </c>
      <c r="O32" s="293">
        <f t="shared" si="3"/>
        <v>4.3175602625326256E-2</v>
      </c>
    </row>
    <row r="33" spans="1:15" s="157" customFormat="1" ht="15.75" customHeight="1" thickBot="1" x14ac:dyDescent="0.25">
      <c r="A33" s="77"/>
      <c r="B33" s="78"/>
      <c r="C33" s="244" t="s">
        <v>121</v>
      </c>
      <c r="D33" s="305">
        <v>6525</v>
      </c>
      <c r="E33" s="304">
        <f>(33.62+12+11.62)*2</f>
        <v>114.47999999999999</v>
      </c>
      <c r="F33" s="300">
        <v>11844</v>
      </c>
      <c r="G33" s="301">
        <v>3655</v>
      </c>
      <c r="H33" s="294">
        <f t="shared" si="1"/>
        <v>22138.48</v>
      </c>
      <c r="I33" s="305">
        <v>6714</v>
      </c>
      <c r="J33" s="304">
        <f>(33.62+12+11.62)*2</f>
        <v>114.47999999999999</v>
      </c>
      <c r="K33" s="306">
        <f>[1]Resident!K33</f>
        <v>12411</v>
      </c>
      <c r="L33" s="306">
        <f>[1]Resident!L33*0.5</f>
        <v>3898</v>
      </c>
      <c r="M33" s="278">
        <f>I33+J33+K33+L33</f>
        <v>23137.48</v>
      </c>
      <c r="N33" s="294">
        <f>M33-H33</f>
        <v>999</v>
      </c>
      <c r="O33" s="293">
        <f t="shared" si="3"/>
        <v>4.5125049235539207E-2</v>
      </c>
    </row>
    <row r="34" spans="1:15" s="157" customFormat="1" ht="15.75" thickBot="1" x14ac:dyDescent="0.3">
      <c r="A34" s="55" t="s">
        <v>5</v>
      </c>
      <c r="B34" s="56"/>
      <c r="C34" s="56"/>
      <c r="D34" s="188"/>
      <c r="E34" s="217"/>
      <c r="F34" s="231"/>
      <c r="G34" s="217"/>
      <c r="H34" s="217"/>
      <c r="I34" s="188"/>
      <c r="J34" s="217"/>
      <c r="K34" s="231"/>
      <c r="L34" s="231"/>
      <c r="M34" s="217"/>
      <c r="N34" s="188"/>
      <c r="O34" s="189"/>
    </row>
    <row r="35" spans="1:15" s="157" customFormat="1" ht="15.75" customHeight="1" x14ac:dyDescent="0.2">
      <c r="A35" s="59"/>
      <c r="B35" s="60" t="s">
        <v>2</v>
      </c>
      <c r="C35" s="60"/>
      <c r="D35" s="193"/>
      <c r="E35" s="218"/>
      <c r="F35" s="232"/>
      <c r="G35" s="172"/>
      <c r="H35" s="218"/>
      <c r="I35" s="193"/>
      <c r="J35" s="218"/>
      <c r="K35" s="232"/>
      <c r="L35" s="223"/>
      <c r="M35" s="218"/>
      <c r="N35" s="193"/>
      <c r="O35" s="194"/>
    </row>
    <row r="36" spans="1:15" s="157" customFormat="1" ht="15.75" customHeight="1" x14ac:dyDescent="0.2">
      <c r="A36" s="59"/>
      <c r="B36" s="60"/>
      <c r="C36" s="60" t="s">
        <v>24</v>
      </c>
      <c r="D36" s="292">
        <v>3646</v>
      </c>
      <c r="E36" s="294">
        <v>1120.96</v>
      </c>
      <c r="F36" s="219">
        <f>Resident!F36</f>
        <v>12678</v>
      </c>
      <c r="G36" s="219">
        <v>3802.5</v>
      </c>
      <c r="H36" s="219">
        <f>D36+E36+F36+G36</f>
        <v>21247.46</v>
      </c>
      <c r="I36" s="176">
        <v>3815</v>
      </c>
      <c r="J36" s="219">
        <v>1090.98</v>
      </c>
      <c r="K36" s="219">
        <f>Resident!K36</f>
        <v>13098</v>
      </c>
      <c r="L36" s="219">
        <f>Resident!L36*0.5</f>
        <v>3898</v>
      </c>
      <c r="M36" s="219">
        <f t="shared" ref="M36:M44" si="5">I36+J36+K36+L36</f>
        <v>21901.98</v>
      </c>
      <c r="N36" s="176">
        <f>M36-H36</f>
        <v>654.52000000000044</v>
      </c>
      <c r="O36" s="177">
        <f>N36/H36</f>
        <v>3.0804623234965519E-2</v>
      </c>
    </row>
    <row r="37" spans="1:15" s="157" customFormat="1" ht="15.75" customHeight="1" x14ac:dyDescent="0.2">
      <c r="A37" s="59"/>
      <c r="B37" s="60"/>
      <c r="C37" s="60" t="s">
        <v>48</v>
      </c>
      <c r="D37" s="292">
        <v>3968</v>
      </c>
      <c r="E37" s="294">
        <v>1120.96</v>
      </c>
      <c r="F37" s="294">
        <f>Resident!F37</f>
        <v>12678</v>
      </c>
      <c r="G37" s="219">
        <v>3802.5</v>
      </c>
      <c r="H37" s="219">
        <f>D37+E37+F37+G37</f>
        <v>21569.46</v>
      </c>
      <c r="I37" s="176">
        <v>4144</v>
      </c>
      <c r="J37" s="219">
        <v>1090.98</v>
      </c>
      <c r="K37" s="219">
        <f>Resident!K37</f>
        <v>12858</v>
      </c>
      <c r="L37" s="219">
        <f>Resident!L37*0.5</f>
        <v>3898</v>
      </c>
      <c r="M37" s="219">
        <f t="shared" si="5"/>
        <v>21990.98</v>
      </c>
      <c r="N37" s="176">
        <f>M37-H37</f>
        <v>421.52000000000044</v>
      </c>
      <c r="O37" s="177">
        <f>N37/H37</f>
        <v>1.9542445661597484E-2</v>
      </c>
    </row>
    <row r="38" spans="1:15" s="157" customFormat="1" ht="15.75" customHeight="1" x14ac:dyDescent="0.2">
      <c r="A38" s="59"/>
      <c r="B38" s="60"/>
      <c r="C38" s="60" t="s">
        <v>21</v>
      </c>
      <c r="D38" s="292">
        <v>4524</v>
      </c>
      <c r="E38" s="294">
        <v>1120.96</v>
      </c>
      <c r="F38" s="294">
        <f>Resident!F38</f>
        <v>12678</v>
      </c>
      <c r="G38" s="219">
        <v>3802.5</v>
      </c>
      <c r="H38" s="219">
        <f>D38+E38+F38+G38</f>
        <v>22125.46</v>
      </c>
      <c r="I38" s="176">
        <v>4710</v>
      </c>
      <c r="J38" s="219">
        <v>1090.98</v>
      </c>
      <c r="K38" s="219">
        <f>Resident!K38</f>
        <v>12858</v>
      </c>
      <c r="L38" s="219">
        <f>Resident!L38*0.5</f>
        <v>3898</v>
      </c>
      <c r="M38" s="219">
        <f t="shared" si="5"/>
        <v>22556.98</v>
      </c>
      <c r="N38" s="176">
        <f>M38-H38</f>
        <v>431.52000000000044</v>
      </c>
      <c r="O38" s="177">
        <f>N38/H38</f>
        <v>1.95033233207355E-2</v>
      </c>
    </row>
    <row r="39" spans="1:15" s="157" customFormat="1" ht="15.75" customHeight="1" x14ac:dyDescent="0.2">
      <c r="A39" s="59"/>
      <c r="B39" s="60"/>
      <c r="C39" s="60" t="s">
        <v>17</v>
      </c>
      <c r="D39" s="143">
        <v>4932</v>
      </c>
      <c r="E39" s="291">
        <v>1120.96</v>
      </c>
      <c r="F39" s="294">
        <f>Resident!F39</f>
        <v>12678</v>
      </c>
      <c r="G39" s="163">
        <v>3802.5</v>
      </c>
      <c r="H39" s="163">
        <f>D39+E39+F39+G39</f>
        <v>22533.46</v>
      </c>
      <c r="I39" s="143">
        <v>5127</v>
      </c>
      <c r="J39" s="163">
        <v>1090.98</v>
      </c>
      <c r="K39" s="219">
        <f>Resident!K39</f>
        <v>12858</v>
      </c>
      <c r="L39" s="219">
        <f>Resident!L39*0.5</f>
        <v>3898</v>
      </c>
      <c r="M39" s="163">
        <f t="shared" si="5"/>
        <v>22973.98</v>
      </c>
      <c r="N39" s="143">
        <f>M39-H39</f>
        <v>440.52000000000044</v>
      </c>
      <c r="O39" s="181">
        <f>N39/H39</f>
        <v>1.9549594247843007E-2</v>
      </c>
    </row>
    <row r="40" spans="1:15" s="157" customFormat="1" ht="15.75" customHeight="1" x14ac:dyDescent="0.2">
      <c r="A40" s="75"/>
      <c r="B40" s="76" t="s">
        <v>4</v>
      </c>
      <c r="C40" s="76"/>
      <c r="D40" s="292"/>
      <c r="E40" s="260"/>
      <c r="F40" s="226"/>
      <c r="G40" s="218"/>
      <c r="H40" s="219"/>
      <c r="I40" s="176"/>
      <c r="J40" s="260"/>
      <c r="K40" s="226"/>
      <c r="L40" s="226"/>
      <c r="M40" s="219"/>
      <c r="N40" s="176"/>
      <c r="O40" s="177"/>
    </row>
    <row r="41" spans="1:15" s="157" customFormat="1" ht="15.75" customHeight="1" x14ac:dyDescent="0.2">
      <c r="A41" s="59"/>
      <c r="B41" s="60"/>
      <c r="C41" s="60" t="s">
        <v>58</v>
      </c>
      <c r="D41" s="292">
        <v>4968</v>
      </c>
      <c r="E41" s="294">
        <v>1035.07</v>
      </c>
      <c r="F41" s="219">
        <v>11439</v>
      </c>
      <c r="G41" s="219">
        <v>3802.5</v>
      </c>
      <c r="H41" s="219">
        <f>D41+E41+F41+G41</f>
        <v>21244.57</v>
      </c>
      <c r="I41" s="176">
        <v>5189</v>
      </c>
      <c r="J41" s="219">
        <v>1025.25</v>
      </c>
      <c r="K41" s="219">
        <f>Resident!K41</f>
        <v>12411</v>
      </c>
      <c r="L41" s="219">
        <f>Resident!L41*0.5</f>
        <v>3898</v>
      </c>
      <c r="M41" s="219">
        <f t="shared" si="5"/>
        <v>22523.25</v>
      </c>
      <c r="N41" s="176">
        <f>M41-H41</f>
        <v>1278.6800000000003</v>
      </c>
      <c r="O41" s="177">
        <f>N41/H41</f>
        <v>6.0188556417004456E-2</v>
      </c>
    </row>
    <row r="42" spans="1:15" s="157" customFormat="1" ht="15.75" customHeight="1" x14ac:dyDescent="0.2">
      <c r="A42" s="59"/>
      <c r="B42" s="60"/>
      <c r="C42" s="60" t="s">
        <v>59</v>
      </c>
      <c r="D42" s="292">
        <v>4968</v>
      </c>
      <c r="E42" s="294">
        <v>1035.07</v>
      </c>
      <c r="F42" s="219">
        <v>11439</v>
      </c>
      <c r="G42" s="219">
        <v>3802.5</v>
      </c>
      <c r="H42" s="219">
        <f>D42+E42+F42+G42</f>
        <v>21244.57</v>
      </c>
      <c r="I42" s="176">
        <v>5189</v>
      </c>
      <c r="J42" s="219">
        <v>1025.25</v>
      </c>
      <c r="K42" s="219">
        <f>Resident!K42</f>
        <v>12411</v>
      </c>
      <c r="L42" s="219">
        <f>Resident!L42*0.5</f>
        <v>3898</v>
      </c>
      <c r="M42" s="219">
        <f t="shared" si="5"/>
        <v>22523.25</v>
      </c>
      <c r="N42" s="176">
        <f>M42-H42</f>
        <v>1278.6800000000003</v>
      </c>
      <c r="O42" s="177">
        <f>N42/H42</f>
        <v>6.0188556417004456E-2</v>
      </c>
    </row>
    <row r="43" spans="1:15" s="157" customFormat="1" ht="15.75" customHeight="1" x14ac:dyDescent="0.2">
      <c r="A43" s="59"/>
      <c r="B43" s="60"/>
      <c r="C43" s="60" t="s">
        <v>60</v>
      </c>
      <c r="D43" s="292">
        <v>6246</v>
      </c>
      <c r="E43" s="294">
        <v>1035.07</v>
      </c>
      <c r="F43" s="219">
        <v>11439</v>
      </c>
      <c r="G43" s="219">
        <v>3802.5</v>
      </c>
      <c r="H43" s="219">
        <f>D43+E43+F43+G43</f>
        <v>22522.57</v>
      </c>
      <c r="I43" s="176">
        <v>6505</v>
      </c>
      <c r="J43" s="219">
        <v>1025.25</v>
      </c>
      <c r="K43" s="219">
        <f>Resident!K43</f>
        <v>12411</v>
      </c>
      <c r="L43" s="219">
        <f>Resident!L43*0.5</f>
        <v>3898</v>
      </c>
      <c r="M43" s="219">
        <f t="shared" si="5"/>
        <v>23839.25</v>
      </c>
      <c r="N43" s="176">
        <f>M43-H43</f>
        <v>1316.6800000000003</v>
      </c>
      <c r="O43" s="177">
        <f>N43/H43</f>
        <v>5.8460468765331855E-2</v>
      </c>
    </row>
    <row r="44" spans="1:15" s="157" customFormat="1" ht="15.75" customHeight="1" x14ac:dyDescent="0.2">
      <c r="A44" s="59"/>
      <c r="B44" s="60"/>
      <c r="C44" s="60" t="s">
        <v>61</v>
      </c>
      <c r="D44" s="292">
        <v>5994</v>
      </c>
      <c r="E44" s="294">
        <v>1035.07</v>
      </c>
      <c r="F44" s="219">
        <v>11439</v>
      </c>
      <c r="G44" s="219">
        <v>3802.5</v>
      </c>
      <c r="H44" s="219">
        <f>D44+E44+F44+G44</f>
        <v>22270.57</v>
      </c>
      <c r="I44" s="176">
        <v>6246</v>
      </c>
      <c r="J44" s="219">
        <v>1025.25</v>
      </c>
      <c r="K44" s="219">
        <f>Resident!K44</f>
        <v>12411</v>
      </c>
      <c r="L44" s="219">
        <f>Resident!L44*0.5</f>
        <v>3898</v>
      </c>
      <c r="M44" s="219">
        <f t="shared" si="5"/>
        <v>23580.25</v>
      </c>
      <c r="N44" s="176">
        <f>M44-H44</f>
        <v>1309.6800000000003</v>
      </c>
      <c r="O44" s="177">
        <f>N44/H44</f>
        <v>5.8807655125127034E-2</v>
      </c>
    </row>
    <row r="45" spans="1:15" s="157" customFormat="1" ht="15.75" customHeight="1" thickBot="1" x14ac:dyDescent="0.25">
      <c r="A45" s="59"/>
      <c r="B45" s="60"/>
      <c r="C45" s="60" t="s">
        <v>115</v>
      </c>
      <c r="D45" s="292">
        <v>8120</v>
      </c>
      <c r="E45" s="294">
        <v>1035.07</v>
      </c>
      <c r="F45" s="219">
        <v>11439</v>
      </c>
      <c r="G45" s="219">
        <v>3802.5</v>
      </c>
      <c r="H45" s="219">
        <f>D45+E45+F45+G45</f>
        <v>24396.57</v>
      </c>
      <c r="I45" s="176">
        <v>8437.76</v>
      </c>
      <c r="J45" s="219">
        <v>1025.25</v>
      </c>
      <c r="K45" s="219">
        <f>Resident!K45</f>
        <v>12411</v>
      </c>
      <c r="L45" s="219">
        <f>Resident!L45*0.5</f>
        <v>3898</v>
      </c>
      <c r="M45" s="219">
        <f>I45+J45+K45+L45</f>
        <v>25772.010000000002</v>
      </c>
      <c r="N45" s="292">
        <f>M45-H45</f>
        <v>1375.4400000000023</v>
      </c>
      <c r="O45" s="293">
        <f>N45/H45</f>
        <v>5.63784171299491E-2</v>
      </c>
    </row>
    <row r="46" spans="1:15" s="157" customFormat="1" ht="15.75" thickBot="1" x14ac:dyDescent="0.3">
      <c r="A46" s="55" t="s">
        <v>68</v>
      </c>
      <c r="B46" s="56"/>
      <c r="C46" s="56"/>
      <c r="D46" s="188"/>
      <c r="E46" s="221"/>
      <c r="F46" s="217"/>
      <c r="G46" s="217"/>
      <c r="H46" s="217"/>
      <c r="I46" s="188"/>
      <c r="J46" s="221"/>
      <c r="K46" s="217"/>
      <c r="L46" s="217"/>
      <c r="M46" s="217"/>
      <c r="N46" s="188"/>
      <c r="O46" s="189"/>
    </row>
    <row r="47" spans="1:15" s="157" customFormat="1" ht="12.75" customHeight="1" x14ac:dyDescent="0.2">
      <c r="A47" s="61"/>
      <c r="B47" s="62" t="s">
        <v>2</v>
      </c>
      <c r="C47" s="128"/>
      <c r="D47" s="222"/>
      <c r="E47" s="223"/>
      <c r="F47" s="219"/>
      <c r="G47" s="223"/>
      <c r="H47" s="223"/>
      <c r="I47" s="222"/>
      <c r="J47" s="223"/>
      <c r="K47" s="219"/>
      <c r="L47" s="219"/>
      <c r="M47" s="223"/>
      <c r="N47" s="222"/>
      <c r="O47" s="224"/>
    </row>
    <row r="48" spans="1:15" s="157" customFormat="1" ht="15.75" customHeight="1" x14ac:dyDescent="0.2">
      <c r="A48" s="59"/>
      <c r="B48" s="60"/>
      <c r="C48" s="124" t="s">
        <v>74</v>
      </c>
      <c r="D48" s="292">
        <v>4080</v>
      </c>
      <c r="E48" s="294">
        <v>911.84</v>
      </c>
      <c r="F48" s="294">
        <v>11844</v>
      </c>
      <c r="G48" s="219">
        <v>3655</v>
      </c>
      <c r="H48" s="219">
        <f>D48+E48+F48+G48</f>
        <v>20490.84</v>
      </c>
      <c r="I48" s="176">
        <v>4332</v>
      </c>
      <c r="J48" s="219">
        <v>754.4</v>
      </c>
      <c r="K48" s="219">
        <f>Resident!K48</f>
        <v>14000</v>
      </c>
      <c r="L48" s="219">
        <f>Resident!L48*0.5</f>
        <v>3898</v>
      </c>
      <c r="M48" s="219">
        <f t="shared" ref="M48:M59" si="6">I48+J48+K48+L48</f>
        <v>22984.400000000001</v>
      </c>
      <c r="N48" s="176">
        <f>M48-H48</f>
        <v>2493.5600000000013</v>
      </c>
      <c r="O48" s="177">
        <f>N48/H48</f>
        <v>0.12169144847160981</v>
      </c>
    </row>
    <row r="49" spans="1:15" s="157" customFormat="1" ht="15.75" customHeight="1" x14ac:dyDescent="0.2">
      <c r="A49" s="59"/>
      <c r="B49" s="60"/>
      <c r="C49" s="124" t="s">
        <v>108</v>
      </c>
      <c r="D49" s="225">
        <v>4680</v>
      </c>
      <c r="E49" s="294">
        <v>911.84</v>
      </c>
      <c r="F49" s="294">
        <v>11844</v>
      </c>
      <c r="G49" s="219">
        <v>3655</v>
      </c>
      <c r="H49" s="219">
        <f>D49+E49+F49+G49</f>
        <v>21090.84</v>
      </c>
      <c r="I49" s="225">
        <v>4932</v>
      </c>
      <c r="J49" s="219">
        <v>754.4</v>
      </c>
      <c r="K49" s="219">
        <f>Resident!K49</f>
        <v>14000</v>
      </c>
      <c r="L49" s="219">
        <f>Resident!L49*0.5</f>
        <v>3898</v>
      </c>
      <c r="M49" s="219">
        <f>I49+J49+K49+L49</f>
        <v>23584.400000000001</v>
      </c>
      <c r="N49" s="176">
        <f>M49-H49</f>
        <v>2493.5600000000013</v>
      </c>
      <c r="O49" s="177">
        <f>N49/H49</f>
        <v>0.11822952523465169</v>
      </c>
    </row>
    <row r="50" spans="1:15" s="157" customFormat="1" ht="15.75" customHeight="1" thickBot="1" x14ac:dyDescent="0.25">
      <c r="A50" s="77"/>
      <c r="B50" s="78"/>
      <c r="C50" s="129" t="s">
        <v>80</v>
      </c>
      <c r="D50" s="311">
        <v>13140</v>
      </c>
      <c r="E50" s="227">
        <v>911.84</v>
      </c>
      <c r="F50" s="227">
        <v>11844</v>
      </c>
      <c r="G50" s="227">
        <v>3655</v>
      </c>
      <c r="H50" s="227">
        <f>D50+E50+F50+G50</f>
        <v>29550.84</v>
      </c>
      <c r="I50" s="311">
        <v>13572</v>
      </c>
      <c r="J50" s="227">
        <v>754.4</v>
      </c>
      <c r="K50" s="227">
        <f>Resident!K50</f>
        <v>14000</v>
      </c>
      <c r="L50" s="227">
        <f>Resident!L50*0.5</f>
        <v>3898</v>
      </c>
      <c r="M50" s="227">
        <f t="shared" si="6"/>
        <v>32224.400000000001</v>
      </c>
      <c r="N50" s="184">
        <f>M50-H50</f>
        <v>2673.5600000000013</v>
      </c>
      <c r="O50" s="185">
        <f>N50/H50</f>
        <v>9.0473231894592554E-2</v>
      </c>
    </row>
    <row r="51" spans="1:15" s="288" customFormat="1" ht="15.75" thickBot="1" x14ac:dyDescent="0.3">
      <c r="A51" s="55" t="s">
        <v>68</v>
      </c>
      <c r="B51" s="56"/>
      <c r="C51" s="56"/>
      <c r="D51" s="188"/>
      <c r="E51" s="221"/>
      <c r="F51" s="217"/>
      <c r="G51" s="217"/>
      <c r="H51" s="217"/>
      <c r="I51" s="188"/>
      <c r="J51" s="221"/>
      <c r="K51" s="217"/>
      <c r="L51" s="217"/>
      <c r="M51" s="217"/>
      <c r="N51" s="188"/>
      <c r="O51" s="189"/>
    </row>
    <row r="52" spans="1:15" s="157" customFormat="1" ht="15.75" customHeight="1" x14ac:dyDescent="0.2">
      <c r="A52" s="286"/>
      <c r="B52" s="287" t="s">
        <v>4</v>
      </c>
      <c r="C52" s="124"/>
      <c r="D52" s="292"/>
      <c r="E52" s="294"/>
      <c r="F52" s="219"/>
      <c r="G52" s="219"/>
      <c r="H52" s="294"/>
      <c r="I52" s="292"/>
      <c r="J52" s="219"/>
      <c r="K52" s="219"/>
      <c r="L52" s="219"/>
      <c r="M52" s="294"/>
      <c r="N52" s="292"/>
      <c r="O52" s="293"/>
    </row>
    <row r="53" spans="1:15" s="157" customFormat="1" ht="15.75" customHeight="1" x14ac:dyDescent="0.2">
      <c r="A53" s="59"/>
      <c r="B53" s="60"/>
      <c r="C53" s="124" t="s">
        <v>7</v>
      </c>
      <c r="D53" s="292">
        <v>3492</v>
      </c>
      <c r="E53" s="294">
        <v>833.84</v>
      </c>
      <c r="F53" s="219">
        <v>11844</v>
      </c>
      <c r="G53" s="219">
        <v>3655</v>
      </c>
      <c r="H53" s="219">
        <f t="shared" ref="H53:H59" si="7">D53+E53+F53+G53</f>
        <v>19824.84</v>
      </c>
      <c r="I53" s="176">
        <v>3861</v>
      </c>
      <c r="J53" s="219">
        <v>718.4</v>
      </c>
      <c r="K53" s="219">
        <f>Resident!K53</f>
        <v>12411</v>
      </c>
      <c r="L53" s="219">
        <f>Resident!L53*0.5</f>
        <v>3898</v>
      </c>
      <c r="M53" s="219">
        <f t="shared" si="6"/>
        <v>20888.400000000001</v>
      </c>
      <c r="N53" s="176">
        <f t="shared" ref="N53:N59" si="8">M53-H53</f>
        <v>1063.5600000000013</v>
      </c>
      <c r="O53" s="177">
        <f t="shared" ref="O53:O59" si="9">N53/H53</f>
        <v>5.3647847851483355E-2</v>
      </c>
    </row>
    <row r="54" spans="1:15" s="157" customFormat="1" ht="15.75" customHeight="1" x14ac:dyDescent="0.2">
      <c r="A54" s="59"/>
      <c r="B54" s="60"/>
      <c r="C54" s="124" t="s">
        <v>8</v>
      </c>
      <c r="D54" s="292">
        <v>4266</v>
      </c>
      <c r="E54" s="294">
        <v>833.84</v>
      </c>
      <c r="F54" s="219">
        <v>11844</v>
      </c>
      <c r="G54" s="219">
        <v>3655</v>
      </c>
      <c r="H54" s="219">
        <f t="shared" si="7"/>
        <v>20598.84</v>
      </c>
      <c r="I54" s="176">
        <v>4473</v>
      </c>
      <c r="J54" s="219">
        <v>718.4</v>
      </c>
      <c r="K54" s="219">
        <f>Resident!K54</f>
        <v>12411</v>
      </c>
      <c r="L54" s="219">
        <f>Resident!L54*0.5</f>
        <v>3898</v>
      </c>
      <c r="M54" s="219">
        <f t="shared" si="6"/>
        <v>21500.400000000001</v>
      </c>
      <c r="N54" s="176">
        <f t="shared" si="8"/>
        <v>901.56000000000131</v>
      </c>
      <c r="O54" s="177">
        <f t="shared" si="9"/>
        <v>4.3767513122098201E-2</v>
      </c>
    </row>
    <row r="55" spans="1:15" s="157" customFormat="1" ht="15.75" customHeight="1" x14ac:dyDescent="0.2">
      <c r="A55" s="59"/>
      <c r="B55" s="60"/>
      <c r="C55" s="124" t="s">
        <v>109</v>
      </c>
      <c r="D55" s="292">
        <v>5778</v>
      </c>
      <c r="E55" s="294">
        <v>833.84</v>
      </c>
      <c r="F55" s="219">
        <v>11844</v>
      </c>
      <c r="G55" s="219">
        <v>3655</v>
      </c>
      <c r="H55" s="219">
        <f t="shared" si="7"/>
        <v>22110.84</v>
      </c>
      <c r="I55" s="176">
        <v>6003</v>
      </c>
      <c r="J55" s="219">
        <v>718.4</v>
      </c>
      <c r="K55" s="219">
        <f>Resident!K55</f>
        <v>12411</v>
      </c>
      <c r="L55" s="219">
        <f>Resident!L55*0.5</f>
        <v>3898</v>
      </c>
      <c r="M55" s="219">
        <f t="shared" si="6"/>
        <v>23030.400000000001</v>
      </c>
      <c r="N55" s="176">
        <f t="shared" si="8"/>
        <v>919.56000000000131</v>
      </c>
      <c r="O55" s="177">
        <f t="shared" si="9"/>
        <v>4.1588650634711358E-2</v>
      </c>
    </row>
    <row r="56" spans="1:15" s="157" customFormat="1" ht="15.75" customHeight="1" x14ac:dyDescent="0.2">
      <c r="A56" s="59"/>
      <c r="B56" s="60"/>
      <c r="C56" s="124" t="s">
        <v>22</v>
      </c>
      <c r="D56" s="292">
        <v>4878</v>
      </c>
      <c r="E56" s="294">
        <v>833.84</v>
      </c>
      <c r="F56" s="219">
        <v>11844</v>
      </c>
      <c r="G56" s="219">
        <v>3655</v>
      </c>
      <c r="H56" s="219">
        <f t="shared" si="7"/>
        <v>21210.84</v>
      </c>
      <c r="I56" s="176">
        <v>5103</v>
      </c>
      <c r="J56" s="219">
        <v>718.4</v>
      </c>
      <c r="K56" s="219">
        <f>Resident!K56</f>
        <v>12411</v>
      </c>
      <c r="L56" s="219">
        <f>Resident!L56*0.5</f>
        <v>3898</v>
      </c>
      <c r="M56" s="219">
        <f t="shared" si="6"/>
        <v>22130.400000000001</v>
      </c>
      <c r="N56" s="176">
        <f t="shared" si="8"/>
        <v>919.56000000000131</v>
      </c>
      <c r="O56" s="177">
        <f t="shared" si="9"/>
        <v>4.3353304253862711E-2</v>
      </c>
    </row>
    <row r="57" spans="1:15" s="288" customFormat="1" ht="15.75" customHeight="1" x14ac:dyDescent="0.2">
      <c r="A57" s="286"/>
      <c r="B57" s="287"/>
      <c r="C57" s="124" t="s">
        <v>9</v>
      </c>
      <c r="D57" s="292">
        <v>4266</v>
      </c>
      <c r="E57" s="294">
        <v>833.84</v>
      </c>
      <c r="F57" s="294">
        <v>11844</v>
      </c>
      <c r="G57" s="294">
        <v>3655</v>
      </c>
      <c r="H57" s="294">
        <f t="shared" si="7"/>
        <v>20598.84</v>
      </c>
      <c r="I57" s="292">
        <v>4473</v>
      </c>
      <c r="J57" s="294">
        <v>718.4</v>
      </c>
      <c r="K57" s="294">
        <f>Resident!K57</f>
        <v>12411</v>
      </c>
      <c r="L57" s="294">
        <f>Resident!L57*0.5</f>
        <v>3898</v>
      </c>
      <c r="M57" s="294">
        <f t="shared" si="6"/>
        <v>21500.400000000001</v>
      </c>
      <c r="N57" s="292">
        <f t="shared" si="8"/>
        <v>901.56000000000131</v>
      </c>
      <c r="O57" s="293">
        <f t="shared" si="9"/>
        <v>4.3767513122098201E-2</v>
      </c>
    </row>
    <row r="58" spans="1:15" s="157" customFormat="1" ht="15.75" customHeight="1" x14ac:dyDescent="0.2">
      <c r="A58" s="59"/>
      <c r="B58" s="60"/>
      <c r="C58" s="124" t="s">
        <v>6</v>
      </c>
      <c r="D58" s="292">
        <v>3492</v>
      </c>
      <c r="E58" s="294">
        <v>833.84</v>
      </c>
      <c r="F58" s="219">
        <v>11844</v>
      </c>
      <c r="G58" s="219">
        <v>3655</v>
      </c>
      <c r="H58" s="219">
        <f t="shared" si="7"/>
        <v>19824.84</v>
      </c>
      <c r="I58" s="292">
        <v>4473</v>
      </c>
      <c r="J58" s="219">
        <v>718.4</v>
      </c>
      <c r="K58" s="219">
        <f>Resident!K58</f>
        <v>12411</v>
      </c>
      <c r="L58" s="219">
        <f>Resident!L58*0.5</f>
        <v>3898</v>
      </c>
      <c r="M58" s="219">
        <f t="shared" si="6"/>
        <v>21500.400000000001</v>
      </c>
      <c r="N58" s="176">
        <f t="shared" si="8"/>
        <v>1675.5600000000013</v>
      </c>
      <c r="O58" s="177">
        <f t="shared" si="9"/>
        <v>8.4518210487449147E-2</v>
      </c>
    </row>
    <row r="59" spans="1:15" s="157" customFormat="1" ht="15.75" customHeight="1" thickBot="1" x14ac:dyDescent="0.25">
      <c r="A59" s="59"/>
      <c r="B59" s="60"/>
      <c r="C59" s="124" t="s">
        <v>3</v>
      </c>
      <c r="D59" s="292">
        <v>5778</v>
      </c>
      <c r="E59" s="294">
        <v>833.84</v>
      </c>
      <c r="F59" s="219">
        <v>11844</v>
      </c>
      <c r="G59" s="219">
        <v>3655</v>
      </c>
      <c r="H59" s="219">
        <f t="shared" si="7"/>
        <v>22110.84</v>
      </c>
      <c r="I59" s="176">
        <v>6003</v>
      </c>
      <c r="J59" s="219">
        <v>718.4</v>
      </c>
      <c r="K59" s="219">
        <f>Resident!K59</f>
        <v>12411</v>
      </c>
      <c r="L59" s="219">
        <f>Resident!L59*0.5</f>
        <v>3898</v>
      </c>
      <c r="M59" s="219">
        <f t="shared" si="6"/>
        <v>23030.400000000001</v>
      </c>
      <c r="N59" s="176">
        <f t="shared" si="8"/>
        <v>919.56000000000131</v>
      </c>
      <c r="O59" s="177">
        <f t="shared" si="9"/>
        <v>4.1588650634711358E-2</v>
      </c>
    </row>
    <row r="60" spans="1:15" s="157" customFormat="1" ht="18" thickBot="1" x14ac:dyDescent="0.3">
      <c r="A60" s="55" t="s">
        <v>67</v>
      </c>
      <c r="B60" s="56"/>
      <c r="C60" s="56"/>
      <c r="D60" s="217"/>
      <c r="E60" s="217"/>
      <c r="F60" s="217"/>
      <c r="G60" s="217"/>
      <c r="H60" s="217"/>
      <c r="I60" s="217"/>
      <c r="J60" s="217"/>
      <c r="K60" s="217"/>
      <c r="L60" s="217"/>
      <c r="M60" s="217"/>
      <c r="N60" s="188"/>
      <c r="O60" s="189"/>
    </row>
    <row r="61" spans="1:15" s="157" customFormat="1" ht="15.75" customHeight="1" x14ac:dyDescent="0.2">
      <c r="A61" s="59"/>
      <c r="B61" s="60" t="s">
        <v>2</v>
      </c>
      <c r="C61" s="72"/>
      <c r="D61" s="228"/>
      <c r="E61" s="183"/>
      <c r="F61" s="233"/>
      <c r="G61" s="223"/>
      <c r="H61" s="229"/>
      <c r="I61" s="228"/>
      <c r="J61" s="183"/>
      <c r="K61" s="233"/>
      <c r="L61" s="233"/>
      <c r="M61" s="229"/>
      <c r="N61" s="228"/>
      <c r="O61" s="177"/>
    </row>
    <row r="62" spans="1:15" s="157" customFormat="1" ht="15.75" customHeight="1" x14ac:dyDescent="0.2">
      <c r="A62" s="59"/>
      <c r="B62" s="60"/>
      <c r="C62" s="72" t="s">
        <v>12</v>
      </c>
      <c r="D62" s="292">
        <v>5340</v>
      </c>
      <c r="E62" s="294">
        <v>223.4</v>
      </c>
      <c r="F62" s="219">
        <v>11439</v>
      </c>
      <c r="G62" s="219">
        <v>3802.5</v>
      </c>
      <c r="H62" s="219">
        <v>20708.900000000001</v>
      </c>
      <c r="I62" s="292">
        <f>Resident!I62/30*12</f>
        <v>5448</v>
      </c>
      <c r="J62" s="219">
        <v>223.4</v>
      </c>
      <c r="K62" s="219">
        <f>Resident!K62</f>
        <v>12411</v>
      </c>
      <c r="L62" s="219">
        <f>Resident!L62*0.5</f>
        <v>3898</v>
      </c>
      <c r="M62" s="219">
        <f t="shared" ref="M62:M78" si="10">I62+J62+K62+L62</f>
        <v>21980.400000000001</v>
      </c>
      <c r="N62" s="176">
        <f>M62-H62</f>
        <v>1271.5</v>
      </c>
      <c r="O62" s="177">
        <f>N62/H62</f>
        <v>6.1398722288484656E-2</v>
      </c>
    </row>
    <row r="63" spans="1:15" s="157" customFormat="1" ht="15.75" customHeight="1" x14ac:dyDescent="0.2">
      <c r="A63" s="59"/>
      <c r="B63" s="60"/>
      <c r="C63" s="70" t="s">
        <v>35</v>
      </c>
      <c r="D63" s="143">
        <v>4800</v>
      </c>
      <c r="E63" s="291">
        <v>223.4</v>
      </c>
      <c r="F63" s="163">
        <v>11439</v>
      </c>
      <c r="G63" s="163">
        <v>3802.5</v>
      </c>
      <c r="H63" s="163">
        <v>20264.900000000001</v>
      </c>
      <c r="I63" s="143">
        <f>Resident!I63/30*12</f>
        <v>4896</v>
      </c>
      <c r="J63" s="163">
        <v>223.4</v>
      </c>
      <c r="K63" s="163">
        <f>Resident!K63</f>
        <v>12411</v>
      </c>
      <c r="L63" s="163">
        <f>Resident!L63*0.5</f>
        <v>3898</v>
      </c>
      <c r="M63" s="163">
        <f t="shared" si="10"/>
        <v>21428.400000000001</v>
      </c>
      <c r="N63" s="143">
        <f>M63-H63</f>
        <v>1163.5</v>
      </c>
      <c r="O63" s="181">
        <f>N63/H63</f>
        <v>5.7414544359952427E-2</v>
      </c>
    </row>
    <row r="64" spans="1:15" s="157" customFormat="1" ht="15.75" customHeight="1" x14ac:dyDescent="0.2">
      <c r="A64" s="75"/>
      <c r="B64" s="76" t="s">
        <v>4</v>
      </c>
      <c r="C64" s="88"/>
      <c r="D64" s="292"/>
      <c r="E64" s="294"/>
      <c r="F64" s="219"/>
      <c r="G64" s="219"/>
      <c r="H64" s="219"/>
      <c r="I64" s="292"/>
      <c r="J64" s="219"/>
      <c r="K64" s="219"/>
      <c r="L64" s="219"/>
      <c r="M64" s="219"/>
      <c r="N64" s="176"/>
      <c r="O64" s="177"/>
    </row>
    <row r="65" spans="1:18" s="157" customFormat="1" ht="15.75" customHeight="1" x14ac:dyDescent="0.2">
      <c r="A65" s="59"/>
      <c r="B65" s="60"/>
      <c r="C65" s="72" t="s">
        <v>49</v>
      </c>
      <c r="D65" s="292">
        <v>4725</v>
      </c>
      <c r="E65" s="294">
        <v>223.4</v>
      </c>
      <c r="F65" s="219">
        <v>11439</v>
      </c>
      <c r="G65" s="219">
        <v>3802.5</v>
      </c>
      <c r="H65" s="219">
        <f>D65+E65+F65+G65</f>
        <v>20189.900000000001</v>
      </c>
      <c r="I65" s="292">
        <f>Resident!I65/24*9</f>
        <v>4869</v>
      </c>
      <c r="J65" s="219">
        <v>223.4</v>
      </c>
      <c r="K65" s="219">
        <f>Resident!K65</f>
        <v>12411</v>
      </c>
      <c r="L65" s="219">
        <f>Resident!L65*0.5</f>
        <v>3898</v>
      </c>
      <c r="M65" s="219">
        <f t="shared" si="10"/>
        <v>21401.4</v>
      </c>
      <c r="N65" s="176">
        <f t="shared" ref="N65:N78" si="11">M65-H65</f>
        <v>1211.5</v>
      </c>
      <c r="O65" s="177">
        <f t="shared" ref="O65:O78" si="12">N65/H65</f>
        <v>6.0005250149827383E-2</v>
      </c>
      <c r="Q65" s="250"/>
      <c r="R65" s="250"/>
    </row>
    <row r="66" spans="1:18" s="157" customFormat="1" ht="15.75" customHeight="1" x14ac:dyDescent="0.2">
      <c r="A66" s="59"/>
      <c r="B66" s="60"/>
      <c r="C66" s="72" t="s">
        <v>50</v>
      </c>
      <c r="D66" s="292">
        <v>4464</v>
      </c>
      <c r="E66" s="294">
        <v>223.4</v>
      </c>
      <c r="F66" s="219">
        <v>11439</v>
      </c>
      <c r="G66" s="219">
        <v>3802.5</v>
      </c>
      <c r="H66" s="219">
        <f t="shared" ref="H66:H79" si="13">D66+E66+F66+G66</f>
        <v>19928.900000000001</v>
      </c>
      <c r="I66" s="292">
        <f>Resident!I66/24*9</f>
        <v>4599</v>
      </c>
      <c r="J66" s="219">
        <v>223.4</v>
      </c>
      <c r="K66" s="219">
        <f>Resident!K66</f>
        <v>12411</v>
      </c>
      <c r="L66" s="219">
        <f>Resident!L66*0.5</f>
        <v>3898</v>
      </c>
      <c r="M66" s="219">
        <f t="shared" si="10"/>
        <v>21131.4</v>
      </c>
      <c r="N66" s="176">
        <f t="shared" si="11"/>
        <v>1202.5</v>
      </c>
      <c r="O66" s="177">
        <f t="shared" si="12"/>
        <v>6.033950694719728E-2</v>
      </c>
    </row>
    <row r="67" spans="1:18" s="157" customFormat="1" ht="15.75" customHeight="1" x14ac:dyDescent="0.2">
      <c r="A67" s="59"/>
      <c r="B67" s="60"/>
      <c r="C67" s="124" t="s">
        <v>51</v>
      </c>
      <c r="D67" s="292">
        <v>5238</v>
      </c>
      <c r="E67" s="294">
        <v>223.4</v>
      </c>
      <c r="F67" s="219">
        <v>11439</v>
      </c>
      <c r="G67" s="219">
        <v>3802.5</v>
      </c>
      <c r="H67" s="219">
        <f t="shared" si="13"/>
        <v>20702.900000000001</v>
      </c>
      <c r="I67" s="292">
        <f>Resident!I67/24*9</f>
        <v>5454</v>
      </c>
      <c r="J67" s="219">
        <v>223.4</v>
      </c>
      <c r="K67" s="219">
        <f>Resident!K67</f>
        <v>12411</v>
      </c>
      <c r="L67" s="219">
        <f>Resident!L67*0.5</f>
        <v>3898</v>
      </c>
      <c r="M67" s="219">
        <f t="shared" si="10"/>
        <v>21986.400000000001</v>
      </c>
      <c r="N67" s="176">
        <f t="shared" si="11"/>
        <v>1283.5</v>
      </c>
      <c r="O67" s="177">
        <f t="shared" si="12"/>
        <v>6.1996145467543187E-2</v>
      </c>
    </row>
    <row r="68" spans="1:18" s="157" customFormat="1" ht="15.75" customHeight="1" x14ac:dyDescent="0.2">
      <c r="A68" s="59"/>
      <c r="B68" s="60"/>
      <c r="C68" s="72" t="s">
        <v>30</v>
      </c>
      <c r="D68" s="292">
        <v>7497</v>
      </c>
      <c r="E68" s="294">
        <v>223.4</v>
      </c>
      <c r="F68" s="219">
        <v>11439</v>
      </c>
      <c r="G68" s="219">
        <v>3802.5</v>
      </c>
      <c r="H68" s="219">
        <f t="shared" si="13"/>
        <v>22961.9</v>
      </c>
      <c r="I68" s="292">
        <f>Resident!I68/24*9</f>
        <v>7650</v>
      </c>
      <c r="J68" s="219">
        <v>223.4</v>
      </c>
      <c r="K68" s="219">
        <f>Resident!K68</f>
        <v>12411</v>
      </c>
      <c r="L68" s="219">
        <f>Resident!L68*0.5</f>
        <v>3898</v>
      </c>
      <c r="M68" s="219">
        <f t="shared" si="10"/>
        <v>24182.400000000001</v>
      </c>
      <c r="N68" s="176">
        <f t="shared" si="11"/>
        <v>1220.5</v>
      </c>
      <c r="O68" s="177">
        <f t="shared" si="12"/>
        <v>5.3153266933485467E-2</v>
      </c>
    </row>
    <row r="69" spans="1:18" s="157" customFormat="1" ht="15.75" customHeight="1" x14ac:dyDescent="0.2">
      <c r="A69" s="59"/>
      <c r="B69" s="60"/>
      <c r="C69" s="72" t="s">
        <v>31</v>
      </c>
      <c r="D69" s="292">
        <v>4554</v>
      </c>
      <c r="E69" s="294">
        <v>223.4</v>
      </c>
      <c r="F69" s="219">
        <v>11439</v>
      </c>
      <c r="G69" s="219">
        <v>3802.5</v>
      </c>
      <c r="H69" s="219">
        <f t="shared" si="13"/>
        <v>20018.900000000001</v>
      </c>
      <c r="I69" s="292">
        <f>Resident!I69/24*9</f>
        <v>4644</v>
      </c>
      <c r="J69" s="219">
        <v>223.4</v>
      </c>
      <c r="K69" s="219">
        <f>Resident!K69</f>
        <v>12411</v>
      </c>
      <c r="L69" s="219">
        <f>Resident!L69*0.5</f>
        <v>3898</v>
      </c>
      <c r="M69" s="219">
        <f t="shared" si="10"/>
        <v>21176.400000000001</v>
      </c>
      <c r="N69" s="176">
        <f t="shared" si="11"/>
        <v>1157.5</v>
      </c>
      <c r="O69" s="177">
        <f t="shared" si="12"/>
        <v>5.7820359760026772E-2</v>
      </c>
    </row>
    <row r="70" spans="1:18" s="157" customFormat="1" ht="15.75" customHeight="1" x14ac:dyDescent="0.2">
      <c r="A70" s="59"/>
      <c r="B70" s="60"/>
      <c r="C70" s="72" t="s">
        <v>36</v>
      </c>
      <c r="D70" s="292">
        <v>4554</v>
      </c>
      <c r="E70" s="294">
        <v>223.4</v>
      </c>
      <c r="F70" s="219">
        <v>11439</v>
      </c>
      <c r="G70" s="219">
        <v>3802.5</v>
      </c>
      <c r="H70" s="219">
        <f t="shared" si="13"/>
        <v>20018.900000000001</v>
      </c>
      <c r="I70" s="292">
        <f>Resident!I70/24*9</f>
        <v>4644</v>
      </c>
      <c r="J70" s="219">
        <v>223.4</v>
      </c>
      <c r="K70" s="219">
        <f>Resident!K70</f>
        <v>12411</v>
      </c>
      <c r="L70" s="219">
        <f>Resident!L70*0.5</f>
        <v>3898</v>
      </c>
      <c r="M70" s="219">
        <f t="shared" si="10"/>
        <v>21176.400000000001</v>
      </c>
      <c r="N70" s="176">
        <f t="shared" si="11"/>
        <v>1157.5</v>
      </c>
      <c r="O70" s="177">
        <f t="shared" si="12"/>
        <v>5.7820359760026772E-2</v>
      </c>
    </row>
    <row r="71" spans="1:18" s="157" customFormat="1" ht="15.75" customHeight="1" x14ac:dyDescent="0.2">
      <c r="A71" s="59"/>
      <c r="B71" s="60"/>
      <c r="C71" s="72" t="s">
        <v>37</v>
      </c>
      <c r="D71" s="292">
        <v>4968</v>
      </c>
      <c r="E71" s="294">
        <v>223.4</v>
      </c>
      <c r="F71" s="219">
        <v>11439</v>
      </c>
      <c r="G71" s="219">
        <v>3802.5</v>
      </c>
      <c r="H71" s="219">
        <f t="shared" si="13"/>
        <v>20432.900000000001</v>
      </c>
      <c r="I71" s="292">
        <f>Resident!I71/24*9</f>
        <v>5067</v>
      </c>
      <c r="J71" s="219">
        <v>223.4</v>
      </c>
      <c r="K71" s="219">
        <f>Resident!K71</f>
        <v>12411</v>
      </c>
      <c r="L71" s="219">
        <f>Resident!L71*0.5</f>
        <v>3898</v>
      </c>
      <c r="M71" s="219">
        <f t="shared" si="10"/>
        <v>21599.4</v>
      </c>
      <c r="N71" s="176">
        <f t="shared" si="11"/>
        <v>1166.5</v>
      </c>
      <c r="O71" s="177">
        <f t="shared" si="12"/>
        <v>5.7089302056976737E-2</v>
      </c>
    </row>
    <row r="72" spans="1:18" s="157" customFormat="1" ht="15.75" customHeight="1" x14ac:dyDescent="0.2">
      <c r="A72" s="59"/>
      <c r="B72" s="60"/>
      <c r="C72" s="72" t="s">
        <v>20</v>
      </c>
      <c r="D72" s="292">
        <v>6282</v>
      </c>
      <c r="E72" s="294">
        <v>223.4</v>
      </c>
      <c r="F72" s="219">
        <v>11439</v>
      </c>
      <c r="G72" s="219">
        <v>3802.5</v>
      </c>
      <c r="H72" s="219">
        <f t="shared" si="13"/>
        <v>21746.9</v>
      </c>
      <c r="I72" s="292">
        <f>Resident!I72/24*9</f>
        <v>6597</v>
      </c>
      <c r="J72" s="219">
        <v>223.4</v>
      </c>
      <c r="K72" s="219">
        <f>Resident!K72</f>
        <v>12411</v>
      </c>
      <c r="L72" s="219">
        <f>Resident!L72*0.5</f>
        <v>3898</v>
      </c>
      <c r="M72" s="219">
        <f t="shared" si="10"/>
        <v>23129.4</v>
      </c>
      <c r="N72" s="176">
        <f t="shared" si="11"/>
        <v>1382.5</v>
      </c>
      <c r="O72" s="177">
        <f t="shared" si="12"/>
        <v>6.3572279267389828E-2</v>
      </c>
    </row>
    <row r="73" spans="1:18" s="157" customFormat="1" ht="15.75" customHeight="1" x14ac:dyDescent="0.2">
      <c r="A73" s="59"/>
      <c r="B73" s="60"/>
      <c r="C73" s="72" t="s">
        <v>38</v>
      </c>
      <c r="D73" s="292">
        <v>7011</v>
      </c>
      <c r="E73" s="294">
        <v>223.4</v>
      </c>
      <c r="F73" s="219">
        <v>11439</v>
      </c>
      <c r="G73" s="219">
        <v>3802.5</v>
      </c>
      <c r="H73" s="219">
        <f t="shared" si="13"/>
        <v>22475.9</v>
      </c>
      <c r="I73" s="292">
        <f>Resident!I73/24*9</f>
        <v>7011</v>
      </c>
      <c r="J73" s="219">
        <v>223.4</v>
      </c>
      <c r="K73" s="219">
        <f>Resident!K73</f>
        <v>12411</v>
      </c>
      <c r="L73" s="219">
        <f>Resident!L73*0.5</f>
        <v>3898</v>
      </c>
      <c r="M73" s="219">
        <f t="shared" si="10"/>
        <v>23543.4</v>
      </c>
      <c r="N73" s="176">
        <f t="shared" si="11"/>
        <v>1067.5</v>
      </c>
      <c r="O73" s="177">
        <f t="shared" si="12"/>
        <v>4.7495317206429993E-2</v>
      </c>
    </row>
    <row r="74" spans="1:18" s="157" customFormat="1" ht="15.75" customHeight="1" x14ac:dyDescent="0.2">
      <c r="A74" s="59"/>
      <c r="B74" s="60"/>
      <c r="C74" s="72" t="s">
        <v>70</v>
      </c>
      <c r="D74" s="292">
        <v>6525</v>
      </c>
      <c r="E74" s="294">
        <v>223.4</v>
      </c>
      <c r="F74" s="219">
        <v>11439</v>
      </c>
      <c r="G74" s="219">
        <v>3802.5</v>
      </c>
      <c r="H74" s="219">
        <f t="shared" si="13"/>
        <v>21989.9</v>
      </c>
      <c r="I74" s="292">
        <f>Resident!I74/24*9</f>
        <v>6705</v>
      </c>
      <c r="J74" s="219">
        <v>223.4</v>
      </c>
      <c r="K74" s="219">
        <f>Resident!K74</f>
        <v>12411</v>
      </c>
      <c r="L74" s="219">
        <f>Resident!L74*0.5</f>
        <v>3898</v>
      </c>
      <c r="M74" s="219">
        <f t="shared" si="10"/>
        <v>23237.4</v>
      </c>
      <c r="N74" s="176">
        <f t="shared" si="11"/>
        <v>1247.5</v>
      </c>
      <c r="O74" s="177">
        <f t="shared" si="12"/>
        <v>5.6730589952660081E-2</v>
      </c>
    </row>
    <row r="75" spans="1:18" s="157" customFormat="1" ht="15.75" customHeight="1" x14ac:dyDescent="0.2">
      <c r="A75" s="59"/>
      <c r="B75" s="60"/>
      <c r="C75" s="72" t="s">
        <v>39</v>
      </c>
      <c r="D75" s="292">
        <v>6345</v>
      </c>
      <c r="E75" s="294">
        <v>223.4</v>
      </c>
      <c r="F75" s="219">
        <v>11439</v>
      </c>
      <c r="G75" s="219">
        <v>3802.5</v>
      </c>
      <c r="H75" s="219">
        <f t="shared" si="13"/>
        <v>21809.9</v>
      </c>
      <c r="I75" s="292">
        <f>Resident!I75/24*9</f>
        <v>6534</v>
      </c>
      <c r="J75" s="219">
        <v>223.4</v>
      </c>
      <c r="K75" s="219">
        <f>Resident!K75</f>
        <v>12411</v>
      </c>
      <c r="L75" s="219">
        <f>Resident!L75*0.5</f>
        <v>3898</v>
      </c>
      <c r="M75" s="219">
        <f t="shared" si="10"/>
        <v>23066.400000000001</v>
      </c>
      <c r="N75" s="176">
        <f t="shared" si="11"/>
        <v>1256.5</v>
      </c>
      <c r="O75" s="177">
        <f t="shared" si="12"/>
        <v>5.7611451680200272E-2</v>
      </c>
    </row>
    <row r="76" spans="1:18" s="157" customFormat="1" ht="15.75" customHeight="1" x14ac:dyDescent="0.2">
      <c r="A76" s="59"/>
      <c r="B76" s="60"/>
      <c r="C76" s="72" t="s">
        <v>32</v>
      </c>
      <c r="D76" s="292">
        <v>6525</v>
      </c>
      <c r="E76" s="294">
        <v>223.4</v>
      </c>
      <c r="F76" s="219">
        <v>11439</v>
      </c>
      <c r="G76" s="219">
        <v>3802.5</v>
      </c>
      <c r="H76" s="219">
        <f t="shared" si="13"/>
        <v>21989.9</v>
      </c>
      <c r="I76" s="292">
        <f>Resident!I76/24*9</f>
        <v>6660.0000000000009</v>
      </c>
      <c r="J76" s="219">
        <v>223.4</v>
      </c>
      <c r="K76" s="219">
        <f>Resident!K76</f>
        <v>12411</v>
      </c>
      <c r="L76" s="219">
        <f>Resident!L76*0.5</f>
        <v>3898</v>
      </c>
      <c r="M76" s="219">
        <f t="shared" si="10"/>
        <v>23192.400000000001</v>
      </c>
      <c r="N76" s="176">
        <f t="shared" si="11"/>
        <v>1202.5</v>
      </c>
      <c r="O76" s="177">
        <f t="shared" si="12"/>
        <v>5.4684195926311623E-2</v>
      </c>
    </row>
    <row r="77" spans="1:18" s="157" customFormat="1" ht="15.75" customHeight="1" x14ac:dyDescent="0.2">
      <c r="A77" s="59"/>
      <c r="B77" s="60"/>
      <c r="C77" s="72" t="s">
        <v>33</v>
      </c>
      <c r="D77" s="292">
        <v>6075</v>
      </c>
      <c r="E77" s="294">
        <v>223.4</v>
      </c>
      <c r="F77" s="219">
        <v>11439</v>
      </c>
      <c r="G77" s="219">
        <v>3802.5</v>
      </c>
      <c r="H77" s="219">
        <f t="shared" si="13"/>
        <v>21539.9</v>
      </c>
      <c r="I77" s="292">
        <f>Resident!I77/24*9</f>
        <v>6210</v>
      </c>
      <c r="J77" s="219">
        <v>223.4</v>
      </c>
      <c r="K77" s="219">
        <f>Resident!K77</f>
        <v>12411</v>
      </c>
      <c r="L77" s="219">
        <f>Resident!L77*0.5</f>
        <v>3898</v>
      </c>
      <c r="M77" s="219">
        <f t="shared" si="10"/>
        <v>22742.400000000001</v>
      </c>
      <c r="N77" s="176">
        <f t="shared" si="11"/>
        <v>1202.5</v>
      </c>
      <c r="O77" s="177">
        <f t="shared" si="12"/>
        <v>5.5826628721581804E-2</v>
      </c>
    </row>
    <row r="78" spans="1:18" s="157" customFormat="1" ht="15.75" customHeight="1" x14ac:dyDescent="0.2">
      <c r="A78" s="59"/>
      <c r="B78" s="60"/>
      <c r="C78" s="72" t="s">
        <v>113</v>
      </c>
      <c r="D78" s="292">
        <v>1593</v>
      </c>
      <c r="E78" s="294">
        <v>223.4</v>
      </c>
      <c r="F78" s="219">
        <v>11439</v>
      </c>
      <c r="G78" s="219">
        <v>3802.5</v>
      </c>
      <c r="H78" s="219">
        <f t="shared" si="13"/>
        <v>17057.900000000001</v>
      </c>
      <c r="I78" s="292">
        <f>Resident!I78/24*9</f>
        <v>1194.75</v>
      </c>
      <c r="J78" s="219">
        <v>223.4</v>
      </c>
      <c r="K78" s="219">
        <f>Resident!K78</f>
        <v>12411</v>
      </c>
      <c r="L78" s="219">
        <f>Resident!L78*0.5</f>
        <v>3898</v>
      </c>
      <c r="M78" s="219">
        <f t="shared" si="10"/>
        <v>17727.150000000001</v>
      </c>
      <c r="N78" s="176">
        <f t="shared" si="11"/>
        <v>669.25</v>
      </c>
      <c r="O78" s="177">
        <f t="shared" si="12"/>
        <v>3.9234020600425606E-2</v>
      </c>
    </row>
    <row r="79" spans="1:18" s="157" customFormat="1" ht="15.75" customHeight="1" x14ac:dyDescent="0.2">
      <c r="A79" s="59"/>
      <c r="B79" s="60"/>
      <c r="C79" s="72" t="s">
        <v>112</v>
      </c>
      <c r="D79" s="143">
        <v>6957</v>
      </c>
      <c r="E79" s="291">
        <v>223.4</v>
      </c>
      <c r="F79" s="163">
        <v>11439</v>
      </c>
      <c r="G79" s="163">
        <v>3802.5</v>
      </c>
      <c r="H79" s="163">
        <f t="shared" si="13"/>
        <v>22421.9</v>
      </c>
      <c r="I79" s="143">
        <f>Resident!I79/24*9</f>
        <v>6957</v>
      </c>
      <c r="J79" s="163">
        <v>223.4</v>
      </c>
      <c r="K79" s="163">
        <f>Resident!K79</f>
        <v>12411</v>
      </c>
      <c r="L79" s="163">
        <f>Resident!L79*0.5</f>
        <v>3898</v>
      </c>
      <c r="M79" s="163">
        <f>I79+J79+K79+L79</f>
        <v>23489.4</v>
      </c>
      <c r="N79" s="143">
        <f>M79-H79</f>
        <v>1067.5</v>
      </c>
      <c r="O79" s="181">
        <f>N79/H79</f>
        <v>4.760970301357155E-2</v>
      </c>
    </row>
    <row r="80" spans="1:18" s="157" customFormat="1" ht="15.75" customHeight="1" x14ac:dyDescent="0.2">
      <c r="A80" s="75"/>
      <c r="B80" s="76" t="s">
        <v>10</v>
      </c>
      <c r="C80" s="88"/>
      <c r="D80" s="64"/>
      <c r="E80" s="65"/>
      <c r="F80" s="86"/>
      <c r="G80" s="86"/>
      <c r="H80" s="131"/>
      <c r="I80" s="64"/>
      <c r="J80" s="65"/>
      <c r="K80" s="86"/>
      <c r="L80" s="86"/>
      <c r="M80" s="131"/>
      <c r="N80" s="64"/>
      <c r="O80" s="67"/>
    </row>
    <row r="81" spans="1:15" s="157" customFormat="1" ht="15.75" customHeight="1" x14ac:dyDescent="0.2">
      <c r="A81" s="59"/>
      <c r="B81" s="60"/>
      <c r="C81" s="144" t="s">
        <v>25</v>
      </c>
      <c r="D81" s="132" t="s">
        <v>34</v>
      </c>
      <c r="E81" s="137" t="s">
        <v>34</v>
      </c>
      <c r="F81" s="137" t="s">
        <v>34</v>
      </c>
      <c r="G81" s="137" t="s">
        <v>34</v>
      </c>
      <c r="H81" s="137" t="s">
        <v>34</v>
      </c>
      <c r="I81" s="132" t="s">
        <v>34</v>
      </c>
      <c r="J81" s="137" t="s">
        <v>34</v>
      </c>
      <c r="K81" s="137" t="s">
        <v>34</v>
      </c>
      <c r="L81" s="137" t="s">
        <v>34</v>
      </c>
      <c r="M81" s="137" t="s">
        <v>34</v>
      </c>
      <c r="N81" s="132" t="s">
        <v>34</v>
      </c>
      <c r="O81" s="142" t="s">
        <v>34</v>
      </c>
    </row>
    <row r="82" spans="1:15" s="157" customFormat="1" ht="15.75" customHeight="1" x14ac:dyDescent="0.2">
      <c r="A82" s="59"/>
      <c r="B82" s="60"/>
      <c r="C82" s="144" t="s">
        <v>26</v>
      </c>
      <c r="D82" s="132" t="s">
        <v>34</v>
      </c>
      <c r="E82" s="137" t="s">
        <v>34</v>
      </c>
      <c r="F82" s="137" t="s">
        <v>34</v>
      </c>
      <c r="G82" s="137" t="s">
        <v>34</v>
      </c>
      <c r="H82" s="137" t="s">
        <v>34</v>
      </c>
      <c r="I82" s="132" t="s">
        <v>34</v>
      </c>
      <c r="J82" s="137" t="s">
        <v>34</v>
      </c>
      <c r="K82" s="137" t="s">
        <v>34</v>
      </c>
      <c r="L82" s="137" t="s">
        <v>34</v>
      </c>
      <c r="M82" s="137" t="s">
        <v>34</v>
      </c>
      <c r="N82" s="132" t="s">
        <v>34</v>
      </c>
      <c r="O82" s="142" t="s">
        <v>34</v>
      </c>
    </row>
    <row r="83" spans="1:15" s="157" customFormat="1" ht="15.75" customHeight="1" x14ac:dyDescent="0.2">
      <c r="A83" s="59"/>
      <c r="B83" s="60"/>
      <c r="C83" s="144" t="s">
        <v>27</v>
      </c>
      <c r="D83" s="132" t="s">
        <v>34</v>
      </c>
      <c r="E83" s="137" t="s">
        <v>34</v>
      </c>
      <c r="F83" s="137" t="s">
        <v>34</v>
      </c>
      <c r="G83" s="137" t="s">
        <v>34</v>
      </c>
      <c r="H83" s="137" t="s">
        <v>34</v>
      </c>
      <c r="I83" s="132" t="s">
        <v>34</v>
      </c>
      <c r="J83" s="137" t="s">
        <v>34</v>
      </c>
      <c r="K83" s="137" t="s">
        <v>34</v>
      </c>
      <c r="L83" s="137" t="s">
        <v>34</v>
      </c>
      <c r="M83" s="137" t="s">
        <v>34</v>
      </c>
      <c r="N83" s="132" t="s">
        <v>34</v>
      </c>
      <c r="O83" s="142" t="s">
        <v>34</v>
      </c>
    </row>
    <row r="84" spans="1:15" s="157" customFormat="1" ht="15.75" customHeight="1" x14ac:dyDescent="0.2">
      <c r="A84" s="59"/>
      <c r="B84" s="60"/>
      <c r="C84" s="144" t="s">
        <v>23</v>
      </c>
      <c r="D84" s="132" t="s">
        <v>34</v>
      </c>
      <c r="E84" s="137" t="s">
        <v>34</v>
      </c>
      <c r="F84" s="137" t="s">
        <v>34</v>
      </c>
      <c r="G84" s="137" t="s">
        <v>34</v>
      </c>
      <c r="H84" s="137" t="s">
        <v>34</v>
      </c>
      <c r="I84" s="132" t="s">
        <v>34</v>
      </c>
      <c r="J84" s="137" t="s">
        <v>34</v>
      </c>
      <c r="K84" s="137" t="s">
        <v>34</v>
      </c>
      <c r="L84" s="137" t="s">
        <v>34</v>
      </c>
      <c r="M84" s="137" t="s">
        <v>34</v>
      </c>
      <c r="N84" s="132" t="s">
        <v>34</v>
      </c>
      <c r="O84" s="142" t="s">
        <v>34</v>
      </c>
    </row>
    <row r="85" spans="1:15" s="157" customFormat="1" ht="15.75" customHeight="1" x14ac:dyDescent="0.2">
      <c r="A85" s="59"/>
      <c r="B85" s="60"/>
      <c r="C85" s="72" t="s">
        <v>99</v>
      </c>
      <c r="D85" s="132" t="s">
        <v>34</v>
      </c>
      <c r="E85" s="137" t="s">
        <v>34</v>
      </c>
      <c r="F85" s="137" t="s">
        <v>34</v>
      </c>
      <c r="G85" s="137" t="s">
        <v>34</v>
      </c>
      <c r="H85" s="137" t="s">
        <v>34</v>
      </c>
      <c r="I85" s="132" t="s">
        <v>34</v>
      </c>
      <c r="J85" s="137" t="s">
        <v>34</v>
      </c>
      <c r="K85" s="137" t="s">
        <v>34</v>
      </c>
      <c r="L85" s="137" t="s">
        <v>34</v>
      </c>
      <c r="M85" s="137" t="s">
        <v>34</v>
      </c>
      <c r="N85" s="133" t="s">
        <v>34</v>
      </c>
      <c r="O85" s="136" t="s">
        <v>34</v>
      </c>
    </row>
    <row r="86" spans="1:15" s="149" customFormat="1" ht="15.75" customHeight="1" thickBot="1" x14ac:dyDescent="0.25">
      <c r="A86" s="77"/>
      <c r="B86" s="78"/>
      <c r="C86" s="145" t="s">
        <v>28</v>
      </c>
      <c r="D86" s="153" t="s">
        <v>34</v>
      </c>
      <c r="E86" s="146" t="s">
        <v>34</v>
      </c>
      <c r="F86" s="146" t="s">
        <v>34</v>
      </c>
      <c r="G86" s="146" t="s">
        <v>34</v>
      </c>
      <c r="H86" s="146" t="s">
        <v>34</v>
      </c>
      <c r="I86" s="153" t="s">
        <v>34</v>
      </c>
      <c r="J86" s="146" t="s">
        <v>34</v>
      </c>
      <c r="K86" s="146" t="s">
        <v>34</v>
      </c>
      <c r="L86" s="146" t="s">
        <v>34</v>
      </c>
      <c r="M86" s="146" t="s">
        <v>34</v>
      </c>
      <c r="N86" s="153" t="s">
        <v>34</v>
      </c>
      <c r="O86" s="154" t="s">
        <v>34</v>
      </c>
    </row>
    <row r="87" spans="1:15" s="10" customFormat="1" ht="21.75" customHeight="1" x14ac:dyDescent="0.25">
      <c r="A87" s="18"/>
      <c r="B87" s="19" t="s">
        <v>18</v>
      </c>
      <c r="C87" s="18"/>
      <c r="D87" s="108"/>
      <c r="E87" s="108"/>
      <c r="F87" s="108"/>
      <c r="G87" s="108"/>
      <c r="H87" s="108"/>
      <c r="I87" s="17"/>
      <c r="J87" s="17"/>
      <c r="K87" s="17"/>
      <c r="L87" s="17"/>
      <c r="M87" s="17"/>
      <c r="N87" s="17"/>
      <c r="O87" s="20"/>
    </row>
    <row r="88" spans="1:15" s="24" customFormat="1" ht="12.75" customHeight="1" x14ac:dyDescent="0.25">
      <c r="A88" s="18"/>
      <c r="B88" s="19"/>
      <c r="C88" s="15" t="s">
        <v>56</v>
      </c>
      <c r="D88" s="109"/>
      <c r="E88" s="109"/>
      <c r="F88" s="109"/>
      <c r="G88" s="109"/>
      <c r="H88" s="109"/>
      <c r="I88" s="26"/>
      <c r="J88" s="26"/>
      <c r="K88" s="26"/>
      <c r="L88" s="26"/>
      <c r="M88" s="26"/>
      <c r="N88" s="26"/>
      <c r="O88" s="27"/>
    </row>
    <row r="89" spans="1:15" s="7" customFormat="1" x14ac:dyDescent="0.2">
      <c r="A89" s="24"/>
      <c r="B89" s="24"/>
      <c r="C89" s="32" t="s">
        <v>53</v>
      </c>
      <c r="D89" s="110"/>
      <c r="E89" s="110"/>
      <c r="F89" s="110"/>
      <c r="G89" s="110"/>
      <c r="H89" s="110"/>
      <c r="I89" s="28"/>
      <c r="J89" s="28"/>
      <c r="K89" s="28"/>
      <c r="L89" s="28"/>
      <c r="M89" s="28"/>
      <c r="N89" s="28"/>
      <c r="O89" s="29"/>
    </row>
    <row r="90" spans="1:15" s="7" customFormat="1" x14ac:dyDescent="0.2">
      <c r="A90" s="24"/>
      <c r="B90" s="24"/>
      <c r="C90" s="15" t="s">
        <v>40</v>
      </c>
      <c r="D90" s="110"/>
      <c r="E90" s="110"/>
      <c r="F90" s="110"/>
      <c r="G90" s="110"/>
      <c r="H90" s="110"/>
      <c r="I90" s="28"/>
      <c r="J90" s="28"/>
      <c r="K90" s="28"/>
      <c r="L90" s="28"/>
      <c r="M90" s="28"/>
      <c r="N90" s="28"/>
      <c r="O90" s="29"/>
    </row>
    <row r="91" spans="1:15" x14ac:dyDescent="0.2">
      <c r="A91" s="22"/>
      <c r="B91" s="22"/>
      <c r="C91" s="314" t="s">
        <v>69</v>
      </c>
      <c r="D91" s="314"/>
      <c r="E91" s="314"/>
      <c r="F91" s="314"/>
      <c r="G91" s="314"/>
      <c r="H91" s="314"/>
      <c r="I91" s="314"/>
      <c r="J91" s="314"/>
      <c r="K91" s="314"/>
      <c r="L91" s="314"/>
      <c r="M91" s="314"/>
      <c r="N91" s="314"/>
      <c r="O91" s="314"/>
    </row>
    <row r="92" spans="1:15" x14ac:dyDescent="0.2">
      <c r="A92" s="22"/>
      <c r="B92" s="22"/>
      <c r="C92" s="33" t="s">
        <v>54</v>
      </c>
      <c r="D92" s="111"/>
      <c r="E92" s="111"/>
      <c r="F92" s="111"/>
      <c r="G92" s="111"/>
      <c r="H92" s="112"/>
      <c r="I92" s="30"/>
      <c r="J92" s="30"/>
      <c r="K92" s="30"/>
      <c r="L92" s="30"/>
      <c r="M92" s="31"/>
      <c r="N92" s="30"/>
      <c r="O92" s="31"/>
    </row>
    <row r="93" spans="1:15" s="23" customFormat="1" x14ac:dyDescent="0.2">
      <c r="A93" s="16"/>
      <c r="B93" s="16"/>
      <c r="C93" s="329" t="s">
        <v>93</v>
      </c>
      <c r="D93" s="329"/>
      <c r="E93" s="329"/>
      <c r="F93" s="329"/>
      <c r="G93" s="329"/>
      <c r="H93" s="329"/>
      <c r="I93" s="329"/>
      <c r="J93" s="329"/>
      <c r="K93" s="329"/>
      <c r="L93" s="329"/>
      <c r="M93" s="329"/>
      <c r="N93" s="329"/>
      <c r="O93" s="329"/>
    </row>
    <row r="94" spans="1:15" x14ac:dyDescent="0.2">
      <c r="C94" s="34" t="s">
        <v>141</v>
      </c>
      <c r="D94" s="111"/>
      <c r="E94" s="111"/>
      <c r="F94" s="111"/>
      <c r="G94" s="111"/>
      <c r="H94" s="112"/>
      <c r="I94" s="30"/>
      <c r="J94" s="30"/>
      <c r="K94" s="30"/>
      <c r="L94" s="30"/>
      <c r="M94" s="31"/>
      <c r="N94" s="30"/>
      <c r="O94" s="31"/>
    </row>
    <row r="95" spans="1:15" ht="30" customHeight="1" x14ac:dyDescent="0.2">
      <c r="C95" s="314" t="s">
        <v>130</v>
      </c>
      <c r="D95" s="314"/>
      <c r="E95" s="314"/>
      <c r="F95" s="314"/>
      <c r="G95" s="314"/>
      <c r="H95" s="314"/>
      <c r="I95" s="314"/>
      <c r="J95" s="314"/>
      <c r="K95" s="314"/>
      <c r="L95" s="314"/>
    </row>
    <row r="96" spans="1:15" s="23" customFormat="1" x14ac:dyDescent="0.2">
      <c r="C96" s="320" t="s">
        <v>123</v>
      </c>
      <c r="D96" s="320"/>
      <c r="E96" s="320"/>
      <c r="F96" s="320"/>
      <c r="G96" s="320"/>
      <c r="H96" s="320"/>
      <c r="I96" s="320"/>
      <c r="J96" s="320"/>
      <c r="K96" s="320"/>
      <c r="L96" s="320"/>
      <c r="M96" s="320"/>
      <c r="N96" s="320"/>
      <c r="O96" s="320"/>
    </row>
  </sheetData>
  <mergeCells count="8">
    <mergeCell ref="C96:O96"/>
    <mergeCell ref="C95:L95"/>
    <mergeCell ref="N4:O4"/>
    <mergeCell ref="C93:O93"/>
    <mergeCell ref="C91:O91"/>
    <mergeCell ref="N5:O5"/>
    <mergeCell ref="D4:H5"/>
    <mergeCell ref="I4:M5"/>
  </mergeCells>
  <phoneticPr fontId="0" type="noConversion"/>
  <printOptions horizontalCentered="1"/>
  <pageMargins left="0.7" right="0.7" top="0.75" bottom="0.75" header="0.3" footer="0.3"/>
  <pageSetup scale="58" fitToWidth="2" fitToHeight="2" orientation="landscape" r:id="rId1"/>
  <headerFooter alignWithMargins="0"/>
  <rowBreaks count="1" manualBreakCount="1">
    <brk id="50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Views>
    <sheetView view="pageBreakPreview" zoomScaleNormal="70" zoomScaleSheetLayoutView="100" workbookViewId="0">
      <pane ySplit="7" topLeftCell="A8" activePane="bottomLeft" state="frozen"/>
      <selection activeCell="F1" sqref="F1"/>
      <selection pane="bottomLeft" activeCell="T36" sqref="T36"/>
    </sheetView>
  </sheetViews>
  <sheetFormatPr defaultColWidth="9.28515625" defaultRowHeight="12.75" x14ac:dyDescent="0.2"/>
  <cols>
    <col min="1" max="1" width="2" style="9" customWidth="1"/>
    <col min="2" max="2" width="6.28515625" style="9" customWidth="1"/>
    <col min="3" max="3" width="55.7109375" style="9" customWidth="1"/>
    <col min="4" max="4" width="11.42578125" style="22" customWidth="1"/>
    <col min="5" max="7" width="11.28515625" style="9" customWidth="1"/>
    <col min="8" max="8" width="11.28515625" style="11" customWidth="1"/>
    <col min="9" max="9" width="11.42578125" style="9" bestFit="1" customWidth="1"/>
    <col min="10" max="12" width="10.7109375" style="9" bestFit="1" customWidth="1"/>
    <col min="13" max="13" width="10.7109375" style="11" bestFit="1" customWidth="1"/>
    <col min="14" max="14" width="12.28515625" style="9" customWidth="1"/>
    <col min="15" max="15" width="10.7109375" style="11" customWidth="1"/>
    <col min="16" max="17" width="10" style="9" bestFit="1" customWidth="1"/>
    <col min="18" max="16384" width="9.28515625" style="9"/>
  </cols>
  <sheetData>
    <row r="1" spans="1:17" s="7" customFormat="1" ht="18" x14ac:dyDescent="0.25">
      <c r="A1" s="43" t="s">
        <v>29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7" s="7" customFormat="1" ht="18" x14ac:dyDescent="0.25">
      <c r="A2" s="45" t="str">
        <f>Resident!A2</f>
        <v>FY 2023 Cost of Attendance Estimate*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7" s="7" customFormat="1" ht="18.75" thickBot="1" x14ac:dyDescent="0.3">
      <c r="A3" s="44" t="s">
        <v>79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7" s="4" customFormat="1" ht="15.75" x14ac:dyDescent="0.25">
      <c r="A4" s="91"/>
      <c r="B4" s="92"/>
      <c r="C4" s="280"/>
      <c r="D4" s="321" t="str">
        <f>Resident!D4</f>
        <v xml:space="preserve">FY 2022 Cost of Attendance Estimate </v>
      </c>
      <c r="E4" s="322"/>
      <c r="F4" s="322"/>
      <c r="G4" s="322"/>
      <c r="H4" s="323"/>
      <c r="I4" s="321" t="str">
        <f>Resident!I4</f>
        <v xml:space="preserve">FY 2023 Cost of Attendance Estimate </v>
      </c>
      <c r="J4" s="322"/>
      <c r="K4" s="322"/>
      <c r="L4" s="322"/>
      <c r="M4" s="323"/>
      <c r="N4" s="327" t="s">
        <v>1</v>
      </c>
      <c r="O4" s="328"/>
    </row>
    <row r="5" spans="1:17" s="4" customFormat="1" ht="12.75" customHeight="1" thickBot="1" x14ac:dyDescent="0.3">
      <c r="A5" s="93"/>
      <c r="B5" s="94"/>
      <c r="C5" s="279"/>
      <c r="D5" s="324"/>
      <c r="E5" s="325"/>
      <c r="F5" s="325"/>
      <c r="G5" s="325"/>
      <c r="H5" s="326"/>
      <c r="I5" s="324"/>
      <c r="J5" s="325"/>
      <c r="K5" s="325"/>
      <c r="L5" s="325"/>
      <c r="M5" s="326"/>
      <c r="N5" s="330" t="s">
        <v>16</v>
      </c>
      <c r="O5" s="331"/>
    </row>
    <row r="6" spans="1:17" s="4" customFormat="1" ht="15.75" customHeight="1" x14ac:dyDescent="0.25">
      <c r="A6" s="93"/>
      <c r="B6" s="94"/>
      <c r="C6" s="279"/>
      <c r="D6" s="271" t="str">
        <f>Resident!D6</f>
        <v xml:space="preserve">FY 2022  </v>
      </c>
      <c r="E6" s="299" t="str">
        <f>Resident!E6</f>
        <v xml:space="preserve">FY 2022  </v>
      </c>
      <c r="F6" s="299" t="str">
        <f>Resident!F6</f>
        <v xml:space="preserve">FY 2022  </v>
      </c>
      <c r="G6" s="299" t="str">
        <f>Resident!G6</f>
        <v xml:space="preserve">FY 2022  </v>
      </c>
      <c r="H6" s="299" t="str">
        <f>Resident!H6</f>
        <v xml:space="preserve">FY 2022  </v>
      </c>
      <c r="I6" s="299" t="str">
        <f>Resident!I6</f>
        <v xml:space="preserve">FY 2023 </v>
      </c>
      <c r="J6" s="299" t="str">
        <f>Resident!J6</f>
        <v xml:space="preserve">FY 2023 </v>
      </c>
      <c r="K6" s="299" t="str">
        <f>Resident!K6</f>
        <v xml:space="preserve">FY 2023 </v>
      </c>
      <c r="L6" s="299" t="str">
        <f>Resident!L6</f>
        <v xml:space="preserve">FY 2023 </v>
      </c>
      <c r="M6" s="299" t="str">
        <f>Resident!M6</f>
        <v xml:space="preserve">FY 2023 </v>
      </c>
      <c r="N6" s="95" t="s">
        <v>13</v>
      </c>
      <c r="O6" s="96" t="s">
        <v>14</v>
      </c>
    </row>
    <row r="7" spans="1:17" s="4" customFormat="1" ht="18" thickBot="1" x14ac:dyDescent="0.3">
      <c r="A7" s="97" t="s">
        <v>0</v>
      </c>
      <c r="B7" s="98"/>
      <c r="C7" s="275"/>
      <c r="D7" s="272" t="s">
        <v>63</v>
      </c>
      <c r="E7" s="256" t="s">
        <v>64</v>
      </c>
      <c r="F7" s="256" t="s">
        <v>65</v>
      </c>
      <c r="G7" s="256" t="s">
        <v>66</v>
      </c>
      <c r="H7" s="257" t="s">
        <v>15</v>
      </c>
      <c r="I7" s="256" t="s">
        <v>63</v>
      </c>
      <c r="J7" s="256" t="s">
        <v>64</v>
      </c>
      <c r="K7" s="256" t="s">
        <v>65</v>
      </c>
      <c r="L7" s="256" t="s">
        <v>66</v>
      </c>
      <c r="M7" s="257" t="s">
        <v>15</v>
      </c>
      <c r="N7" s="95" t="s">
        <v>1</v>
      </c>
      <c r="O7" s="99" t="s">
        <v>1</v>
      </c>
    </row>
    <row r="8" spans="1:17" s="157" customFormat="1" ht="15.75" thickBot="1" x14ac:dyDescent="0.3">
      <c r="A8" s="55" t="s">
        <v>11</v>
      </c>
      <c r="B8" s="56"/>
      <c r="C8" s="121"/>
      <c r="D8" s="57"/>
      <c r="E8" s="56"/>
      <c r="F8" s="56"/>
      <c r="G8" s="56"/>
      <c r="H8" s="58"/>
      <c r="I8" s="57"/>
      <c r="J8" s="56"/>
      <c r="K8" s="56"/>
      <c r="L8" s="56"/>
      <c r="M8" s="58"/>
      <c r="N8" s="56"/>
      <c r="O8" s="58"/>
    </row>
    <row r="9" spans="1:17" s="157" customFormat="1" ht="15.75" customHeight="1" x14ac:dyDescent="0.2">
      <c r="A9" s="61"/>
      <c r="B9" s="60" t="s">
        <v>104</v>
      </c>
      <c r="C9" s="126"/>
      <c r="D9" s="82"/>
      <c r="E9" s="62"/>
      <c r="F9" s="62"/>
      <c r="G9" s="62"/>
      <c r="H9" s="63"/>
      <c r="I9" s="82"/>
      <c r="J9" s="62"/>
      <c r="K9" s="62"/>
      <c r="L9" s="62"/>
      <c r="M9" s="63"/>
      <c r="N9" s="62"/>
      <c r="O9" s="63"/>
    </row>
    <row r="10" spans="1:17" s="157" customFormat="1" ht="15.75" customHeight="1" x14ac:dyDescent="0.2">
      <c r="A10" s="59"/>
      <c r="B10" s="60"/>
      <c r="C10" s="122" t="s">
        <v>137</v>
      </c>
      <c r="D10" s="156">
        <v>37642</v>
      </c>
      <c r="E10" s="134">
        <v>1766.3400000000001</v>
      </c>
      <c r="F10" s="290">
        <v>15676</v>
      </c>
      <c r="G10" s="135">
        <v>7310</v>
      </c>
      <c r="H10" s="66">
        <f>SUM(D10:G10)</f>
        <v>62394.34</v>
      </c>
      <c r="I10" s="156">
        <v>38770</v>
      </c>
      <c r="J10" s="134">
        <v>1586.3400000000001</v>
      </c>
      <c r="K10" s="290">
        <f>Resident!$K$10</f>
        <v>16146</v>
      </c>
      <c r="L10" s="135">
        <f>7796</f>
        <v>7796</v>
      </c>
      <c r="M10" s="66">
        <f>SUM(I10:L10)</f>
        <v>64298.34</v>
      </c>
      <c r="N10" s="131">
        <f>M10-H10</f>
        <v>1904</v>
      </c>
      <c r="O10" s="207">
        <f>N10/H10</f>
        <v>3.0515588433181601E-2</v>
      </c>
      <c r="P10" s="250"/>
      <c r="Q10" s="250"/>
    </row>
    <row r="11" spans="1:17" s="157" customFormat="1" ht="15.75" customHeight="1" x14ac:dyDescent="0.2">
      <c r="A11" s="59"/>
      <c r="B11" s="60"/>
      <c r="C11" s="122" t="s">
        <v>136</v>
      </c>
      <c r="D11" s="156">
        <v>39388</v>
      </c>
      <c r="E11" s="134">
        <v>1766.3400000000001</v>
      </c>
      <c r="F11" s="290">
        <v>15676</v>
      </c>
      <c r="G11" s="135">
        <v>7310</v>
      </c>
      <c r="H11" s="66">
        <f>SUM(D11:G11)</f>
        <v>64140.34</v>
      </c>
      <c r="I11" s="156">
        <v>40568</v>
      </c>
      <c r="J11" s="134">
        <v>1586.3400000000001</v>
      </c>
      <c r="K11" s="290">
        <f>Resident!$K$10</f>
        <v>16146</v>
      </c>
      <c r="L11" s="135">
        <f>7796</f>
        <v>7796</v>
      </c>
      <c r="M11" s="66">
        <f>SUM(I11:L11)</f>
        <v>66096.34</v>
      </c>
      <c r="N11" s="131">
        <f>M11-H11</f>
        <v>1956</v>
      </c>
      <c r="O11" s="207">
        <f>N11/H11</f>
        <v>3.0495628803963309E-2</v>
      </c>
      <c r="P11" s="250"/>
      <c r="Q11" s="250"/>
    </row>
    <row r="12" spans="1:17" s="157" customFormat="1" ht="15.75" customHeight="1" x14ac:dyDescent="0.2">
      <c r="A12" s="59"/>
      <c r="B12" s="60"/>
      <c r="C12" s="122" t="s">
        <v>135</v>
      </c>
      <c r="D12" s="156">
        <v>40826</v>
      </c>
      <c r="E12" s="134">
        <v>1766.3400000000001</v>
      </c>
      <c r="F12" s="290">
        <v>15676</v>
      </c>
      <c r="G12" s="135">
        <v>7310</v>
      </c>
      <c r="H12" s="66">
        <f>SUM(D12:G12)</f>
        <v>65578.34</v>
      </c>
      <c r="I12" s="156">
        <v>42050</v>
      </c>
      <c r="J12" s="134">
        <v>1586.3400000000001</v>
      </c>
      <c r="K12" s="290">
        <f>Resident!$K$10</f>
        <v>16146</v>
      </c>
      <c r="L12" s="135">
        <f>7796</f>
        <v>7796</v>
      </c>
      <c r="M12" s="66">
        <f>SUM(I12:L12)</f>
        <v>67578.34</v>
      </c>
      <c r="N12" s="131">
        <f>M12-H12</f>
        <v>2000</v>
      </c>
      <c r="O12" s="207">
        <f>N12/H12</f>
        <v>3.0497874755597659E-2</v>
      </c>
      <c r="P12" s="250"/>
      <c r="Q12" s="250"/>
    </row>
    <row r="13" spans="1:17" s="157" customFormat="1" ht="15.75" customHeight="1" x14ac:dyDescent="0.2">
      <c r="A13" s="59"/>
      <c r="B13" s="60"/>
      <c r="C13" s="122" t="s">
        <v>134</v>
      </c>
      <c r="D13" s="156">
        <v>41140</v>
      </c>
      <c r="E13" s="134">
        <v>1766.3400000000001</v>
      </c>
      <c r="F13" s="290">
        <v>15676</v>
      </c>
      <c r="G13" s="135">
        <v>7310</v>
      </c>
      <c r="H13" s="66">
        <f>SUM(D13:G13)</f>
        <v>65892.34</v>
      </c>
      <c r="I13" s="156">
        <v>42374</v>
      </c>
      <c r="J13" s="134">
        <v>1586.3400000000001</v>
      </c>
      <c r="K13" s="290">
        <f>Resident!$K$10</f>
        <v>16146</v>
      </c>
      <c r="L13" s="135">
        <f>7796</f>
        <v>7796</v>
      </c>
      <c r="M13" s="66">
        <f>SUM(I13:L13)</f>
        <v>67902.34</v>
      </c>
      <c r="N13" s="131">
        <f>M13-H13</f>
        <v>2010</v>
      </c>
      <c r="O13" s="207">
        <f>N13/H13</f>
        <v>3.0504304445706436E-2</v>
      </c>
      <c r="P13" s="250"/>
      <c r="Q13" s="250"/>
    </row>
    <row r="14" spans="1:17" s="157" customFormat="1" ht="15.75" customHeight="1" x14ac:dyDescent="0.2">
      <c r="A14" s="59"/>
      <c r="B14" s="60" t="s">
        <v>95</v>
      </c>
      <c r="C14" s="124"/>
      <c r="D14" s="156"/>
      <c r="E14" s="134"/>
      <c r="F14" s="290"/>
      <c r="G14" s="135"/>
      <c r="H14" s="66"/>
      <c r="I14" s="156"/>
      <c r="J14" s="134"/>
      <c r="K14" s="290"/>
      <c r="L14" s="135"/>
      <c r="M14" s="66"/>
      <c r="N14" s="131"/>
      <c r="O14" s="207"/>
      <c r="P14" s="250"/>
      <c r="Q14" s="250"/>
    </row>
    <row r="15" spans="1:17" s="157" customFormat="1" ht="15.75" customHeight="1" x14ac:dyDescent="0.2">
      <c r="A15" s="59"/>
      <c r="B15" s="60"/>
      <c r="C15" s="122" t="s">
        <v>137</v>
      </c>
      <c r="D15" s="156">
        <v>39486</v>
      </c>
      <c r="E15" s="134">
        <v>1766.3400000000001</v>
      </c>
      <c r="F15" s="290">
        <v>15676</v>
      </c>
      <c r="G15" s="135">
        <v>7310</v>
      </c>
      <c r="H15" s="66">
        <f>SUM(D15:G15)</f>
        <v>64238.34</v>
      </c>
      <c r="I15" s="156">
        <v>40670</v>
      </c>
      <c r="J15" s="134">
        <v>1586.3400000000001</v>
      </c>
      <c r="K15" s="290">
        <f>Resident!$K$10</f>
        <v>16146</v>
      </c>
      <c r="L15" s="135">
        <v>7796</v>
      </c>
      <c r="M15" s="66">
        <f>SUM(I15:L15)</f>
        <v>66198.34</v>
      </c>
      <c r="N15" s="131">
        <f>M15-H15</f>
        <v>1960</v>
      </c>
      <c r="O15" s="207">
        <f>N15/H15</f>
        <v>3.0511373737241654E-2</v>
      </c>
      <c r="P15" s="250"/>
      <c r="Q15" s="250"/>
    </row>
    <row r="16" spans="1:17" s="157" customFormat="1" ht="15.75" customHeight="1" x14ac:dyDescent="0.2">
      <c r="A16" s="59"/>
      <c r="B16" s="60"/>
      <c r="C16" s="122" t="s">
        <v>136</v>
      </c>
      <c r="D16" s="156">
        <v>41132</v>
      </c>
      <c r="E16" s="134">
        <v>1766.3400000000001</v>
      </c>
      <c r="F16" s="290">
        <v>15676</v>
      </c>
      <c r="G16" s="135">
        <v>7310</v>
      </c>
      <c r="H16" s="66">
        <f>SUM(D16:G16)</f>
        <v>65884.34</v>
      </c>
      <c r="I16" s="156">
        <v>42364</v>
      </c>
      <c r="J16" s="134">
        <v>1586.3400000000001</v>
      </c>
      <c r="K16" s="290">
        <f>Resident!$K$10</f>
        <v>16146</v>
      </c>
      <c r="L16" s="135">
        <v>7796</v>
      </c>
      <c r="M16" s="66">
        <f>SUM(I16:L16)</f>
        <v>67892.34</v>
      </c>
      <c r="N16" s="131">
        <f>M16-H16</f>
        <v>2008</v>
      </c>
      <c r="O16" s="207">
        <f>N16/H16</f>
        <v>3.0477652200811303E-2</v>
      </c>
      <c r="P16" s="250"/>
      <c r="Q16" s="250"/>
    </row>
    <row r="17" spans="1:17" s="157" customFormat="1" ht="15.75" customHeight="1" x14ac:dyDescent="0.2">
      <c r="A17" s="59"/>
      <c r="B17" s="60"/>
      <c r="C17" s="122" t="s">
        <v>135</v>
      </c>
      <c r="D17" s="156">
        <v>42564</v>
      </c>
      <c r="E17" s="134">
        <v>1766.3400000000001</v>
      </c>
      <c r="F17" s="290">
        <v>15676</v>
      </c>
      <c r="G17" s="135">
        <v>7310</v>
      </c>
      <c r="H17" s="66">
        <f>SUM(D17:G17)</f>
        <v>67316.34</v>
      </c>
      <c r="I17" s="156">
        <v>43840</v>
      </c>
      <c r="J17" s="134">
        <v>1586.3400000000001</v>
      </c>
      <c r="K17" s="290">
        <f>Resident!$K$10</f>
        <v>16146</v>
      </c>
      <c r="L17" s="135">
        <v>7796</v>
      </c>
      <c r="M17" s="66">
        <f>SUM(I17:L17)</f>
        <v>69368.34</v>
      </c>
      <c r="N17" s="131">
        <f>M17-H17</f>
        <v>2052</v>
      </c>
      <c r="O17" s="207">
        <f>N17/H17</f>
        <v>3.0482940694636699E-2</v>
      </c>
      <c r="P17" s="250"/>
      <c r="Q17" s="250"/>
    </row>
    <row r="18" spans="1:17" s="157" customFormat="1" ht="15.75" customHeight="1" x14ac:dyDescent="0.2">
      <c r="A18" s="59"/>
      <c r="B18" s="69"/>
      <c r="C18" s="258" t="s">
        <v>134</v>
      </c>
      <c r="D18" s="106">
        <v>42982</v>
      </c>
      <c r="E18" s="178">
        <v>1766.3400000000001</v>
      </c>
      <c r="F18" s="107">
        <v>15676</v>
      </c>
      <c r="G18" s="179">
        <v>7310</v>
      </c>
      <c r="H18" s="71">
        <f>SUM(D18:G18)</f>
        <v>67734.34</v>
      </c>
      <c r="I18" s="106">
        <v>44270</v>
      </c>
      <c r="J18" s="178">
        <v>1586.3400000000001</v>
      </c>
      <c r="K18" s="107">
        <f>Resident!$K$10</f>
        <v>16146</v>
      </c>
      <c r="L18" s="179">
        <v>7796</v>
      </c>
      <c r="M18" s="71">
        <f>SUM(I18:L18)</f>
        <v>69798.34</v>
      </c>
      <c r="N18" s="107">
        <f>M18-H18</f>
        <v>2064</v>
      </c>
      <c r="O18" s="208">
        <f>N18/H18</f>
        <v>3.0471988063956925E-2</v>
      </c>
      <c r="P18" s="250"/>
      <c r="Q18" s="250"/>
    </row>
    <row r="19" spans="1:17" s="157" customFormat="1" ht="15.75" customHeight="1" x14ac:dyDescent="0.2">
      <c r="A19" s="75"/>
      <c r="B19" s="60" t="s">
        <v>4</v>
      </c>
      <c r="C19" s="122"/>
      <c r="D19" s="156"/>
      <c r="E19" s="134"/>
      <c r="F19" s="290"/>
      <c r="G19" s="135"/>
      <c r="H19" s="66"/>
      <c r="I19" s="156"/>
      <c r="J19" s="134"/>
      <c r="K19" s="131"/>
      <c r="L19" s="135"/>
      <c r="M19" s="66"/>
      <c r="N19" s="131"/>
      <c r="O19" s="207"/>
      <c r="P19" s="250"/>
      <c r="Q19" s="250"/>
    </row>
    <row r="20" spans="1:17" s="157" customFormat="1" ht="15.75" customHeight="1" x14ac:dyDescent="0.2">
      <c r="A20" s="59"/>
      <c r="B20" s="60"/>
      <c r="C20" s="122" t="s">
        <v>19</v>
      </c>
      <c r="D20" s="156">
        <v>32220</v>
      </c>
      <c r="E20" s="134">
        <v>1732.5800000000002</v>
      </c>
      <c r="F20" s="290">
        <v>11844</v>
      </c>
      <c r="G20" s="135">
        <v>7310</v>
      </c>
      <c r="H20" s="66">
        <f>SUM(D20:G20)</f>
        <v>53106.58</v>
      </c>
      <c r="I20" s="156">
        <v>33174</v>
      </c>
      <c r="J20" s="134">
        <v>1552.58</v>
      </c>
      <c r="K20" s="131">
        <f>Resident!K15</f>
        <v>12411</v>
      </c>
      <c r="L20" s="135">
        <v>7796</v>
      </c>
      <c r="M20" s="66">
        <f>SUM(I20:L20)</f>
        <v>54933.58</v>
      </c>
      <c r="N20" s="131">
        <f>M20-H20</f>
        <v>1827</v>
      </c>
      <c r="O20" s="207">
        <f>N20/H20</f>
        <v>3.4402516599637938E-2</v>
      </c>
      <c r="P20" s="250"/>
      <c r="Q20" s="250"/>
    </row>
    <row r="21" spans="1:17" s="157" customFormat="1" ht="15.75" customHeight="1" x14ac:dyDescent="0.2">
      <c r="A21" s="59"/>
      <c r="B21" s="60"/>
      <c r="C21" s="122" t="s">
        <v>43</v>
      </c>
      <c r="D21" s="156">
        <v>33948</v>
      </c>
      <c r="E21" s="134">
        <v>1732.5800000000002</v>
      </c>
      <c r="F21" s="290">
        <v>11844</v>
      </c>
      <c r="G21" s="135">
        <v>7310</v>
      </c>
      <c r="H21" s="66">
        <f t="shared" ref="H21:H28" si="0">SUM(D21:G21)</f>
        <v>54834.58</v>
      </c>
      <c r="I21" s="156">
        <v>34956</v>
      </c>
      <c r="J21" s="134">
        <v>1552.58</v>
      </c>
      <c r="K21" s="290">
        <f>Resident!K16</f>
        <v>12411</v>
      </c>
      <c r="L21" s="135">
        <v>7796</v>
      </c>
      <c r="M21" s="66">
        <f t="shared" ref="M21:M28" si="1">SUM(I21:L21)</f>
        <v>56715.58</v>
      </c>
      <c r="N21" s="131">
        <f t="shared" ref="N21:N28" si="2">M21-H21</f>
        <v>1881</v>
      </c>
      <c r="O21" s="207">
        <f t="shared" ref="O21:O28" si="3">N21/H21</f>
        <v>3.4303171465888863E-2</v>
      </c>
      <c r="P21" s="250"/>
      <c r="Q21" s="250"/>
    </row>
    <row r="22" spans="1:17" s="157" customFormat="1" ht="15.75" customHeight="1" x14ac:dyDescent="0.2">
      <c r="A22" s="59"/>
      <c r="B22" s="60"/>
      <c r="C22" s="124" t="s">
        <v>89</v>
      </c>
      <c r="D22" s="156">
        <v>30552</v>
      </c>
      <c r="E22" s="134">
        <v>1732.5800000000002</v>
      </c>
      <c r="F22" s="290">
        <v>11844</v>
      </c>
      <c r="G22" s="135">
        <v>7310</v>
      </c>
      <c r="H22" s="66">
        <f t="shared" si="0"/>
        <v>51438.58</v>
      </c>
      <c r="I22" s="156">
        <v>31464</v>
      </c>
      <c r="J22" s="134">
        <v>1552.58</v>
      </c>
      <c r="K22" s="290">
        <f>Resident!K17</f>
        <v>12411</v>
      </c>
      <c r="L22" s="135">
        <v>7796</v>
      </c>
      <c r="M22" s="66">
        <f t="shared" si="1"/>
        <v>53223.58</v>
      </c>
      <c r="N22" s="131">
        <f t="shared" si="2"/>
        <v>1785</v>
      </c>
      <c r="O22" s="207">
        <f t="shared" si="3"/>
        <v>3.4701580020288274E-2</v>
      </c>
      <c r="P22" s="250"/>
      <c r="Q22" s="250"/>
    </row>
    <row r="23" spans="1:17" s="157" customFormat="1" ht="15.75" customHeight="1" x14ac:dyDescent="0.2">
      <c r="A23" s="59"/>
      <c r="B23" s="60"/>
      <c r="C23" s="124" t="s">
        <v>45</v>
      </c>
      <c r="D23" s="156">
        <v>35376</v>
      </c>
      <c r="E23" s="134">
        <v>1732.5800000000002</v>
      </c>
      <c r="F23" s="290">
        <v>11844</v>
      </c>
      <c r="G23" s="135">
        <v>7310</v>
      </c>
      <c r="H23" s="66">
        <f t="shared" si="0"/>
        <v>56262.58</v>
      </c>
      <c r="I23" s="156">
        <v>36432</v>
      </c>
      <c r="J23" s="134">
        <v>1552.58</v>
      </c>
      <c r="K23" s="290">
        <f>Resident!K18</f>
        <v>12411</v>
      </c>
      <c r="L23" s="135">
        <v>7796</v>
      </c>
      <c r="M23" s="66">
        <f t="shared" si="1"/>
        <v>58191.58</v>
      </c>
      <c r="N23" s="131">
        <f t="shared" si="2"/>
        <v>1929</v>
      </c>
      <c r="O23" s="207">
        <f t="shared" si="3"/>
        <v>3.4285665534712413E-2</v>
      </c>
      <c r="P23" s="250"/>
      <c r="Q23" s="250"/>
    </row>
    <row r="24" spans="1:17" s="157" customFormat="1" ht="15.75" customHeight="1" x14ac:dyDescent="0.2">
      <c r="A24" s="59"/>
      <c r="B24" s="60"/>
      <c r="C24" s="124" t="s">
        <v>46</v>
      </c>
      <c r="D24" s="156">
        <v>36144</v>
      </c>
      <c r="E24" s="134">
        <v>1732.5800000000002</v>
      </c>
      <c r="F24" s="290">
        <v>11844</v>
      </c>
      <c r="G24" s="135">
        <v>7310</v>
      </c>
      <c r="H24" s="66">
        <f t="shared" si="0"/>
        <v>57030.58</v>
      </c>
      <c r="I24" s="156">
        <v>37224</v>
      </c>
      <c r="J24" s="134">
        <v>1552.58</v>
      </c>
      <c r="K24" s="290">
        <f>Resident!K19</f>
        <v>12411</v>
      </c>
      <c r="L24" s="135">
        <v>7796</v>
      </c>
      <c r="M24" s="66">
        <f t="shared" si="1"/>
        <v>58983.58</v>
      </c>
      <c r="N24" s="131">
        <f t="shared" si="2"/>
        <v>1953</v>
      </c>
      <c r="O24" s="207">
        <f t="shared" si="3"/>
        <v>3.4244785867511777E-2</v>
      </c>
      <c r="P24" s="250"/>
      <c r="Q24" s="250"/>
    </row>
    <row r="25" spans="1:17" s="157" customFormat="1" ht="15.75" customHeight="1" x14ac:dyDescent="0.2">
      <c r="A25" s="59"/>
      <c r="B25" s="60"/>
      <c r="C25" s="122" t="s">
        <v>86</v>
      </c>
      <c r="D25" s="156">
        <v>35136</v>
      </c>
      <c r="E25" s="134">
        <v>1732.5800000000002</v>
      </c>
      <c r="F25" s="290">
        <v>11844</v>
      </c>
      <c r="G25" s="135">
        <v>7310</v>
      </c>
      <c r="H25" s="66">
        <f t="shared" si="0"/>
        <v>56022.58</v>
      </c>
      <c r="I25" s="156">
        <v>36180</v>
      </c>
      <c r="J25" s="134">
        <v>1552.58</v>
      </c>
      <c r="K25" s="290">
        <f>Resident!K20</f>
        <v>12411</v>
      </c>
      <c r="L25" s="135">
        <v>7796</v>
      </c>
      <c r="M25" s="66">
        <f t="shared" si="1"/>
        <v>57939.58</v>
      </c>
      <c r="N25" s="131">
        <f t="shared" si="2"/>
        <v>1917</v>
      </c>
      <c r="O25" s="207">
        <f t="shared" si="3"/>
        <v>3.4218345531391095E-2</v>
      </c>
      <c r="P25" s="250"/>
      <c r="Q25" s="250"/>
    </row>
    <row r="26" spans="1:17" s="157" customFormat="1" ht="15.75" customHeight="1" x14ac:dyDescent="0.2">
      <c r="A26" s="59"/>
      <c r="B26" s="60"/>
      <c r="C26" s="124" t="s">
        <v>87</v>
      </c>
      <c r="D26" s="156">
        <v>35376</v>
      </c>
      <c r="E26" s="134">
        <v>1732.5800000000002</v>
      </c>
      <c r="F26" s="290">
        <v>11844</v>
      </c>
      <c r="G26" s="135">
        <v>7310</v>
      </c>
      <c r="H26" s="66">
        <f t="shared" si="0"/>
        <v>56262.58</v>
      </c>
      <c r="I26" s="156">
        <v>36432</v>
      </c>
      <c r="J26" s="134">
        <v>1552.58</v>
      </c>
      <c r="K26" s="290">
        <f>Resident!K21</f>
        <v>12411</v>
      </c>
      <c r="L26" s="135">
        <v>7796</v>
      </c>
      <c r="M26" s="66">
        <f t="shared" si="1"/>
        <v>58191.58</v>
      </c>
      <c r="N26" s="131">
        <f t="shared" si="2"/>
        <v>1929</v>
      </c>
      <c r="O26" s="207">
        <f t="shared" si="3"/>
        <v>3.4285665534712413E-2</v>
      </c>
      <c r="P26" s="250"/>
      <c r="Q26" s="250"/>
    </row>
    <row r="27" spans="1:17" s="157" customFormat="1" ht="15.75" customHeight="1" x14ac:dyDescent="0.2">
      <c r="A27" s="59"/>
      <c r="B27" s="60"/>
      <c r="C27" s="122" t="s">
        <v>47</v>
      </c>
      <c r="D27" s="156">
        <v>37584</v>
      </c>
      <c r="E27" s="134">
        <v>1732.5800000000002</v>
      </c>
      <c r="F27" s="290">
        <v>11844</v>
      </c>
      <c r="G27" s="135">
        <v>7310</v>
      </c>
      <c r="H27" s="66">
        <f t="shared" si="0"/>
        <v>58470.58</v>
      </c>
      <c r="I27" s="156">
        <v>38700</v>
      </c>
      <c r="J27" s="134">
        <v>1552.58</v>
      </c>
      <c r="K27" s="290">
        <f>Resident!K22</f>
        <v>12411</v>
      </c>
      <c r="L27" s="135">
        <v>7796</v>
      </c>
      <c r="M27" s="66">
        <f t="shared" si="1"/>
        <v>60459.58</v>
      </c>
      <c r="N27" s="131">
        <f t="shared" si="2"/>
        <v>1989</v>
      </c>
      <c r="O27" s="207">
        <f t="shared" si="3"/>
        <v>3.4017107406836056E-2</v>
      </c>
      <c r="P27" s="250"/>
      <c r="Q27" s="250"/>
    </row>
    <row r="28" spans="1:17" s="157" customFormat="1" ht="16.5" customHeight="1" x14ac:dyDescent="0.2">
      <c r="A28" s="59"/>
      <c r="B28" s="60"/>
      <c r="C28" s="124" t="s">
        <v>84</v>
      </c>
      <c r="D28" s="156">
        <v>35016</v>
      </c>
      <c r="E28" s="134">
        <v>1732.5800000000002</v>
      </c>
      <c r="F28" s="290">
        <v>11844</v>
      </c>
      <c r="G28" s="135">
        <v>7310</v>
      </c>
      <c r="H28" s="66">
        <f t="shared" si="0"/>
        <v>55902.58</v>
      </c>
      <c r="I28" s="156">
        <v>36048</v>
      </c>
      <c r="J28" s="134">
        <v>1552.58</v>
      </c>
      <c r="K28" s="290">
        <f>Resident!K23</f>
        <v>12411</v>
      </c>
      <c r="L28" s="135">
        <v>7796</v>
      </c>
      <c r="M28" s="66">
        <f t="shared" si="1"/>
        <v>57807.58</v>
      </c>
      <c r="N28" s="131">
        <f t="shared" si="2"/>
        <v>1905</v>
      </c>
      <c r="O28" s="207">
        <f t="shared" si="3"/>
        <v>3.4077139194648977E-2</v>
      </c>
      <c r="P28" s="250"/>
      <c r="Q28" s="250"/>
    </row>
    <row r="29" spans="1:17" s="157" customFormat="1" ht="16.5" customHeight="1" x14ac:dyDescent="0.2">
      <c r="A29" s="59"/>
      <c r="B29" s="60"/>
      <c r="C29" s="124" t="s">
        <v>85</v>
      </c>
      <c r="D29" s="156">
        <v>32232</v>
      </c>
      <c r="E29" s="134">
        <v>1732.5800000000002</v>
      </c>
      <c r="F29" s="290">
        <v>11844</v>
      </c>
      <c r="G29" s="135">
        <v>7310</v>
      </c>
      <c r="H29" s="66">
        <f t="shared" ref="H29:H39" si="4">SUM(D29:G29)</f>
        <v>53118.58</v>
      </c>
      <c r="I29" s="156">
        <v>33192</v>
      </c>
      <c r="J29" s="134">
        <v>1552.58</v>
      </c>
      <c r="K29" s="290">
        <f>Resident!K24</f>
        <v>12411</v>
      </c>
      <c r="L29" s="135">
        <v>7796</v>
      </c>
      <c r="M29" s="66">
        <f>SUM(I29:L29)</f>
        <v>54951.58</v>
      </c>
      <c r="N29" s="131">
        <f>M29-H29</f>
        <v>1833</v>
      </c>
      <c r="O29" s="207">
        <f>N29/H29</f>
        <v>3.4507699565763994E-2</v>
      </c>
      <c r="P29" s="250"/>
      <c r="Q29" s="250"/>
    </row>
    <row r="30" spans="1:17" s="157" customFormat="1" ht="16.5" customHeight="1" x14ac:dyDescent="0.2">
      <c r="A30" s="59"/>
      <c r="B30" s="60"/>
      <c r="C30" s="124" t="s">
        <v>42</v>
      </c>
      <c r="D30" s="156">
        <v>32580</v>
      </c>
      <c r="E30" s="134">
        <v>1732.5800000000002</v>
      </c>
      <c r="F30" s="290">
        <v>11844</v>
      </c>
      <c r="G30" s="135">
        <v>7310</v>
      </c>
      <c r="H30" s="66">
        <f t="shared" si="4"/>
        <v>53466.58</v>
      </c>
      <c r="I30" s="156">
        <v>33552</v>
      </c>
      <c r="J30" s="134">
        <v>1552.58</v>
      </c>
      <c r="K30" s="290">
        <f>Resident!K25</f>
        <v>12411</v>
      </c>
      <c r="L30" s="135">
        <v>7796</v>
      </c>
      <c r="M30" s="66">
        <f>SUM(I30:L30)</f>
        <v>55311.58</v>
      </c>
      <c r="N30" s="131">
        <f t="shared" ref="N30:N39" si="5">M30-H30</f>
        <v>1845</v>
      </c>
      <c r="O30" s="207">
        <f t="shared" ref="O30:O39" si="6">N30/H30</f>
        <v>3.4507537231668828E-2</v>
      </c>
      <c r="P30" s="250"/>
      <c r="Q30" s="250"/>
    </row>
    <row r="31" spans="1:17" s="157" customFormat="1" ht="16.5" customHeight="1" x14ac:dyDescent="0.2">
      <c r="A31" s="59"/>
      <c r="B31" s="60"/>
      <c r="C31" s="124" t="s">
        <v>138</v>
      </c>
      <c r="D31" s="156">
        <v>27984</v>
      </c>
      <c r="E31" s="134">
        <v>1732.5800000000002</v>
      </c>
      <c r="F31" s="290">
        <v>11844</v>
      </c>
      <c r="G31" s="135">
        <v>7310</v>
      </c>
      <c r="H31" s="66">
        <f t="shared" si="4"/>
        <v>48870.58</v>
      </c>
      <c r="I31" s="156">
        <v>28800</v>
      </c>
      <c r="J31" s="134">
        <v>1552.58</v>
      </c>
      <c r="K31" s="290">
        <f>Resident!K26</f>
        <v>12411</v>
      </c>
      <c r="L31" s="135">
        <v>7796</v>
      </c>
      <c r="M31" s="66">
        <f>SUM(I31:L31)</f>
        <v>50559.58</v>
      </c>
      <c r="N31" s="131">
        <f t="shared" si="5"/>
        <v>1689</v>
      </c>
      <c r="O31" s="207">
        <f t="shared" si="6"/>
        <v>3.4560670243733549E-2</v>
      </c>
      <c r="P31" s="250"/>
      <c r="Q31" s="250"/>
    </row>
    <row r="32" spans="1:17" s="157" customFormat="1" ht="16.5" customHeight="1" x14ac:dyDescent="0.2">
      <c r="A32" s="59"/>
      <c r="B32" s="60"/>
      <c r="C32" s="124" t="s">
        <v>105</v>
      </c>
      <c r="D32" s="156">
        <v>34560</v>
      </c>
      <c r="E32" s="134">
        <v>1732.5800000000002</v>
      </c>
      <c r="F32" s="290">
        <v>11844</v>
      </c>
      <c r="G32" s="135">
        <v>7310</v>
      </c>
      <c r="H32" s="66">
        <f t="shared" si="4"/>
        <v>55446.58</v>
      </c>
      <c r="I32" s="156">
        <v>35592</v>
      </c>
      <c r="J32" s="134">
        <v>1552.58</v>
      </c>
      <c r="K32" s="290">
        <f>Resident!K27</f>
        <v>12411</v>
      </c>
      <c r="L32" s="135">
        <v>7796</v>
      </c>
      <c r="M32" s="66">
        <f t="shared" ref="M32:M39" si="7">SUM(I32:L32)</f>
        <v>57351.58</v>
      </c>
      <c r="N32" s="131">
        <f t="shared" si="5"/>
        <v>1905</v>
      </c>
      <c r="O32" s="207">
        <f t="shared" si="6"/>
        <v>3.4357394089951081E-2</v>
      </c>
      <c r="P32" s="250"/>
      <c r="Q32" s="250"/>
    </row>
    <row r="33" spans="1:17" s="157" customFormat="1" ht="16.5" customHeight="1" x14ac:dyDescent="0.2">
      <c r="A33" s="59"/>
      <c r="B33" s="60"/>
      <c r="C33" s="124" t="s">
        <v>82</v>
      </c>
      <c r="D33" s="156">
        <v>35376</v>
      </c>
      <c r="E33" s="134">
        <v>1732.5800000000002</v>
      </c>
      <c r="F33" s="290">
        <v>11844</v>
      </c>
      <c r="G33" s="135">
        <v>7310</v>
      </c>
      <c r="H33" s="66">
        <f t="shared" si="4"/>
        <v>56262.58</v>
      </c>
      <c r="I33" s="156">
        <v>36432</v>
      </c>
      <c r="J33" s="134">
        <v>1552.58</v>
      </c>
      <c r="K33" s="290">
        <f>Resident!K28</f>
        <v>12411</v>
      </c>
      <c r="L33" s="135">
        <v>7796</v>
      </c>
      <c r="M33" s="66">
        <f>SUM(I33:L33)</f>
        <v>58191.58</v>
      </c>
      <c r="N33" s="131">
        <f t="shared" si="5"/>
        <v>1929</v>
      </c>
      <c r="O33" s="207">
        <f t="shared" si="6"/>
        <v>3.4285665534712413E-2</v>
      </c>
      <c r="P33" s="250"/>
      <c r="Q33" s="250"/>
    </row>
    <row r="34" spans="1:17" s="157" customFormat="1" ht="16.5" customHeight="1" x14ac:dyDescent="0.2">
      <c r="A34" s="59"/>
      <c r="B34" s="60"/>
      <c r="C34" s="124" t="s">
        <v>83</v>
      </c>
      <c r="D34" s="156">
        <v>35376</v>
      </c>
      <c r="E34" s="134">
        <v>1732.5800000000002</v>
      </c>
      <c r="F34" s="290">
        <v>11844</v>
      </c>
      <c r="G34" s="135">
        <v>7310</v>
      </c>
      <c r="H34" s="66">
        <f t="shared" si="4"/>
        <v>56262.58</v>
      </c>
      <c r="I34" s="156">
        <v>36432</v>
      </c>
      <c r="J34" s="134">
        <v>1552.58</v>
      </c>
      <c r="K34" s="290">
        <f>Resident!K29</f>
        <v>12411</v>
      </c>
      <c r="L34" s="135">
        <v>7796</v>
      </c>
      <c r="M34" s="66">
        <f>SUM(I34:L34)</f>
        <v>58191.58</v>
      </c>
      <c r="N34" s="131">
        <f>M34-H34</f>
        <v>1929</v>
      </c>
      <c r="O34" s="207">
        <f t="shared" si="6"/>
        <v>3.4285665534712413E-2</v>
      </c>
      <c r="P34" s="250"/>
      <c r="Q34" s="250"/>
    </row>
    <row r="35" spans="1:17" s="157" customFormat="1" ht="15.75" customHeight="1" x14ac:dyDescent="0.2">
      <c r="A35" s="59"/>
      <c r="B35" s="60"/>
      <c r="C35" s="124" t="s">
        <v>76</v>
      </c>
      <c r="D35" s="156">
        <v>36432</v>
      </c>
      <c r="E35" s="134">
        <v>1732.5800000000002</v>
      </c>
      <c r="F35" s="290">
        <v>11844</v>
      </c>
      <c r="G35" s="135">
        <v>7310</v>
      </c>
      <c r="H35" s="66">
        <f t="shared" si="4"/>
        <v>57318.58</v>
      </c>
      <c r="I35" s="156">
        <v>37512</v>
      </c>
      <c r="J35" s="134">
        <v>1552.58</v>
      </c>
      <c r="K35" s="290">
        <f>K34</f>
        <v>12411</v>
      </c>
      <c r="L35" s="135">
        <v>7796</v>
      </c>
      <c r="M35" s="66">
        <f t="shared" si="7"/>
        <v>59271.58</v>
      </c>
      <c r="N35" s="131">
        <f t="shared" si="5"/>
        <v>1953</v>
      </c>
      <c r="O35" s="207">
        <f t="shared" si="6"/>
        <v>3.4072721271182924E-2</v>
      </c>
      <c r="P35" s="250"/>
      <c r="Q35" s="250"/>
    </row>
    <row r="36" spans="1:17" s="157" customFormat="1" ht="15.75" customHeight="1" x14ac:dyDescent="0.2">
      <c r="A36" s="59"/>
      <c r="B36" s="60"/>
      <c r="C36" s="182" t="s">
        <v>124</v>
      </c>
      <c r="D36" s="156">
        <v>12456</v>
      </c>
      <c r="E36" s="134">
        <v>182</v>
      </c>
      <c r="F36" s="169">
        <v>11844</v>
      </c>
      <c r="G36" s="268">
        <v>7310</v>
      </c>
      <c r="H36" s="289">
        <f t="shared" si="4"/>
        <v>31792</v>
      </c>
      <c r="I36" s="156">
        <v>12456</v>
      </c>
      <c r="J36" s="134">
        <v>182</v>
      </c>
      <c r="K36" s="290">
        <f>Resident!K31</f>
        <v>12411</v>
      </c>
      <c r="L36" s="268">
        <v>7796</v>
      </c>
      <c r="M36" s="66">
        <f t="shared" si="7"/>
        <v>32845</v>
      </c>
      <c r="N36" s="290">
        <f t="shared" si="5"/>
        <v>1053</v>
      </c>
      <c r="O36" s="207">
        <f t="shared" si="6"/>
        <v>3.3121540010065426E-2</v>
      </c>
      <c r="P36" s="250"/>
      <c r="Q36" s="250"/>
    </row>
    <row r="37" spans="1:17" s="157" customFormat="1" ht="15.75" customHeight="1" x14ac:dyDescent="0.2">
      <c r="A37" s="59"/>
      <c r="B37" s="60"/>
      <c r="C37" s="182" t="s">
        <v>127</v>
      </c>
      <c r="D37" s="156">
        <v>19080</v>
      </c>
      <c r="E37" s="134">
        <v>182</v>
      </c>
      <c r="F37" s="169">
        <v>11844</v>
      </c>
      <c r="G37" s="268">
        <v>7310</v>
      </c>
      <c r="H37" s="289">
        <f t="shared" si="4"/>
        <v>38416</v>
      </c>
      <c r="I37" s="156">
        <v>19632</v>
      </c>
      <c r="J37" s="134">
        <v>182</v>
      </c>
      <c r="K37" s="290">
        <f>Resident!K32</f>
        <v>12411</v>
      </c>
      <c r="L37" s="268">
        <v>7796</v>
      </c>
      <c r="M37" s="66">
        <f t="shared" si="7"/>
        <v>40021</v>
      </c>
      <c r="N37" s="290">
        <f t="shared" si="5"/>
        <v>1605</v>
      </c>
      <c r="O37" s="207">
        <f t="shared" si="6"/>
        <v>4.1779466888796336E-2</v>
      </c>
      <c r="P37" s="250"/>
      <c r="Q37" s="250"/>
    </row>
    <row r="38" spans="1:17" s="157" customFormat="1" ht="15.75" customHeight="1" x14ac:dyDescent="0.2">
      <c r="A38" s="59"/>
      <c r="B38" s="60"/>
      <c r="C38" s="182" t="s">
        <v>126</v>
      </c>
      <c r="D38" s="156">
        <v>34368</v>
      </c>
      <c r="E38" s="134">
        <v>182</v>
      </c>
      <c r="F38" s="169">
        <v>11844</v>
      </c>
      <c r="G38" s="268">
        <v>7310</v>
      </c>
      <c r="H38" s="289">
        <f t="shared" si="4"/>
        <v>53704</v>
      </c>
      <c r="I38" s="156">
        <v>35376</v>
      </c>
      <c r="J38" s="134">
        <v>182</v>
      </c>
      <c r="K38" s="290">
        <f>Resident!K33</f>
        <v>12411</v>
      </c>
      <c r="L38" s="268">
        <v>7796</v>
      </c>
      <c r="M38" s="66">
        <f t="shared" si="7"/>
        <v>55765</v>
      </c>
      <c r="N38" s="290">
        <f t="shared" si="5"/>
        <v>2061</v>
      </c>
      <c r="O38" s="207">
        <f t="shared" si="6"/>
        <v>3.8377029643974381E-2</v>
      </c>
      <c r="P38" s="250"/>
      <c r="Q38" s="250"/>
    </row>
    <row r="39" spans="1:17" s="157" customFormat="1" ht="15.75" customHeight="1" thickBot="1" x14ac:dyDescent="0.25">
      <c r="A39" s="77"/>
      <c r="B39" s="78"/>
      <c r="C39" s="244" t="s">
        <v>125</v>
      </c>
      <c r="D39" s="196">
        <v>19080</v>
      </c>
      <c r="E39" s="267">
        <v>182</v>
      </c>
      <c r="F39" s="269">
        <v>11844</v>
      </c>
      <c r="G39" s="270">
        <v>7310</v>
      </c>
      <c r="H39" s="289">
        <f t="shared" si="4"/>
        <v>38416</v>
      </c>
      <c r="I39" s="196">
        <v>19632</v>
      </c>
      <c r="J39" s="267">
        <v>182</v>
      </c>
      <c r="K39" s="290">
        <f>K38</f>
        <v>12411</v>
      </c>
      <c r="L39" s="270">
        <v>7796</v>
      </c>
      <c r="M39" s="79">
        <f t="shared" si="7"/>
        <v>40021</v>
      </c>
      <c r="N39" s="290">
        <f t="shared" si="5"/>
        <v>1605</v>
      </c>
      <c r="O39" s="207">
        <f t="shared" si="6"/>
        <v>4.1779466888796336E-2</v>
      </c>
      <c r="P39" s="250"/>
      <c r="Q39" s="250"/>
    </row>
    <row r="40" spans="1:17" s="157" customFormat="1" ht="15.75" thickBot="1" x14ac:dyDescent="0.3">
      <c r="A40" s="55" t="s">
        <v>5</v>
      </c>
      <c r="B40" s="56"/>
      <c r="C40" s="56"/>
      <c r="D40" s="187"/>
      <c r="E40" s="138"/>
      <c r="F40" s="186"/>
      <c r="G40" s="138"/>
      <c r="H40" s="73"/>
      <c r="I40" s="187"/>
      <c r="J40" s="138"/>
      <c r="K40" s="186"/>
      <c r="L40" s="138"/>
      <c r="M40" s="73"/>
      <c r="N40" s="187"/>
      <c r="O40" s="210"/>
      <c r="P40" s="250"/>
      <c r="Q40" s="250"/>
    </row>
    <row r="41" spans="1:17" s="157" customFormat="1" ht="15.75" customHeight="1" x14ac:dyDescent="0.2">
      <c r="A41" s="59"/>
      <c r="B41" s="60" t="s">
        <v>2</v>
      </c>
      <c r="C41" s="60"/>
      <c r="D41" s="192"/>
      <c r="E41" s="135"/>
      <c r="F41" s="190"/>
      <c r="G41" s="191"/>
      <c r="H41" s="74"/>
      <c r="I41" s="192"/>
      <c r="J41" s="135"/>
      <c r="K41" s="190"/>
      <c r="L41" s="191"/>
      <c r="M41" s="74"/>
      <c r="N41" s="192"/>
      <c r="O41" s="211"/>
      <c r="P41" s="250"/>
      <c r="Q41" s="250"/>
    </row>
    <row r="42" spans="1:17" s="157" customFormat="1" ht="15.75" customHeight="1" x14ac:dyDescent="0.2">
      <c r="A42" s="59"/>
      <c r="B42" s="60"/>
      <c r="C42" s="60" t="s">
        <v>24</v>
      </c>
      <c r="D42" s="156">
        <v>24690</v>
      </c>
      <c r="E42" s="252">
        <v>1641.7</v>
      </c>
      <c r="F42" s="290">
        <f>Resident!F36</f>
        <v>12678</v>
      </c>
      <c r="G42" s="290">
        <v>7310</v>
      </c>
      <c r="H42" s="66">
        <f>SUM(D42:G42)</f>
        <v>46319.7</v>
      </c>
      <c r="I42" s="156">
        <v>25670</v>
      </c>
      <c r="J42" s="252">
        <v>1488.54</v>
      </c>
      <c r="K42" s="290">
        <f>Resident!K36</f>
        <v>13098</v>
      </c>
      <c r="L42" s="131">
        <v>7796</v>
      </c>
      <c r="M42" s="66">
        <f>SUM(I42:L42)</f>
        <v>48052.54</v>
      </c>
      <c r="N42" s="156">
        <f>M42-H42</f>
        <v>1732.8400000000038</v>
      </c>
      <c r="O42" s="207">
        <f>N42/H42</f>
        <v>3.7410432278274772E-2</v>
      </c>
      <c r="P42" s="250"/>
      <c r="Q42" s="250"/>
    </row>
    <row r="43" spans="1:17" s="157" customFormat="1" ht="15.75" customHeight="1" x14ac:dyDescent="0.2">
      <c r="A43" s="59"/>
      <c r="B43" s="60"/>
      <c r="C43" s="60" t="s">
        <v>48</v>
      </c>
      <c r="D43" s="156">
        <v>25740</v>
      </c>
      <c r="E43" s="252">
        <v>1641.7</v>
      </c>
      <c r="F43" s="290">
        <f>Resident!F37</f>
        <v>12678</v>
      </c>
      <c r="G43" s="290">
        <v>7310</v>
      </c>
      <c r="H43" s="66">
        <f>SUM(D43:G43)</f>
        <v>47369.7</v>
      </c>
      <c r="I43" s="156">
        <v>26752</v>
      </c>
      <c r="J43" s="252">
        <v>1488.54</v>
      </c>
      <c r="K43" s="290">
        <f>Resident!K37</f>
        <v>12858</v>
      </c>
      <c r="L43" s="131">
        <v>7796</v>
      </c>
      <c r="M43" s="66">
        <f>SUM(I43:L43)</f>
        <v>48894.54</v>
      </c>
      <c r="N43" s="156">
        <f>M43-H43</f>
        <v>1524.8400000000038</v>
      </c>
      <c r="O43" s="207">
        <f>N43/H43</f>
        <v>3.2190197531333405E-2</v>
      </c>
      <c r="P43" s="250"/>
      <c r="Q43" s="250"/>
    </row>
    <row r="44" spans="1:17" s="157" customFormat="1" ht="15.75" customHeight="1" thickBot="1" x14ac:dyDescent="0.25">
      <c r="A44" s="59"/>
      <c r="B44" s="60"/>
      <c r="C44" s="60" t="s">
        <v>62</v>
      </c>
      <c r="D44" s="156">
        <v>26640</v>
      </c>
      <c r="E44" s="253">
        <v>1641.7</v>
      </c>
      <c r="F44" s="290">
        <f>Resident!F38</f>
        <v>12678</v>
      </c>
      <c r="G44" s="290">
        <v>7310</v>
      </c>
      <c r="H44" s="66">
        <f>SUM(D44:G44)</f>
        <v>48269.7</v>
      </c>
      <c r="I44" s="156">
        <v>27680</v>
      </c>
      <c r="J44" s="253">
        <v>1488.54</v>
      </c>
      <c r="K44" s="290">
        <f>Resident!K38</f>
        <v>12858</v>
      </c>
      <c r="L44" s="131">
        <v>7796</v>
      </c>
      <c r="M44" s="66">
        <f>SUM(I44:L44)</f>
        <v>49822.54</v>
      </c>
      <c r="N44" s="156">
        <f>M44-H44</f>
        <v>1552.8400000000038</v>
      </c>
      <c r="O44" s="207">
        <f>N44/H44</f>
        <v>3.2170077709204818E-2</v>
      </c>
      <c r="P44" s="250"/>
      <c r="Q44" s="250"/>
    </row>
    <row r="45" spans="1:17" s="157" customFormat="1" ht="15.75" customHeight="1" x14ac:dyDescent="0.2">
      <c r="A45" s="61"/>
      <c r="B45" s="62" t="s">
        <v>4</v>
      </c>
      <c r="C45" s="62"/>
      <c r="D45" s="197"/>
      <c r="E45" s="254"/>
      <c r="F45" s="152"/>
      <c r="G45" s="152"/>
      <c r="H45" s="147"/>
      <c r="I45" s="197"/>
      <c r="J45" s="254"/>
      <c r="K45" s="152"/>
      <c r="L45" s="152"/>
      <c r="M45" s="147"/>
      <c r="N45" s="197"/>
      <c r="O45" s="203"/>
      <c r="P45" s="250"/>
      <c r="Q45" s="250"/>
    </row>
    <row r="46" spans="1:17" s="157" customFormat="1" ht="15.75" customHeight="1" x14ac:dyDescent="0.2">
      <c r="A46" s="59"/>
      <c r="B46" s="60"/>
      <c r="C46" s="60" t="s">
        <v>57</v>
      </c>
      <c r="D46" s="156">
        <v>28680</v>
      </c>
      <c r="E46" s="252">
        <v>1471.3</v>
      </c>
      <c r="F46" s="290">
        <v>11844</v>
      </c>
      <c r="G46" s="290">
        <v>7310</v>
      </c>
      <c r="H46" s="66">
        <f>SUM(D46:G46)</f>
        <v>49305.3</v>
      </c>
      <c r="I46" s="156">
        <v>29732</v>
      </c>
      <c r="J46" s="252">
        <v>1357.08</v>
      </c>
      <c r="K46" s="131">
        <f>Resident!K41</f>
        <v>12411</v>
      </c>
      <c r="L46" s="131">
        <v>7796</v>
      </c>
      <c r="M46" s="66">
        <f>SUM(I46:L46)</f>
        <v>51296.08</v>
      </c>
      <c r="N46" s="156">
        <f>M46-H46</f>
        <v>1990.7799999999988</v>
      </c>
      <c r="O46" s="207">
        <f>N46/H46</f>
        <v>4.0376592374450591E-2</v>
      </c>
      <c r="P46" s="250"/>
      <c r="Q46" s="250"/>
    </row>
    <row r="47" spans="1:17" s="157" customFormat="1" ht="15.75" customHeight="1" x14ac:dyDescent="0.2">
      <c r="A47" s="59"/>
      <c r="B47" s="60"/>
      <c r="C47" s="60" t="s">
        <v>72</v>
      </c>
      <c r="D47" s="156">
        <v>30696</v>
      </c>
      <c r="E47" s="252">
        <v>1471.3</v>
      </c>
      <c r="F47" s="290">
        <v>11844</v>
      </c>
      <c r="G47" s="290">
        <v>7310</v>
      </c>
      <c r="H47" s="66">
        <f>D47+E47+F47+G47</f>
        <v>51321.3</v>
      </c>
      <c r="I47" s="156">
        <v>31808</v>
      </c>
      <c r="J47" s="252">
        <v>1357.08</v>
      </c>
      <c r="K47" s="290">
        <f>Resident!K42</f>
        <v>12411</v>
      </c>
      <c r="L47" s="131">
        <v>7796</v>
      </c>
      <c r="M47" s="66">
        <f>I47+J47+K47+L47</f>
        <v>53372.08</v>
      </c>
      <c r="N47" s="156">
        <f>M47-H47</f>
        <v>2050.7799999999988</v>
      </c>
      <c r="O47" s="207">
        <f>N47/H47</f>
        <v>3.9959626899552403E-2</v>
      </c>
      <c r="P47" s="250"/>
      <c r="Q47" s="250"/>
    </row>
    <row r="48" spans="1:17" s="157" customFormat="1" ht="15.75" customHeight="1" x14ac:dyDescent="0.2">
      <c r="A48" s="59"/>
      <c r="B48" s="60"/>
      <c r="C48" s="60" t="s">
        <v>73</v>
      </c>
      <c r="D48" s="156">
        <v>29520</v>
      </c>
      <c r="E48" s="252">
        <v>1471.3</v>
      </c>
      <c r="F48" s="290">
        <v>11844</v>
      </c>
      <c r="G48" s="290">
        <v>7310</v>
      </c>
      <c r="H48" s="66">
        <f>SUM(D48:G48)</f>
        <v>50145.3</v>
      </c>
      <c r="I48" s="156">
        <v>30598</v>
      </c>
      <c r="J48" s="252">
        <v>1357.08</v>
      </c>
      <c r="K48" s="290">
        <f>Resident!K43</f>
        <v>12411</v>
      </c>
      <c r="L48" s="131">
        <v>7796</v>
      </c>
      <c r="M48" s="66">
        <f>SUM(I48:L48)</f>
        <v>52162.080000000002</v>
      </c>
      <c r="N48" s="156">
        <f>M48-H48</f>
        <v>2016.7799999999988</v>
      </c>
      <c r="O48" s="207">
        <f>N48/H48</f>
        <v>4.0218724386931554E-2</v>
      </c>
      <c r="P48" s="250"/>
      <c r="Q48" s="250"/>
    </row>
    <row r="49" spans="1:17" s="157" customFormat="1" ht="15.75" customHeight="1" thickBot="1" x14ac:dyDescent="0.25">
      <c r="A49" s="77"/>
      <c r="B49" s="78"/>
      <c r="C49" s="78" t="s">
        <v>115</v>
      </c>
      <c r="D49" s="196">
        <v>30696</v>
      </c>
      <c r="E49" s="253">
        <v>1471.3</v>
      </c>
      <c r="F49" s="141">
        <v>11844</v>
      </c>
      <c r="G49" s="141">
        <v>7310</v>
      </c>
      <c r="H49" s="79">
        <f>SUM(D49:G49)</f>
        <v>51321.3</v>
      </c>
      <c r="I49" s="196">
        <v>31808.880000000001</v>
      </c>
      <c r="J49" s="253">
        <v>1357.08</v>
      </c>
      <c r="K49" s="141">
        <f>Resident!K44</f>
        <v>12411</v>
      </c>
      <c r="L49" s="141">
        <v>7796</v>
      </c>
      <c r="M49" s="79">
        <f>SUM(I49:L49)</f>
        <v>53372.959999999999</v>
      </c>
      <c r="N49" s="196">
        <f>M49-H49</f>
        <v>2051.6599999999962</v>
      </c>
      <c r="O49" s="209">
        <f>N49/H49</f>
        <v>3.9976773776190314E-2</v>
      </c>
      <c r="P49" s="250"/>
      <c r="Q49" s="250"/>
    </row>
    <row r="50" spans="1:17" s="157" customFormat="1" ht="15.75" thickBot="1" x14ac:dyDescent="0.3">
      <c r="A50" s="160" t="s">
        <v>68</v>
      </c>
      <c r="B50" s="161"/>
      <c r="C50" s="161"/>
      <c r="D50" s="246"/>
      <c r="E50" s="245"/>
      <c r="F50" s="245"/>
      <c r="G50" s="245"/>
      <c r="H50" s="162"/>
      <c r="I50" s="246"/>
      <c r="J50" s="245"/>
      <c r="K50" s="245"/>
      <c r="L50" s="245"/>
      <c r="M50" s="162"/>
      <c r="N50" s="246"/>
      <c r="O50" s="247"/>
      <c r="P50" s="250"/>
      <c r="Q50" s="250"/>
    </row>
    <row r="51" spans="1:17" s="157" customFormat="1" ht="15.75" customHeight="1" x14ac:dyDescent="0.2">
      <c r="A51" s="61"/>
      <c r="B51" s="62" t="s">
        <v>2</v>
      </c>
      <c r="C51" s="126"/>
      <c r="D51" s="212"/>
      <c r="E51" s="191"/>
      <c r="F51" s="191"/>
      <c r="G51" s="191"/>
      <c r="H51" s="148"/>
      <c r="I51" s="212"/>
      <c r="J51" s="191"/>
      <c r="K51" s="191"/>
      <c r="L51" s="191"/>
      <c r="M51" s="148"/>
      <c r="N51" s="212"/>
      <c r="O51" s="206"/>
      <c r="P51" s="250"/>
      <c r="Q51" s="250"/>
    </row>
    <row r="52" spans="1:17" s="157" customFormat="1" ht="15.75" customHeight="1" x14ac:dyDescent="0.2">
      <c r="A52" s="59"/>
      <c r="B52" s="60"/>
      <c r="C52" s="124" t="s">
        <v>74</v>
      </c>
      <c r="D52" s="156">
        <v>31440</v>
      </c>
      <c r="E52" s="290">
        <v>1379.8400000000001</v>
      </c>
      <c r="F52" s="290">
        <v>11844</v>
      </c>
      <c r="G52" s="290">
        <v>7310</v>
      </c>
      <c r="H52" s="66">
        <f>SUM(D52:G52)</f>
        <v>51973.84</v>
      </c>
      <c r="I52" s="156">
        <v>32490</v>
      </c>
      <c r="J52" s="131">
        <v>970.4</v>
      </c>
      <c r="K52" s="290">
        <f>Resident!$K$48</f>
        <v>14000</v>
      </c>
      <c r="L52" s="131">
        <v>7796</v>
      </c>
      <c r="M52" s="66">
        <f t="shared" ref="M52:M67" si="8">SUM(I52:L52)</f>
        <v>55256.4</v>
      </c>
      <c r="N52" s="156">
        <f>M52-H52</f>
        <v>3282.5600000000049</v>
      </c>
      <c r="O52" s="207">
        <f>N52/H52</f>
        <v>6.3157927141808359E-2</v>
      </c>
      <c r="P52" s="250"/>
      <c r="Q52" s="250"/>
    </row>
    <row r="53" spans="1:17" s="157" customFormat="1" ht="15.75" customHeight="1" x14ac:dyDescent="0.2">
      <c r="A53" s="59"/>
      <c r="B53" s="60"/>
      <c r="C53" s="124" t="s">
        <v>108</v>
      </c>
      <c r="D53" s="156">
        <v>32940</v>
      </c>
      <c r="E53" s="290">
        <v>1379.8400000000001</v>
      </c>
      <c r="F53" s="290">
        <v>11844</v>
      </c>
      <c r="G53" s="290">
        <v>7310</v>
      </c>
      <c r="H53" s="66">
        <f>SUM(D53:G53)</f>
        <v>53473.84</v>
      </c>
      <c r="I53" s="156">
        <v>33990</v>
      </c>
      <c r="J53" s="131">
        <v>970.4</v>
      </c>
      <c r="K53" s="290">
        <f>Resident!$K$48</f>
        <v>14000</v>
      </c>
      <c r="L53" s="131">
        <v>7796</v>
      </c>
      <c r="M53" s="66">
        <f t="shared" si="8"/>
        <v>56756.4</v>
      </c>
      <c r="N53" s="156">
        <f>M53-H53</f>
        <v>3282.5600000000049</v>
      </c>
      <c r="O53" s="207">
        <f>N53/H53</f>
        <v>6.1386277851001633E-2</v>
      </c>
      <c r="P53" s="250"/>
      <c r="Q53" s="250"/>
    </row>
    <row r="54" spans="1:17" s="157" customFormat="1" ht="15.75" customHeight="1" x14ac:dyDescent="0.2">
      <c r="A54" s="59"/>
      <c r="B54" s="69"/>
      <c r="C54" s="123" t="s">
        <v>80</v>
      </c>
      <c r="D54" s="106">
        <v>34050</v>
      </c>
      <c r="E54" s="107">
        <v>1379.8400000000001</v>
      </c>
      <c r="F54" s="107">
        <v>11844</v>
      </c>
      <c r="G54" s="107">
        <v>7310</v>
      </c>
      <c r="H54" s="71">
        <f>SUM(D54:G54)</f>
        <v>54583.839999999997</v>
      </c>
      <c r="I54" s="106">
        <v>35160</v>
      </c>
      <c r="J54" s="107">
        <v>970.4</v>
      </c>
      <c r="K54" s="107">
        <f>Resident!$K$48</f>
        <v>14000</v>
      </c>
      <c r="L54" s="107">
        <v>7796</v>
      </c>
      <c r="M54" s="71">
        <f t="shared" si="8"/>
        <v>57926.400000000001</v>
      </c>
      <c r="N54" s="106">
        <f>M54-H54</f>
        <v>3342.5600000000049</v>
      </c>
      <c r="O54" s="208">
        <f>N54/H54</f>
        <v>6.1237172027471962E-2</v>
      </c>
      <c r="P54" s="250"/>
      <c r="Q54" s="250"/>
    </row>
    <row r="55" spans="1:17" s="157" customFormat="1" ht="15.75" customHeight="1" x14ac:dyDescent="0.2">
      <c r="A55" s="75"/>
      <c r="B55" s="60" t="s">
        <v>107</v>
      </c>
      <c r="C55" s="122"/>
      <c r="D55" s="192"/>
      <c r="E55" s="135"/>
      <c r="F55" s="135"/>
      <c r="G55" s="135"/>
      <c r="H55" s="74"/>
      <c r="I55" s="192"/>
      <c r="J55" s="135"/>
      <c r="K55" s="135"/>
      <c r="L55" s="135"/>
      <c r="M55" s="74"/>
      <c r="N55" s="192"/>
      <c r="O55" s="211"/>
      <c r="P55" s="250"/>
      <c r="Q55" s="250"/>
    </row>
    <row r="56" spans="1:17" s="157" customFormat="1" ht="15.75" customHeight="1" x14ac:dyDescent="0.2">
      <c r="A56" s="59"/>
      <c r="B56" s="60"/>
      <c r="C56" s="124" t="s">
        <v>74</v>
      </c>
      <c r="D56" s="156">
        <v>33000</v>
      </c>
      <c r="E56" s="290">
        <v>1379.8400000000001</v>
      </c>
      <c r="F56" s="290">
        <v>11844</v>
      </c>
      <c r="G56" s="290">
        <v>7310</v>
      </c>
      <c r="H56" s="66">
        <f>SUM(D56:G56)</f>
        <v>53533.84</v>
      </c>
      <c r="I56" s="156">
        <v>34110</v>
      </c>
      <c r="J56" s="131">
        <v>970.4</v>
      </c>
      <c r="K56" s="290">
        <f>Resident!$K$48</f>
        <v>14000</v>
      </c>
      <c r="L56" s="131">
        <v>7796</v>
      </c>
      <c r="M56" s="66">
        <f>SUM(I56:L56)</f>
        <v>56876.4</v>
      </c>
      <c r="N56" s="156">
        <f>M56-H56</f>
        <v>3342.5600000000049</v>
      </c>
      <c r="O56" s="207">
        <f>N56/H56</f>
        <v>6.243826334893976E-2</v>
      </c>
      <c r="P56" s="250"/>
      <c r="Q56" s="250"/>
    </row>
    <row r="57" spans="1:17" s="157" customFormat="1" ht="15.75" customHeight="1" x14ac:dyDescent="0.2">
      <c r="A57" s="59"/>
      <c r="B57" s="60"/>
      <c r="C57" s="124" t="s">
        <v>108</v>
      </c>
      <c r="D57" s="156">
        <v>34500</v>
      </c>
      <c r="E57" s="290">
        <v>1379.8400000000001</v>
      </c>
      <c r="F57" s="290">
        <v>11844</v>
      </c>
      <c r="G57" s="290">
        <v>7310</v>
      </c>
      <c r="H57" s="66">
        <f>SUM(D57:G57)</f>
        <v>55033.84</v>
      </c>
      <c r="I57" s="156">
        <v>35610</v>
      </c>
      <c r="J57" s="131">
        <v>970.4</v>
      </c>
      <c r="K57" s="290">
        <f>Resident!$K$48</f>
        <v>14000</v>
      </c>
      <c r="L57" s="131">
        <v>7796</v>
      </c>
      <c r="M57" s="66">
        <f>SUM(I57:L57)</f>
        <v>58376.4</v>
      </c>
      <c r="N57" s="156">
        <f>M57-H57</f>
        <v>3342.5600000000049</v>
      </c>
      <c r="O57" s="207">
        <f>N57/H57</f>
        <v>6.0736448701380917E-2</v>
      </c>
      <c r="P57" s="250"/>
      <c r="Q57" s="250"/>
    </row>
    <row r="58" spans="1:17" s="157" customFormat="1" ht="15.75" customHeight="1" thickBot="1" x14ac:dyDescent="0.25">
      <c r="A58" s="77"/>
      <c r="B58" s="78"/>
      <c r="C58" s="129" t="s">
        <v>80</v>
      </c>
      <c r="D58" s="196">
        <v>35760</v>
      </c>
      <c r="E58" s="141">
        <v>1379.8400000000001</v>
      </c>
      <c r="F58" s="141">
        <v>11844</v>
      </c>
      <c r="G58" s="141">
        <v>7310</v>
      </c>
      <c r="H58" s="79">
        <f>SUM(D58:G58)</f>
        <v>56293.84</v>
      </c>
      <c r="I58" s="196">
        <v>36930</v>
      </c>
      <c r="J58" s="141">
        <v>970.4</v>
      </c>
      <c r="K58" s="141">
        <f>Resident!$K$48</f>
        <v>14000</v>
      </c>
      <c r="L58" s="141">
        <v>7796</v>
      </c>
      <c r="M58" s="79">
        <f>SUM(I58:L58)</f>
        <v>59696.4</v>
      </c>
      <c r="N58" s="196">
        <f>M58-H58</f>
        <v>3402.5600000000049</v>
      </c>
      <c r="O58" s="209">
        <f>N58/H58</f>
        <v>6.0442847743198989E-2</v>
      </c>
      <c r="P58" s="250"/>
      <c r="Q58" s="250"/>
    </row>
    <row r="59" spans="1:17" s="288" customFormat="1" ht="15.75" thickBot="1" x14ac:dyDescent="0.3">
      <c r="A59" s="160" t="s">
        <v>68</v>
      </c>
      <c r="B59" s="161"/>
      <c r="C59" s="161"/>
      <c r="D59" s="246"/>
      <c r="E59" s="245"/>
      <c r="F59" s="245"/>
      <c r="G59" s="245"/>
      <c r="H59" s="162"/>
      <c r="I59" s="246"/>
      <c r="J59" s="245"/>
      <c r="K59" s="245"/>
      <c r="L59" s="245"/>
      <c r="M59" s="162"/>
      <c r="N59" s="246"/>
      <c r="O59" s="247"/>
      <c r="P59" s="250"/>
      <c r="Q59" s="250"/>
    </row>
    <row r="60" spans="1:17" s="157" customFormat="1" ht="15.75" customHeight="1" x14ac:dyDescent="0.2">
      <c r="A60" s="286"/>
      <c r="B60" s="287" t="s">
        <v>4</v>
      </c>
      <c r="C60" s="124"/>
      <c r="D60" s="156"/>
      <c r="E60" s="290"/>
      <c r="F60" s="290"/>
      <c r="G60" s="290"/>
      <c r="H60" s="289"/>
      <c r="I60" s="156"/>
      <c r="J60" s="290"/>
      <c r="K60" s="290"/>
      <c r="L60" s="290"/>
      <c r="M60" s="289"/>
      <c r="N60" s="156"/>
      <c r="O60" s="207"/>
      <c r="P60" s="250"/>
      <c r="Q60" s="250"/>
    </row>
    <row r="61" spans="1:17" s="157" customFormat="1" ht="15.75" customHeight="1" x14ac:dyDescent="0.2">
      <c r="A61" s="59"/>
      <c r="B61" s="60"/>
      <c r="C61" s="124" t="s">
        <v>7</v>
      </c>
      <c r="D61" s="156">
        <v>31032</v>
      </c>
      <c r="E61" s="250">
        <f>Resident!E53</f>
        <v>1223.8400000000001</v>
      </c>
      <c r="F61" s="290">
        <v>11844</v>
      </c>
      <c r="G61" s="290">
        <v>7310</v>
      </c>
      <c r="H61" s="66">
        <f t="shared" ref="H61:H67" si="9">SUM(D61:G61)</f>
        <v>51409.84</v>
      </c>
      <c r="I61" s="156">
        <v>31992</v>
      </c>
      <c r="J61" s="250">
        <v>898.4</v>
      </c>
      <c r="K61" s="131">
        <f>K46</f>
        <v>12411</v>
      </c>
      <c r="L61" s="131">
        <v>7796</v>
      </c>
      <c r="M61" s="66">
        <f t="shared" si="8"/>
        <v>53097.4</v>
      </c>
      <c r="N61" s="156">
        <f t="shared" ref="N61:N67" si="10">M61-H61</f>
        <v>1687.5600000000049</v>
      </c>
      <c r="O61" s="207">
        <f t="shared" ref="O61:O67" si="11">N61/H61</f>
        <v>3.2825622487835111E-2</v>
      </c>
      <c r="P61" s="250"/>
      <c r="Q61" s="250"/>
    </row>
    <row r="62" spans="1:17" s="157" customFormat="1" ht="15.75" customHeight="1" x14ac:dyDescent="0.2">
      <c r="A62" s="59"/>
      <c r="B62" s="60"/>
      <c r="C62" s="124" t="s">
        <v>8</v>
      </c>
      <c r="D62" s="156">
        <v>31032</v>
      </c>
      <c r="E62" s="250">
        <v>1223.8400000000001</v>
      </c>
      <c r="F62" s="290">
        <v>11844</v>
      </c>
      <c r="G62" s="290">
        <v>7310</v>
      </c>
      <c r="H62" s="66">
        <f t="shared" si="9"/>
        <v>51409.84</v>
      </c>
      <c r="I62" s="156">
        <v>31992</v>
      </c>
      <c r="J62" s="250">
        <v>898.4</v>
      </c>
      <c r="K62" s="290">
        <f>K47</f>
        <v>12411</v>
      </c>
      <c r="L62" s="131">
        <v>7796</v>
      </c>
      <c r="M62" s="66">
        <f t="shared" si="8"/>
        <v>53097.4</v>
      </c>
      <c r="N62" s="156">
        <f t="shared" si="10"/>
        <v>1687.5600000000049</v>
      </c>
      <c r="O62" s="207">
        <f t="shared" si="11"/>
        <v>3.2825622487835111E-2</v>
      </c>
      <c r="P62" s="250"/>
      <c r="Q62" s="250"/>
    </row>
    <row r="63" spans="1:17" s="157" customFormat="1" ht="15.75" customHeight="1" x14ac:dyDescent="0.2">
      <c r="A63" s="59"/>
      <c r="B63" s="60"/>
      <c r="C63" s="124" t="s">
        <v>109</v>
      </c>
      <c r="D63" s="156">
        <v>33984</v>
      </c>
      <c r="E63" s="250">
        <v>1223.8400000000001</v>
      </c>
      <c r="F63" s="290">
        <v>11844</v>
      </c>
      <c r="G63" s="290">
        <v>7310</v>
      </c>
      <c r="H63" s="66">
        <f t="shared" si="9"/>
        <v>54361.84</v>
      </c>
      <c r="I63" s="156">
        <v>34944</v>
      </c>
      <c r="J63" s="250">
        <v>898.4</v>
      </c>
      <c r="K63" s="290">
        <f>K48</f>
        <v>12411</v>
      </c>
      <c r="L63" s="131">
        <v>7796</v>
      </c>
      <c r="M63" s="66">
        <f t="shared" si="8"/>
        <v>56049.4</v>
      </c>
      <c r="N63" s="156">
        <f t="shared" si="10"/>
        <v>1687.5600000000049</v>
      </c>
      <c r="O63" s="207">
        <f t="shared" si="11"/>
        <v>3.1043099350573953E-2</v>
      </c>
      <c r="P63" s="250"/>
      <c r="Q63" s="250"/>
    </row>
    <row r="64" spans="1:17" s="157" customFormat="1" ht="15.75" customHeight="1" x14ac:dyDescent="0.2">
      <c r="A64" s="59"/>
      <c r="B64" s="60"/>
      <c r="C64" s="124" t="s">
        <v>22</v>
      </c>
      <c r="D64" s="156">
        <v>31032</v>
      </c>
      <c r="E64" s="250">
        <v>1223.8400000000001</v>
      </c>
      <c r="F64" s="290">
        <v>11844</v>
      </c>
      <c r="G64" s="290">
        <v>7310</v>
      </c>
      <c r="H64" s="66">
        <f t="shared" si="9"/>
        <v>51409.84</v>
      </c>
      <c r="I64" s="156">
        <v>31992</v>
      </c>
      <c r="J64" s="250">
        <v>898.4</v>
      </c>
      <c r="K64" s="290">
        <f>K49</f>
        <v>12411</v>
      </c>
      <c r="L64" s="131">
        <v>7796</v>
      </c>
      <c r="M64" s="66">
        <f t="shared" si="8"/>
        <v>53097.4</v>
      </c>
      <c r="N64" s="156">
        <f t="shared" si="10"/>
        <v>1687.5600000000049</v>
      </c>
      <c r="O64" s="207">
        <f t="shared" si="11"/>
        <v>3.2825622487835111E-2</v>
      </c>
      <c r="P64" s="250"/>
      <c r="Q64" s="250"/>
    </row>
    <row r="65" spans="1:19" s="157" customFormat="1" ht="15.75" customHeight="1" x14ac:dyDescent="0.2">
      <c r="A65" s="59"/>
      <c r="B65" s="60"/>
      <c r="C65" s="124" t="s">
        <v>9</v>
      </c>
      <c r="D65" s="156">
        <v>31032</v>
      </c>
      <c r="E65" s="250">
        <v>1223.8400000000001</v>
      </c>
      <c r="F65" s="290">
        <v>11844</v>
      </c>
      <c r="G65" s="290">
        <v>7310</v>
      </c>
      <c r="H65" s="66">
        <f t="shared" si="9"/>
        <v>51409.84</v>
      </c>
      <c r="I65" s="156">
        <v>31992</v>
      </c>
      <c r="J65" s="250">
        <v>898.4</v>
      </c>
      <c r="K65" s="290">
        <f>K61</f>
        <v>12411</v>
      </c>
      <c r="L65" s="131">
        <v>7796</v>
      </c>
      <c r="M65" s="66">
        <f t="shared" si="8"/>
        <v>53097.4</v>
      </c>
      <c r="N65" s="156">
        <f t="shared" si="10"/>
        <v>1687.5600000000049</v>
      </c>
      <c r="O65" s="207">
        <f t="shared" si="11"/>
        <v>3.2825622487835111E-2</v>
      </c>
      <c r="P65" s="250"/>
      <c r="Q65" s="250"/>
    </row>
    <row r="66" spans="1:19" s="157" customFormat="1" ht="15.75" customHeight="1" x14ac:dyDescent="0.2">
      <c r="A66" s="59"/>
      <c r="B66" s="60"/>
      <c r="C66" s="124" t="s">
        <v>6</v>
      </c>
      <c r="D66" s="156">
        <v>31032</v>
      </c>
      <c r="E66" s="250">
        <v>1223.8400000000001</v>
      </c>
      <c r="F66" s="290">
        <v>11844</v>
      </c>
      <c r="G66" s="290">
        <v>7310</v>
      </c>
      <c r="H66" s="66">
        <f t="shared" si="9"/>
        <v>51409.84</v>
      </c>
      <c r="I66" s="156">
        <v>31992</v>
      </c>
      <c r="J66" s="250">
        <v>898.4</v>
      </c>
      <c r="K66" s="290">
        <f>K62</f>
        <v>12411</v>
      </c>
      <c r="L66" s="131">
        <v>7796</v>
      </c>
      <c r="M66" s="66">
        <f t="shared" si="8"/>
        <v>53097.4</v>
      </c>
      <c r="N66" s="156">
        <f t="shared" si="10"/>
        <v>1687.5600000000049</v>
      </c>
      <c r="O66" s="207">
        <f t="shared" si="11"/>
        <v>3.2825622487835111E-2</v>
      </c>
      <c r="P66" s="250"/>
      <c r="Q66" s="250"/>
    </row>
    <row r="67" spans="1:19" s="157" customFormat="1" ht="15.75" customHeight="1" thickBot="1" x14ac:dyDescent="0.25">
      <c r="A67" s="77"/>
      <c r="B67" s="78"/>
      <c r="C67" s="129" t="s">
        <v>3</v>
      </c>
      <c r="D67" s="196">
        <v>33984</v>
      </c>
      <c r="E67" s="250">
        <v>1223.8400000000001</v>
      </c>
      <c r="F67" s="290">
        <v>11844</v>
      </c>
      <c r="G67" s="141">
        <v>7310</v>
      </c>
      <c r="H67" s="66">
        <f t="shared" si="9"/>
        <v>54361.84</v>
      </c>
      <c r="I67" s="196">
        <v>34944</v>
      </c>
      <c r="J67" s="250">
        <v>898.4</v>
      </c>
      <c r="K67" s="290">
        <f>K64</f>
        <v>12411</v>
      </c>
      <c r="L67" s="141">
        <v>7796</v>
      </c>
      <c r="M67" s="66">
        <f t="shared" si="8"/>
        <v>56049.4</v>
      </c>
      <c r="N67" s="196">
        <f t="shared" si="10"/>
        <v>1687.5600000000049</v>
      </c>
      <c r="O67" s="209">
        <f t="shared" si="11"/>
        <v>3.1043099350573953E-2</v>
      </c>
      <c r="P67" s="250"/>
      <c r="Q67" s="250"/>
    </row>
    <row r="68" spans="1:19" s="157" customFormat="1" ht="18" thickBot="1" x14ac:dyDescent="0.3">
      <c r="A68" s="55" t="s">
        <v>103</v>
      </c>
      <c r="B68" s="56"/>
      <c r="C68" s="56"/>
      <c r="D68" s="187"/>
      <c r="E68" s="138"/>
      <c r="F68" s="138"/>
      <c r="G68" s="138"/>
      <c r="H68" s="73"/>
      <c r="I68" s="187"/>
      <c r="J68" s="138"/>
      <c r="K68" s="138"/>
      <c r="L68" s="138"/>
      <c r="M68" s="73"/>
      <c r="N68" s="187"/>
      <c r="O68" s="210"/>
      <c r="P68" s="250"/>
      <c r="Q68" s="250"/>
    </row>
    <row r="69" spans="1:19" s="149" customFormat="1" ht="15.75" customHeight="1" x14ac:dyDescent="0.2">
      <c r="A69" s="84"/>
      <c r="B69" s="72" t="s">
        <v>2</v>
      </c>
      <c r="C69" s="72"/>
      <c r="D69" s="201"/>
      <c r="E69" s="202"/>
      <c r="F69" s="202"/>
      <c r="G69" s="152"/>
      <c r="H69" s="203"/>
      <c r="I69" s="201"/>
      <c r="J69" s="202"/>
      <c r="K69" s="202"/>
      <c r="L69" s="152"/>
      <c r="M69" s="203"/>
      <c r="N69" s="201"/>
      <c r="O69" s="203"/>
      <c r="P69" s="250"/>
      <c r="Q69" s="250"/>
    </row>
    <row r="70" spans="1:19" s="149" customFormat="1" ht="15.75" customHeight="1" x14ac:dyDescent="0.2">
      <c r="A70" s="84"/>
      <c r="B70" s="72"/>
      <c r="C70" s="72" t="s">
        <v>12</v>
      </c>
      <c r="D70" s="156">
        <v>28799.999999999996</v>
      </c>
      <c r="E70" s="290">
        <v>223.4</v>
      </c>
      <c r="F70" s="290">
        <v>11844</v>
      </c>
      <c r="G70" s="290">
        <v>7310</v>
      </c>
      <c r="H70" s="66">
        <f>SUM(D70:G70)</f>
        <v>48177.399999999994</v>
      </c>
      <c r="I70" s="156">
        <v>29400</v>
      </c>
      <c r="J70" s="131">
        <v>223.4</v>
      </c>
      <c r="K70" s="131">
        <f>$K$67</f>
        <v>12411</v>
      </c>
      <c r="L70" s="131">
        <v>7796</v>
      </c>
      <c r="M70" s="66">
        <f t="shared" ref="M70:M87" si="12">SUM(I70:L70)</f>
        <v>49830.400000000001</v>
      </c>
      <c r="N70" s="156">
        <f>M70-H70</f>
        <v>1653.0000000000073</v>
      </c>
      <c r="O70" s="207">
        <f>N70/H70</f>
        <v>3.4310693395658703E-2</v>
      </c>
      <c r="P70" s="250"/>
      <c r="Q70" s="250"/>
    </row>
    <row r="71" spans="1:19" s="149" customFormat="1" ht="15.75" customHeight="1" x14ac:dyDescent="0.2">
      <c r="A71" s="84"/>
      <c r="B71" s="72"/>
      <c r="C71" s="70" t="s">
        <v>35</v>
      </c>
      <c r="D71" s="106">
        <v>15900</v>
      </c>
      <c r="E71" s="107">
        <v>223.4</v>
      </c>
      <c r="F71" s="107">
        <v>11844</v>
      </c>
      <c r="G71" s="107">
        <v>7310</v>
      </c>
      <c r="H71" s="71">
        <f>SUM(D71:G71)</f>
        <v>35277.4</v>
      </c>
      <c r="I71" s="106">
        <v>16200</v>
      </c>
      <c r="J71" s="107">
        <v>223.4</v>
      </c>
      <c r="K71" s="107">
        <v>12411</v>
      </c>
      <c r="L71" s="107">
        <v>7796</v>
      </c>
      <c r="M71" s="71">
        <f t="shared" si="12"/>
        <v>36630.400000000001</v>
      </c>
      <c r="N71" s="106">
        <f>M71-H71</f>
        <v>1353</v>
      </c>
      <c r="O71" s="208">
        <f>N71/H71</f>
        <v>3.8353166616587386E-2</v>
      </c>
      <c r="P71" s="250"/>
      <c r="Q71" s="250"/>
    </row>
    <row r="72" spans="1:19" s="149" customFormat="1" ht="15.75" customHeight="1" x14ac:dyDescent="0.2">
      <c r="A72" s="87"/>
      <c r="B72" s="88" t="s">
        <v>4</v>
      </c>
      <c r="C72" s="88"/>
      <c r="D72" s="156"/>
      <c r="E72" s="290"/>
      <c r="F72" s="290"/>
      <c r="G72" s="290"/>
      <c r="H72" s="66"/>
      <c r="I72" s="156"/>
      <c r="J72" s="131"/>
      <c r="K72" s="131"/>
      <c r="L72" s="131"/>
      <c r="M72" s="66"/>
      <c r="N72" s="156"/>
      <c r="O72" s="207"/>
      <c r="P72" s="250"/>
      <c r="Q72" s="250"/>
    </row>
    <row r="73" spans="1:19" s="149" customFormat="1" ht="15.75" customHeight="1" x14ac:dyDescent="0.2">
      <c r="A73" s="84"/>
      <c r="B73" s="72"/>
      <c r="C73" s="72" t="s">
        <v>49</v>
      </c>
      <c r="D73" s="156">
        <v>30648.000000000007</v>
      </c>
      <c r="E73" s="290">
        <v>223.4</v>
      </c>
      <c r="F73" s="290">
        <v>11844</v>
      </c>
      <c r="G73" s="290">
        <v>7310</v>
      </c>
      <c r="H73" s="66">
        <f t="shared" ref="H73:H88" si="13">SUM(D73:G73)</f>
        <v>50025.400000000009</v>
      </c>
      <c r="I73" s="156">
        <v>31560</v>
      </c>
      <c r="J73" s="131">
        <v>223.4</v>
      </c>
      <c r="K73" s="131">
        <v>12411</v>
      </c>
      <c r="L73" s="131">
        <v>7796</v>
      </c>
      <c r="M73" s="66">
        <f t="shared" si="12"/>
        <v>51990.400000000001</v>
      </c>
      <c r="N73" s="156">
        <f t="shared" ref="N73:N87" si="14">M73-H73</f>
        <v>1964.9999999999927</v>
      </c>
      <c r="O73" s="207">
        <f t="shared" ref="O73:O87" si="15">N73/H73</f>
        <v>3.9280045736765572E-2</v>
      </c>
      <c r="P73" s="250"/>
      <c r="Q73" s="250"/>
      <c r="R73" s="250"/>
    </row>
    <row r="74" spans="1:19" s="149" customFormat="1" ht="15.75" customHeight="1" x14ac:dyDescent="0.2">
      <c r="A74" s="84"/>
      <c r="B74" s="72"/>
      <c r="C74" s="72" t="s">
        <v>50</v>
      </c>
      <c r="D74" s="156">
        <v>24504</v>
      </c>
      <c r="E74" s="290">
        <v>223.4</v>
      </c>
      <c r="F74" s="290">
        <v>11844</v>
      </c>
      <c r="G74" s="290">
        <v>7310</v>
      </c>
      <c r="H74" s="66">
        <f t="shared" si="13"/>
        <v>43881.4</v>
      </c>
      <c r="I74" s="156">
        <v>25248</v>
      </c>
      <c r="J74" s="131">
        <v>223.4</v>
      </c>
      <c r="K74" s="131">
        <v>12411</v>
      </c>
      <c r="L74" s="131">
        <v>7796</v>
      </c>
      <c r="M74" s="66">
        <f t="shared" si="12"/>
        <v>45678.400000000001</v>
      </c>
      <c r="N74" s="156">
        <f>M74-H74</f>
        <v>1797</v>
      </c>
      <c r="O74" s="207">
        <f>N74/H74</f>
        <v>4.0951291435551283E-2</v>
      </c>
      <c r="P74" s="250"/>
      <c r="Q74" s="250"/>
    </row>
    <row r="75" spans="1:19" s="149" customFormat="1" ht="15.75" customHeight="1" x14ac:dyDescent="0.2">
      <c r="A75" s="84"/>
      <c r="B75" s="72"/>
      <c r="C75" s="124" t="s">
        <v>51</v>
      </c>
      <c r="D75" s="156">
        <v>33096</v>
      </c>
      <c r="E75" s="290">
        <v>223.4</v>
      </c>
      <c r="F75" s="290">
        <v>11844</v>
      </c>
      <c r="G75" s="290">
        <v>7310</v>
      </c>
      <c r="H75" s="66">
        <f t="shared" si="13"/>
        <v>52473.4</v>
      </c>
      <c r="I75" s="156">
        <v>34416</v>
      </c>
      <c r="J75" s="131">
        <v>223.4</v>
      </c>
      <c r="K75" s="131">
        <v>12411</v>
      </c>
      <c r="L75" s="131">
        <v>7796</v>
      </c>
      <c r="M75" s="66">
        <f t="shared" si="12"/>
        <v>54846.400000000001</v>
      </c>
      <c r="N75" s="156">
        <f>M75-H75</f>
        <v>2373</v>
      </c>
      <c r="O75" s="207">
        <f>N75/H75</f>
        <v>4.5222912942557564E-2</v>
      </c>
      <c r="P75" s="250"/>
      <c r="Q75" s="250"/>
      <c r="R75" s="283"/>
      <c r="S75" s="283"/>
    </row>
    <row r="76" spans="1:19" s="149" customFormat="1" ht="15.75" customHeight="1" x14ac:dyDescent="0.2">
      <c r="A76" s="84"/>
      <c r="B76" s="72"/>
      <c r="C76" s="72" t="s">
        <v>30</v>
      </c>
      <c r="D76" s="156">
        <v>32448</v>
      </c>
      <c r="E76" s="290">
        <v>223.4</v>
      </c>
      <c r="F76" s="290">
        <v>11844</v>
      </c>
      <c r="G76" s="290">
        <v>7310</v>
      </c>
      <c r="H76" s="66">
        <f t="shared" si="13"/>
        <v>51825.4</v>
      </c>
      <c r="I76" s="156">
        <f>1379*24</f>
        <v>33096</v>
      </c>
      <c r="J76" s="131">
        <v>223.4</v>
      </c>
      <c r="K76" s="131">
        <v>12411</v>
      </c>
      <c r="L76" s="131">
        <v>7796</v>
      </c>
      <c r="M76" s="66">
        <f t="shared" si="12"/>
        <v>53526.400000000001</v>
      </c>
      <c r="N76" s="156">
        <f t="shared" si="14"/>
        <v>1701</v>
      </c>
      <c r="O76" s="207">
        <f t="shared" si="15"/>
        <v>3.2821743778147394E-2</v>
      </c>
      <c r="P76" s="250"/>
      <c r="Q76" s="250"/>
    </row>
    <row r="77" spans="1:19" s="149" customFormat="1" ht="15.75" customHeight="1" x14ac:dyDescent="0.2">
      <c r="A77" s="84"/>
      <c r="B77" s="72"/>
      <c r="C77" s="72" t="s">
        <v>31</v>
      </c>
      <c r="D77" s="156">
        <v>28560</v>
      </c>
      <c r="E77" s="290">
        <v>223.4</v>
      </c>
      <c r="F77" s="290">
        <v>11844</v>
      </c>
      <c r="G77" s="290">
        <v>7310</v>
      </c>
      <c r="H77" s="66">
        <f t="shared" si="13"/>
        <v>47937.4</v>
      </c>
      <c r="I77" s="156">
        <f>1214*24</f>
        <v>29136</v>
      </c>
      <c r="J77" s="131">
        <v>223.4</v>
      </c>
      <c r="K77" s="131">
        <v>12411</v>
      </c>
      <c r="L77" s="131">
        <v>7796</v>
      </c>
      <c r="M77" s="66">
        <f t="shared" si="12"/>
        <v>49566.400000000001</v>
      </c>
      <c r="N77" s="156">
        <f t="shared" si="14"/>
        <v>1629</v>
      </c>
      <c r="O77" s="207">
        <f t="shared" si="15"/>
        <v>3.3981817954248664E-2</v>
      </c>
      <c r="P77" s="250"/>
      <c r="Q77" s="250"/>
    </row>
    <row r="78" spans="1:19" s="149" customFormat="1" ht="15.75" customHeight="1" x14ac:dyDescent="0.2">
      <c r="A78" s="84"/>
      <c r="B78" s="72"/>
      <c r="C78" s="72" t="s">
        <v>36</v>
      </c>
      <c r="D78" s="156">
        <v>28560</v>
      </c>
      <c r="E78" s="290">
        <v>223.4</v>
      </c>
      <c r="F78" s="290">
        <v>11844</v>
      </c>
      <c r="G78" s="290">
        <v>7310</v>
      </c>
      <c r="H78" s="66">
        <f t="shared" si="13"/>
        <v>47937.4</v>
      </c>
      <c r="I78" s="156">
        <f>1214*24</f>
        <v>29136</v>
      </c>
      <c r="J78" s="131">
        <v>223.4</v>
      </c>
      <c r="K78" s="131">
        <v>12411</v>
      </c>
      <c r="L78" s="131">
        <v>7796</v>
      </c>
      <c r="M78" s="66">
        <f t="shared" si="12"/>
        <v>49566.400000000001</v>
      </c>
      <c r="N78" s="156">
        <f t="shared" si="14"/>
        <v>1629</v>
      </c>
      <c r="O78" s="207">
        <f t="shared" si="15"/>
        <v>3.3981817954248664E-2</v>
      </c>
      <c r="P78" s="250"/>
      <c r="Q78" s="250"/>
    </row>
    <row r="79" spans="1:19" s="149" customFormat="1" ht="15.75" customHeight="1" x14ac:dyDescent="0.2">
      <c r="A79" s="84"/>
      <c r="B79" s="72"/>
      <c r="C79" s="72" t="s">
        <v>37</v>
      </c>
      <c r="D79" s="156">
        <v>33408</v>
      </c>
      <c r="E79" s="290">
        <v>223.4</v>
      </c>
      <c r="F79" s="290">
        <v>11844</v>
      </c>
      <c r="G79" s="290">
        <v>7310</v>
      </c>
      <c r="H79" s="66">
        <f t="shared" si="13"/>
        <v>52785.4</v>
      </c>
      <c r="I79" s="156">
        <f>1379*24</f>
        <v>33096</v>
      </c>
      <c r="J79" s="131">
        <v>223.4</v>
      </c>
      <c r="K79" s="131">
        <v>12411</v>
      </c>
      <c r="L79" s="131">
        <v>7796</v>
      </c>
      <c r="M79" s="66">
        <f t="shared" si="12"/>
        <v>53526.400000000001</v>
      </c>
      <c r="N79" s="156">
        <f t="shared" si="14"/>
        <v>741</v>
      </c>
      <c r="O79" s="207">
        <f t="shared" si="15"/>
        <v>1.403797262121723E-2</v>
      </c>
      <c r="P79" s="250"/>
      <c r="Q79" s="250"/>
    </row>
    <row r="80" spans="1:19" s="149" customFormat="1" ht="15.75" customHeight="1" x14ac:dyDescent="0.2">
      <c r="A80" s="84"/>
      <c r="B80" s="72"/>
      <c r="C80" s="72" t="s">
        <v>20</v>
      </c>
      <c r="D80" s="156">
        <v>31776</v>
      </c>
      <c r="E80" s="290">
        <v>223.4</v>
      </c>
      <c r="F80" s="290">
        <v>11844</v>
      </c>
      <c r="G80" s="290">
        <v>7310</v>
      </c>
      <c r="H80" s="66">
        <f t="shared" si="13"/>
        <v>51153.4</v>
      </c>
      <c r="I80" s="156">
        <v>33360</v>
      </c>
      <c r="J80" s="131">
        <v>223.4</v>
      </c>
      <c r="K80" s="131">
        <v>12411</v>
      </c>
      <c r="L80" s="131">
        <v>7796</v>
      </c>
      <c r="M80" s="66">
        <f t="shared" si="12"/>
        <v>53790.400000000001</v>
      </c>
      <c r="N80" s="156">
        <f t="shared" si="14"/>
        <v>2637</v>
      </c>
      <c r="O80" s="207">
        <f t="shared" si="15"/>
        <v>5.1550825556072516E-2</v>
      </c>
      <c r="P80" s="250"/>
      <c r="Q80" s="250"/>
    </row>
    <row r="81" spans="1:19" s="149" customFormat="1" ht="15.75" customHeight="1" x14ac:dyDescent="0.2">
      <c r="A81" s="84"/>
      <c r="B81" s="72"/>
      <c r="C81" s="72" t="s">
        <v>38</v>
      </c>
      <c r="D81" s="156">
        <v>29640</v>
      </c>
      <c r="E81" s="290">
        <v>223.4</v>
      </c>
      <c r="F81" s="290">
        <v>11844</v>
      </c>
      <c r="G81" s="290">
        <v>7310</v>
      </c>
      <c r="H81" s="66">
        <f t="shared" si="13"/>
        <v>49017.4</v>
      </c>
      <c r="I81" s="156">
        <f>1235*24</f>
        <v>29640</v>
      </c>
      <c r="J81" s="131">
        <v>223.4</v>
      </c>
      <c r="K81" s="131">
        <v>12411</v>
      </c>
      <c r="L81" s="131">
        <v>7796</v>
      </c>
      <c r="M81" s="66">
        <f t="shared" si="12"/>
        <v>50070.400000000001</v>
      </c>
      <c r="N81" s="156">
        <f t="shared" si="14"/>
        <v>1053</v>
      </c>
      <c r="O81" s="207">
        <f t="shared" si="15"/>
        <v>2.1482167556826758E-2</v>
      </c>
      <c r="P81" s="250"/>
      <c r="Q81" s="250"/>
      <c r="R81" s="283"/>
    </row>
    <row r="82" spans="1:19" s="149" customFormat="1" ht="15.75" customHeight="1" x14ac:dyDescent="0.2">
      <c r="A82" s="84"/>
      <c r="B82" s="72"/>
      <c r="C82" s="72" t="s">
        <v>70</v>
      </c>
      <c r="D82" s="156">
        <v>25416.000000000007</v>
      </c>
      <c r="E82" s="290">
        <v>223.4</v>
      </c>
      <c r="F82" s="290">
        <v>11844</v>
      </c>
      <c r="G82" s="290">
        <v>7310</v>
      </c>
      <c r="H82" s="66">
        <f t="shared" si="13"/>
        <v>44793.400000000009</v>
      </c>
      <c r="I82" s="156">
        <v>26160</v>
      </c>
      <c r="J82" s="131">
        <v>223.4</v>
      </c>
      <c r="K82" s="131">
        <v>12411</v>
      </c>
      <c r="L82" s="131">
        <v>7796</v>
      </c>
      <c r="M82" s="66">
        <f t="shared" si="12"/>
        <v>46590.400000000001</v>
      </c>
      <c r="N82" s="156">
        <f t="shared" si="14"/>
        <v>1796.9999999999927</v>
      </c>
      <c r="O82" s="207">
        <f t="shared" si="15"/>
        <v>4.0117517312818235E-2</v>
      </c>
      <c r="P82" s="250"/>
      <c r="Q82" s="250"/>
      <c r="R82" s="283"/>
      <c r="S82" s="283"/>
    </row>
    <row r="83" spans="1:19" s="149" customFormat="1" ht="15.75" customHeight="1" x14ac:dyDescent="0.2">
      <c r="A83" s="84"/>
      <c r="B83" s="72"/>
      <c r="C83" s="72" t="s">
        <v>39</v>
      </c>
      <c r="D83" s="156">
        <v>24768</v>
      </c>
      <c r="E83" s="290">
        <v>223.4</v>
      </c>
      <c r="F83" s="290">
        <v>11844</v>
      </c>
      <c r="G83" s="290">
        <v>7310</v>
      </c>
      <c r="H83" s="66">
        <f t="shared" si="13"/>
        <v>44145.4</v>
      </c>
      <c r="I83" s="156">
        <v>25512</v>
      </c>
      <c r="J83" s="131">
        <v>223.4</v>
      </c>
      <c r="K83" s="131">
        <v>12411</v>
      </c>
      <c r="L83" s="131">
        <v>7796</v>
      </c>
      <c r="M83" s="66">
        <f t="shared" si="12"/>
        <v>45942.400000000001</v>
      </c>
      <c r="N83" s="156">
        <f t="shared" si="14"/>
        <v>1797</v>
      </c>
      <c r="O83" s="207">
        <f t="shared" si="15"/>
        <v>4.0706392965065438E-2</v>
      </c>
      <c r="P83" s="250"/>
      <c r="Q83" s="250"/>
    </row>
    <row r="84" spans="1:19" s="149" customFormat="1" ht="15.75" customHeight="1" x14ac:dyDescent="0.2">
      <c r="A84" s="84"/>
      <c r="B84" s="72"/>
      <c r="C84" s="72" t="s">
        <v>32</v>
      </c>
      <c r="D84" s="156">
        <v>28200</v>
      </c>
      <c r="E84" s="290">
        <v>223.4</v>
      </c>
      <c r="F84" s="290">
        <v>11844</v>
      </c>
      <c r="G84" s="290">
        <v>7310</v>
      </c>
      <c r="H84" s="66">
        <f t="shared" si="13"/>
        <v>47577.4</v>
      </c>
      <c r="I84" s="156">
        <v>28800</v>
      </c>
      <c r="J84" s="131">
        <v>223.4</v>
      </c>
      <c r="K84" s="131">
        <v>12411</v>
      </c>
      <c r="L84" s="131">
        <v>7796</v>
      </c>
      <c r="M84" s="66">
        <f t="shared" si="12"/>
        <v>49230.400000000001</v>
      </c>
      <c r="N84" s="156">
        <f t="shared" si="14"/>
        <v>1653</v>
      </c>
      <c r="O84" s="207">
        <f t="shared" si="15"/>
        <v>3.474338656589053E-2</v>
      </c>
      <c r="P84" s="250"/>
      <c r="Q84" s="250"/>
    </row>
    <row r="85" spans="1:19" s="149" customFormat="1" ht="15.75" customHeight="1" x14ac:dyDescent="0.2">
      <c r="A85" s="84"/>
      <c r="B85" s="72"/>
      <c r="C85" s="72" t="s">
        <v>33</v>
      </c>
      <c r="D85" s="156">
        <v>27960</v>
      </c>
      <c r="E85" s="290">
        <v>223.4</v>
      </c>
      <c r="F85" s="290">
        <v>11844</v>
      </c>
      <c r="G85" s="290">
        <v>7310</v>
      </c>
      <c r="H85" s="66">
        <f t="shared" si="13"/>
        <v>47337.4</v>
      </c>
      <c r="I85" s="156">
        <v>28560</v>
      </c>
      <c r="J85" s="131">
        <v>223.4</v>
      </c>
      <c r="K85" s="131">
        <v>12411</v>
      </c>
      <c r="L85" s="131">
        <v>7796</v>
      </c>
      <c r="M85" s="66">
        <f t="shared" si="12"/>
        <v>48990.400000000001</v>
      </c>
      <c r="N85" s="156">
        <f t="shared" si="14"/>
        <v>1653</v>
      </c>
      <c r="O85" s="207">
        <f t="shared" si="15"/>
        <v>3.491953508219716E-2</v>
      </c>
      <c r="P85" s="250"/>
      <c r="Q85" s="250"/>
    </row>
    <row r="86" spans="1:19" s="149" customFormat="1" ht="15.75" customHeight="1" x14ac:dyDescent="0.2">
      <c r="A86" s="84"/>
      <c r="B86" s="72"/>
      <c r="C86" s="124" t="s">
        <v>88</v>
      </c>
      <c r="D86" s="156">
        <v>46362.75</v>
      </c>
      <c r="E86" s="290">
        <v>223.4</v>
      </c>
      <c r="F86" s="290">
        <v>11844</v>
      </c>
      <c r="G86" s="290">
        <v>7310</v>
      </c>
      <c r="H86" s="66">
        <f t="shared" si="13"/>
        <v>65740.149999999994</v>
      </c>
      <c r="I86" s="156">
        <v>48680.887500000004</v>
      </c>
      <c r="J86" s="131">
        <v>223.4</v>
      </c>
      <c r="K86" s="131">
        <v>12411</v>
      </c>
      <c r="L86" s="131">
        <v>7796</v>
      </c>
      <c r="M86" s="66">
        <f>SUM(I86:L86)</f>
        <v>69111.287500000006</v>
      </c>
      <c r="N86" s="156">
        <f>M86-H86</f>
        <v>3371.1375000000116</v>
      </c>
      <c r="O86" s="207">
        <f>N86/H86</f>
        <v>5.1279735443256702E-2</v>
      </c>
      <c r="P86" s="250"/>
      <c r="Q86" s="250"/>
    </row>
    <row r="87" spans="1:19" s="149" customFormat="1" ht="15.75" customHeight="1" x14ac:dyDescent="0.2">
      <c r="A87" s="84"/>
      <c r="B87" s="72"/>
      <c r="C87" s="72" t="s">
        <v>111</v>
      </c>
      <c r="D87" s="156">
        <f>695*18</f>
        <v>12510</v>
      </c>
      <c r="E87" s="290">
        <v>223.4</v>
      </c>
      <c r="F87" s="290">
        <v>11844</v>
      </c>
      <c r="G87" s="290">
        <v>7310</v>
      </c>
      <c r="H87" s="66">
        <f t="shared" si="13"/>
        <v>31887.4</v>
      </c>
      <c r="I87" s="156">
        <f>695*18</f>
        <v>12510</v>
      </c>
      <c r="J87" s="131">
        <v>223.4</v>
      </c>
      <c r="K87" s="131">
        <v>12411</v>
      </c>
      <c r="L87" s="131">
        <v>7796</v>
      </c>
      <c r="M87" s="66">
        <f t="shared" si="12"/>
        <v>32940.400000000001</v>
      </c>
      <c r="N87" s="156">
        <f t="shared" si="14"/>
        <v>1053</v>
      </c>
      <c r="O87" s="207">
        <f t="shared" si="15"/>
        <v>3.3022447737978008E-2</v>
      </c>
      <c r="P87" s="250"/>
      <c r="Q87" s="250"/>
    </row>
    <row r="88" spans="1:19" s="149" customFormat="1" ht="15.75" customHeight="1" x14ac:dyDescent="0.2">
      <c r="A88" s="84"/>
      <c r="B88" s="72"/>
      <c r="C88" s="72" t="s">
        <v>112</v>
      </c>
      <c r="D88" s="106">
        <f>1240*24</f>
        <v>29760</v>
      </c>
      <c r="E88" s="107">
        <v>223.4</v>
      </c>
      <c r="F88" s="107">
        <v>11844</v>
      </c>
      <c r="G88" s="107">
        <v>7310</v>
      </c>
      <c r="H88" s="71">
        <f t="shared" si="13"/>
        <v>49137.4</v>
      </c>
      <c r="I88" s="106">
        <f>1240*24</f>
        <v>29760</v>
      </c>
      <c r="J88" s="107">
        <v>223.4</v>
      </c>
      <c r="K88" s="107">
        <v>12411</v>
      </c>
      <c r="L88" s="107">
        <v>7796</v>
      </c>
      <c r="M88" s="71">
        <f>SUM(I88:L88)</f>
        <v>50190.400000000001</v>
      </c>
      <c r="N88" s="106">
        <f>M88-H88</f>
        <v>1053</v>
      </c>
      <c r="O88" s="208">
        <f>N88/H88</f>
        <v>2.1429705275411395E-2</v>
      </c>
      <c r="P88" s="250"/>
      <c r="Q88" s="250"/>
    </row>
    <row r="89" spans="1:19" s="149" customFormat="1" ht="15.75" customHeight="1" x14ac:dyDescent="0.2">
      <c r="A89" s="87"/>
      <c r="B89" s="88" t="s">
        <v>10</v>
      </c>
      <c r="C89" s="88"/>
      <c r="D89" s="156"/>
      <c r="E89" s="140"/>
      <c r="F89" s="140"/>
      <c r="G89" s="140"/>
      <c r="H89" s="139"/>
      <c r="I89" s="156"/>
      <c r="J89" s="140"/>
      <c r="K89" s="140"/>
      <c r="L89" s="140"/>
      <c r="M89" s="139"/>
      <c r="N89" s="156"/>
      <c r="O89" s="207"/>
      <c r="P89" s="250"/>
      <c r="Q89" s="250"/>
    </row>
    <row r="90" spans="1:19" s="149" customFormat="1" ht="15.75" customHeight="1" x14ac:dyDescent="0.2">
      <c r="A90" s="84"/>
      <c r="B90" s="72"/>
      <c r="C90" s="72" t="s">
        <v>128</v>
      </c>
      <c r="D90" s="156">
        <v>42390</v>
      </c>
      <c r="E90" s="290">
        <v>25955</v>
      </c>
      <c r="F90" s="290">
        <v>11844</v>
      </c>
      <c r="G90" s="290">
        <v>7310</v>
      </c>
      <c r="H90" s="66">
        <f>SUM(D90:G90)</f>
        <v>87499</v>
      </c>
      <c r="I90" s="156">
        <v>43449.749999999993</v>
      </c>
      <c r="J90" s="131">
        <v>25955</v>
      </c>
      <c r="K90" s="131">
        <v>12411</v>
      </c>
      <c r="L90" s="131">
        <v>7796</v>
      </c>
      <c r="M90" s="66">
        <f>SUM(I90:L90)</f>
        <v>89611.75</v>
      </c>
      <c r="N90" s="156">
        <f>M90-H90</f>
        <v>2112.75</v>
      </c>
      <c r="O90" s="207">
        <f>N90/H90</f>
        <v>2.4145990239888455E-2</v>
      </c>
      <c r="P90" s="250"/>
      <c r="Q90" s="250"/>
    </row>
    <row r="91" spans="1:19" s="149" customFormat="1" ht="15.75" customHeight="1" x14ac:dyDescent="0.2">
      <c r="A91" s="84"/>
      <c r="B91" s="72"/>
      <c r="C91" s="72" t="s">
        <v>52</v>
      </c>
      <c r="D91" s="156">
        <v>41344</v>
      </c>
      <c r="E91" s="290">
        <v>25303</v>
      </c>
      <c r="F91" s="290">
        <v>11844</v>
      </c>
      <c r="G91" s="290">
        <v>7310</v>
      </c>
      <c r="H91" s="66">
        <f>SUM(D91:G91)</f>
        <v>85801</v>
      </c>
      <c r="I91" s="156">
        <v>41344</v>
      </c>
      <c r="J91" s="131">
        <v>25303</v>
      </c>
      <c r="K91" s="131">
        <v>12411</v>
      </c>
      <c r="L91" s="131">
        <v>7796</v>
      </c>
      <c r="M91" s="66">
        <f>SUM(I91:L91)</f>
        <v>86854</v>
      </c>
      <c r="N91" s="156">
        <f>M91-H91</f>
        <v>1053</v>
      </c>
      <c r="O91" s="207">
        <f>N91/H91</f>
        <v>1.227258423561497E-2</v>
      </c>
      <c r="P91" s="250"/>
      <c r="Q91" s="250"/>
    </row>
    <row r="92" spans="1:19" s="149" customFormat="1" ht="15.75" customHeight="1" x14ac:dyDescent="0.2">
      <c r="A92" s="84"/>
      <c r="B92" s="72"/>
      <c r="C92" s="164" t="s">
        <v>27</v>
      </c>
      <c r="D92" s="156">
        <v>28344</v>
      </c>
      <c r="E92" s="290">
        <v>223.4</v>
      </c>
      <c r="F92" s="290">
        <v>11844</v>
      </c>
      <c r="G92" s="290">
        <v>7310</v>
      </c>
      <c r="H92" s="66">
        <f>SUM(D92:G92)</f>
        <v>47721.4</v>
      </c>
      <c r="I92" s="156">
        <v>29760</v>
      </c>
      <c r="J92" s="131">
        <v>223.4</v>
      </c>
      <c r="K92" s="131">
        <v>12411</v>
      </c>
      <c r="L92" s="131">
        <v>7796</v>
      </c>
      <c r="M92" s="66">
        <f>SUM(I92:L92)</f>
        <v>50190.400000000001</v>
      </c>
      <c r="N92" s="156">
        <f>M92-H92</f>
        <v>2469</v>
      </c>
      <c r="O92" s="207">
        <f>N92/H92</f>
        <v>5.1737794783891504E-2</v>
      </c>
      <c r="P92" s="250"/>
      <c r="Q92" s="250"/>
      <c r="R92" s="283"/>
      <c r="S92" s="283"/>
    </row>
    <row r="93" spans="1:19" s="149" customFormat="1" ht="15.75" customHeight="1" x14ac:dyDescent="0.2">
      <c r="A93" s="84"/>
      <c r="B93" s="72"/>
      <c r="C93" s="164" t="s">
        <v>23</v>
      </c>
      <c r="D93" s="156">
        <v>28200</v>
      </c>
      <c r="E93" s="290">
        <v>223.4</v>
      </c>
      <c r="F93" s="290">
        <v>11844</v>
      </c>
      <c r="G93" s="290">
        <v>7310</v>
      </c>
      <c r="H93" s="66">
        <f>SUM(D93:G93)</f>
        <v>47577.4</v>
      </c>
      <c r="I93" s="156">
        <v>28800</v>
      </c>
      <c r="J93" s="131">
        <v>223.4</v>
      </c>
      <c r="K93" s="131">
        <v>12411</v>
      </c>
      <c r="L93" s="131">
        <v>7796</v>
      </c>
      <c r="M93" s="66">
        <f>SUM(I93:L93)</f>
        <v>49230.400000000001</v>
      </c>
      <c r="N93" s="156">
        <f>M93-H93</f>
        <v>1653</v>
      </c>
      <c r="O93" s="207">
        <f>N93/H93</f>
        <v>3.474338656589053E-2</v>
      </c>
      <c r="P93" s="250"/>
      <c r="Q93" s="250"/>
    </row>
    <row r="94" spans="1:19" s="149" customFormat="1" ht="15.75" customHeight="1" thickBot="1" x14ac:dyDescent="0.25">
      <c r="A94" s="89"/>
      <c r="B94" s="90"/>
      <c r="C94" s="165" t="s">
        <v>28</v>
      </c>
      <c r="D94" s="196">
        <f>1719.38*24</f>
        <v>41265.120000000003</v>
      </c>
      <c r="E94" s="141">
        <v>223.4</v>
      </c>
      <c r="F94" s="141">
        <v>11844</v>
      </c>
      <c r="G94" s="141">
        <v>7310</v>
      </c>
      <c r="H94" s="79">
        <f>SUM(D94:G94)</f>
        <v>60642.520000000004</v>
      </c>
      <c r="I94" s="196">
        <f>D94</f>
        <v>41265.120000000003</v>
      </c>
      <c r="J94" s="141">
        <v>223.4</v>
      </c>
      <c r="K94" s="141">
        <v>12411</v>
      </c>
      <c r="L94" s="141">
        <v>7796</v>
      </c>
      <c r="M94" s="79">
        <f>SUM(I94:L94)</f>
        <v>61695.520000000004</v>
      </c>
      <c r="N94" s="196">
        <f>M94-H94</f>
        <v>1053</v>
      </c>
      <c r="O94" s="209">
        <f>N94/H94</f>
        <v>1.7364054132315079E-2</v>
      </c>
      <c r="P94" s="250"/>
      <c r="Q94" s="250"/>
    </row>
    <row r="95" spans="1:19" s="4" customFormat="1" ht="21.75" customHeight="1" x14ac:dyDescent="0.25">
      <c r="A95" s="3"/>
      <c r="B95" s="5" t="s">
        <v>18</v>
      </c>
      <c r="C95" s="3"/>
      <c r="D95" s="17"/>
      <c r="E95" s="2"/>
      <c r="F95" s="2"/>
      <c r="G95" s="2"/>
      <c r="H95" s="2"/>
      <c r="I95" s="17"/>
      <c r="J95" s="2"/>
      <c r="K95" s="2"/>
      <c r="L95" s="2"/>
      <c r="M95" s="2"/>
      <c r="N95" s="2"/>
      <c r="O95" s="2"/>
      <c r="Q95" s="250"/>
    </row>
    <row r="96" spans="1:19" s="22" customFormat="1" ht="15" x14ac:dyDescent="0.2">
      <c r="A96" s="24"/>
      <c r="B96" s="100"/>
      <c r="C96" s="15" t="s">
        <v>56</v>
      </c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Q96" s="149"/>
    </row>
    <row r="97" spans="1:17" s="7" customFormat="1" ht="12" customHeight="1" x14ac:dyDescent="0.2">
      <c r="A97" s="10"/>
      <c r="B97" s="10"/>
      <c r="C97" s="15" t="s">
        <v>41</v>
      </c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9"/>
      <c r="Q97" s="149"/>
    </row>
    <row r="98" spans="1:17" s="7" customFormat="1" ht="14.25" x14ac:dyDescent="0.2">
      <c r="C98" s="333" t="s">
        <v>71</v>
      </c>
      <c r="D98" s="333"/>
      <c r="E98" s="333"/>
      <c r="F98" s="333"/>
      <c r="G98" s="333"/>
      <c r="H98" s="333"/>
      <c r="I98" s="333"/>
      <c r="J98" s="333"/>
      <c r="K98" s="333"/>
      <c r="L98" s="333"/>
      <c r="M98" s="333"/>
      <c r="N98" s="333"/>
      <c r="O98" s="333"/>
      <c r="Q98" s="149"/>
    </row>
    <row r="99" spans="1:17" s="7" customFormat="1" ht="12" customHeight="1" x14ac:dyDescent="0.2">
      <c r="C99" s="33" t="s">
        <v>55</v>
      </c>
      <c r="D99" s="30"/>
      <c r="E99" s="30"/>
      <c r="F99" s="30"/>
      <c r="G99" s="30"/>
      <c r="H99" s="31"/>
      <c r="I99" s="30"/>
      <c r="J99" s="30"/>
      <c r="K99" s="30"/>
      <c r="L99" s="30"/>
      <c r="M99" s="31"/>
      <c r="N99" s="30"/>
      <c r="O99" s="31"/>
      <c r="Q99" s="149"/>
    </row>
    <row r="100" spans="1:17" s="13" customFormat="1" ht="12" customHeight="1" x14ac:dyDescent="0.2">
      <c r="A100" s="14"/>
      <c r="B100" s="14"/>
      <c r="C100" s="332" t="s">
        <v>92</v>
      </c>
      <c r="D100" s="332"/>
      <c r="E100" s="332"/>
      <c r="F100" s="332"/>
      <c r="G100" s="332"/>
      <c r="H100" s="332"/>
      <c r="I100" s="332"/>
      <c r="J100" s="332"/>
      <c r="K100" s="332"/>
      <c r="L100" s="332"/>
      <c r="M100" s="332"/>
      <c r="N100" s="332"/>
      <c r="O100" s="332"/>
      <c r="Q100" s="149"/>
    </row>
    <row r="101" spans="1:17" ht="12" customHeight="1" x14ac:dyDescent="0.2">
      <c r="C101" s="33" t="s">
        <v>140</v>
      </c>
      <c r="D101" s="30"/>
      <c r="E101" s="30"/>
      <c r="F101" s="30"/>
      <c r="G101" s="30"/>
      <c r="H101" s="31"/>
      <c r="I101" s="30"/>
      <c r="J101" s="30"/>
      <c r="K101" s="30"/>
      <c r="L101" s="30"/>
      <c r="M101" s="31"/>
      <c r="N101" s="30"/>
      <c r="O101" s="31"/>
      <c r="Q101" s="149"/>
    </row>
    <row r="102" spans="1:17" ht="14.25" x14ac:dyDescent="0.2">
      <c r="C102" s="251" t="s">
        <v>129</v>
      </c>
      <c r="Q102" s="149"/>
    </row>
    <row r="103" spans="1:17" ht="25.5" customHeight="1" x14ac:dyDescent="0.2">
      <c r="C103" s="334" t="s">
        <v>97</v>
      </c>
      <c r="D103" s="334"/>
      <c r="E103" s="334"/>
      <c r="F103" s="334"/>
      <c r="G103" s="334"/>
      <c r="H103" s="334"/>
      <c r="I103" s="334"/>
      <c r="J103" s="334"/>
      <c r="K103" s="334"/>
      <c r="L103" s="334"/>
      <c r="M103" s="334"/>
      <c r="N103" s="334"/>
      <c r="O103" s="334"/>
      <c r="Q103" s="149"/>
    </row>
    <row r="104" spans="1:17" x14ac:dyDescent="0.2">
      <c r="C104" s="320" t="s">
        <v>123</v>
      </c>
      <c r="D104" s="320"/>
      <c r="E104" s="320"/>
      <c r="F104" s="320"/>
      <c r="G104" s="320"/>
      <c r="H104" s="320"/>
      <c r="I104" s="320"/>
      <c r="J104" s="320"/>
      <c r="K104" s="320"/>
      <c r="L104" s="320"/>
      <c r="M104" s="320"/>
      <c r="N104" s="320"/>
      <c r="O104" s="320"/>
    </row>
  </sheetData>
  <mergeCells count="8">
    <mergeCell ref="C104:O104"/>
    <mergeCell ref="N4:O4"/>
    <mergeCell ref="C100:O100"/>
    <mergeCell ref="C98:O98"/>
    <mergeCell ref="N5:O5"/>
    <mergeCell ref="C103:O103"/>
    <mergeCell ref="D4:H5"/>
    <mergeCell ref="I4:M5"/>
  </mergeCells>
  <phoneticPr fontId="0" type="noConversion"/>
  <printOptions horizontalCentered="1"/>
  <pageMargins left="0.7" right="0.7" top="0.75" bottom="0.75" header="0.3" footer="0.3"/>
  <pageSetup scale="54" fitToWidth="2" fitToHeight="2" orientation="landscape" r:id="rId1"/>
  <headerFooter alignWithMargins="0"/>
  <rowBreaks count="1" manualBreakCount="1">
    <brk id="58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view="pageBreakPreview" zoomScaleNormal="70" zoomScaleSheetLayoutView="100" workbookViewId="0">
      <pane ySplit="7" topLeftCell="A8" activePane="bottomLeft" state="frozen"/>
      <selection activeCell="F1" sqref="F1"/>
      <selection pane="bottomLeft" activeCell="B1" sqref="B1"/>
    </sheetView>
  </sheetViews>
  <sheetFormatPr defaultColWidth="9.28515625" defaultRowHeight="12.75" x14ac:dyDescent="0.2"/>
  <cols>
    <col min="1" max="1" width="2" style="9" customWidth="1"/>
    <col min="2" max="2" width="2.28515625" style="9" customWidth="1"/>
    <col min="3" max="3" width="64.28515625" style="9" customWidth="1"/>
    <col min="4" max="4" width="12.42578125" style="9" bestFit="1" customWidth="1"/>
    <col min="5" max="5" width="12.7109375" style="9" customWidth="1"/>
    <col min="6" max="6" width="13.7109375" style="9" customWidth="1"/>
    <col min="7" max="7" width="14.28515625" style="11" customWidth="1"/>
    <col min="8" max="8" width="13.5703125" style="9" customWidth="1"/>
    <col min="9" max="10" width="10.7109375" style="9" customWidth="1"/>
    <col min="11" max="11" width="10.7109375" style="11" customWidth="1"/>
    <col min="12" max="12" width="10.7109375" style="9" customWidth="1"/>
    <col min="13" max="13" width="10.7109375" style="11" customWidth="1"/>
    <col min="14" max="14" width="11.42578125" style="8" bestFit="1" customWidth="1"/>
    <col min="15" max="15" width="10.7109375" style="8" customWidth="1"/>
    <col min="16" max="17" width="10.7109375" style="9" bestFit="1" customWidth="1"/>
    <col min="18" max="21" width="9.28515625" style="9"/>
    <col min="22" max="22" width="14.7109375" style="9" bestFit="1" customWidth="1"/>
    <col min="23" max="16384" width="9.28515625" style="9"/>
  </cols>
  <sheetData>
    <row r="1" spans="1:15" ht="18" x14ac:dyDescent="0.25">
      <c r="A1" s="43" t="s">
        <v>29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18" x14ac:dyDescent="0.25">
      <c r="A2" s="45" t="str">
        <f>Resident!A2</f>
        <v>FY 2023 Cost of Attendance Estimate*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8.75" thickBot="1" x14ac:dyDescent="0.3">
      <c r="A3" s="44" t="s">
        <v>91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s="1" customFormat="1" ht="15.75" x14ac:dyDescent="0.25">
      <c r="A4" s="91"/>
      <c r="B4" s="92"/>
      <c r="C4" s="92"/>
      <c r="D4" s="321" t="str">
        <f>Resident!D4</f>
        <v xml:space="preserve">FY 2022 Cost of Attendance Estimate </v>
      </c>
      <c r="E4" s="322"/>
      <c r="F4" s="322"/>
      <c r="G4" s="322"/>
      <c r="H4" s="323"/>
      <c r="I4" s="321" t="str">
        <f>Resident!I4</f>
        <v xml:space="preserve">FY 2023 Cost of Attendance Estimate </v>
      </c>
      <c r="J4" s="322"/>
      <c r="K4" s="322"/>
      <c r="L4" s="322"/>
      <c r="M4" s="323"/>
      <c r="N4" s="327" t="s">
        <v>1</v>
      </c>
      <c r="O4" s="328"/>
    </row>
    <row r="5" spans="1:15" s="1" customFormat="1" ht="12.75" customHeight="1" thickBot="1" x14ac:dyDescent="0.3">
      <c r="A5" s="93"/>
      <c r="B5" s="94"/>
      <c r="C5" s="94"/>
      <c r="D5" s="324"/>
      <c r="E5" s="325"/>
      <c r="F5" s="325"/>
      <c r="G5" s="325"/>
      <c r="H5" s="326"/>
      <c r="I5" s="324"/>
      <c r="J5" s="325"/>
      <c r="K5" s="325"/>
      <c r="L5" s="325"/>
      <c r="M5" s="326"/>
      <c r="N5" s="330" t="s">
        <v>16</v>
      </c>
      <c r="O5" s="331"/>
    </row>
    <row r="6" spans="1:15" s="1" customFormat="1" ht="15.75" x14ac:dyDescent="0.25">
      <c r="A6" s="93"/>
      <c r="B6" s="94"/>
      <c r="C6" s="94"/>
      <c r="D6" s="255" t="str">
        <f>Resident!D6</f>
        <v xml:space="preserve">FY 2022  </v>
      </c>
      <c r="E6" s="255" t="str">
        <f>Resident!E6</f>
        <v xml:space="preserve">FY 2022  </v>
      </c>
      <c r="F6" s="255" t="str">
        <f>Resident!F6</f>
        <v xml:space="preserve">FY 2022  </v>
      </c>
      <c r="G6" s="255" t="str">
        <f>Resident!G6</f>
        <v xml:space="preserve">FY 2022  </v>
      </c>
      <c r="H6" s="255" t="str">
        <f>Resident!H6</f>
        <v xml:space="preserve">FY 2022  </v>
      </c>
      <c r="I6" s="255" t="str">
        <f>Resident!I6</f>
        <v xml:space="preserve">FY 2023 </v>
      </c>
      <c r="J6" s="255" t="str">
        <f>Resident!J6</f>
        <v xml:space="preserve">FY 2023 </v>
      </c>
      <c r="K6" s="255" t="str">
        <f>Resident!K6</f>
        <v xml:space="preserve">FY 2023 </v>
      </c>
      <c r="L6" s="255" t="str">
        <f>Resident!L6</f>
        <v xml:space="preserve">FY 2023 </v>
      </c>
      <c r="M6" s="255" t="str">
        <f>Resident!M6</f>
        <v xml:space="preserve">FY 2023 </v>
      </c>
      <c r="N6" s="95" t="s">
        <v>13</v>
      </c>
      <c r="O6" s="96" t="s">
        <v>14</v>
      </c>
    </row>
    <row r="7" spans="1:15" s="1" customFormat="1" ht="18" thickBot="1" x14ac:dyDescent="0.3">
      <c r="A7" s="101" t="s">
        <v>0</v>
      </c>
      <c r="B7" s="102"/>
      <c r="C7" s="98"/>
      <c r="D7" s="256" t="s">
        <v>63</v>
      </c>
      <c r="E7" s="256" t="s">
        <v>64</v>
      </c>
      <c r="F7" s="256" t="s">
        <v>65</v>
      </c>
      <c r="G7" s="256" t="s">
        <v>66</v>
      </c>
      <c r="H7" s="257" t="s">
        <v>15</v>
      </c>
      <c r="I7" s="256" t="s">
        <v>63</v>
      </c>
      <c r="J7" s="256" t="s">
        <v>64</v>
      </c>
      <c r="K7" s="256" t="s">
        <v>65</v>
      </c>
      <c r="L7" s="256" t="s">
        <v>66</v>
      </c>
      <c r="M7" s="257" t="s">
        <v>15</v>
      </c>
      <c r="N7" s="95" t="s">
        <v>1</v>
      </c>
      <c r="O7" s="99" t="s">
        <v>1</v>
      </c>
    </row>
    <row r="8" spans="1:15" s="157" customFormat="1" ht="15.75" thickBot="1" x14ac:dyDescent="0.3">
      <c r="A8" s="55" t="s">
        <v>11</v>
      </c>
      <c r="B8" s="56"/>
      <c r="C8" s="121"/>
      <c r="D8" s="56"/>
      <c r="E8" s="56"/>
      <c r="F8" s="56"/>
      <c r="G8" s="56"/>
      <c r="H8" s="58"/>
      <c r="I8" s="56"/>
      <c r="J8" s="56"/>
      <c r="K8" s="56"/>
      <c r="L8" s="56"/>
      <c r="M8" s="58"/>
      <c r="N8" s="57"/>
      <c r="O8" s="58"/>
    </row>
    <row r="9" spans="1:15" s="157" customFormat="1" ht="15.75" customHeight="1" x14ac:dyDescent="0.2">
      <c r="A9" s="61"/>
      <c r="B9" s="62" t="s">
        <v>104</v>
      </c>
      <c r="C9" s="126"/>
      <c r="D9" s="62"/>
      <c r="E9" s="62"/>
      <c r="F9" s="62"/>
      <c r="G9" s="62"/>
      <c r="H9" s="63"/>
      <c r="I9" s="62"/>
      <c r="J9" s="62"/>
      <c r="K9" s="62"/>
      <c r="L9" s="62"/>
      <c r="M9" s="63"/>
      <c r="N9" s="61"/>
      <c r="O9" s="63"/>
    </row>
    <row r="10" spans="1:15" s="157" customFormat="1" ht="15.75" customHeight="1" x14ac:dyDescent="0.2">
      <c r="A10" s="59"/>
      <c r="B10" s="60"/>
      <c r="C10" s="122" t="s">
        <v>137</v>
      </c>
      <c r="D10" s="290">
        <v>37642</v>
      </c>
      <c r="E10" s="215">
        <v>1599.1000000000004</v>
      </c>
      <c r="F10" s="219">
        <v>15676</v>
      </c>
      <c r="G10" s="219">
        <v>3655</v>
      </c>
      <c r="H10" s="66">
        <f>SUM(D10:G10)</f>
        <v>58572.1</v>
      </c>
      <c r="I10" s="156">
        <f>'Non-Resident'!I10</f>
        <v>38770</v>
      </c>
      <c r="J10" s="215">
        <v>1519.1</v>
      </c>
      <c r="K10" s="219">
        <f>'Non-Resident'!K10</f>
        <v>16146</v>
      </c>
      <c r="L10" s="219">
        <f>'Non-Resident'!L10*0.5</f>
        <v>3898</v>
      </c>
      <c r="M10" s="66">
        <f>SUM(I10:L10)</f>
        <v>60333.1</v>
      </c>
      <c r="N10" s="176">
        <f>M10-H10</f>
        <v>1761</v>
      </c>
      <c r="O10" s="177">
        <f>N10/H10</f>
        <v>3.0065509005140673E-2</v>
      </c>
    </row>
    <row r="11" spans="1:15" s="157" customFormat="1" ht="15.75" customHeight="1" x14ac:dyDescent="0.2">
      <c r="A11" s="59"/>
      <c r="B11" s="60"/>
      <c r="C11" s="122" t="s">
        <v>136</v>
      </c>
      <c r="D11" s="290">
        <v>39388</v>
      </c>
      <c r="E11" s="215">
        <v>1599.1000000000004</v>
      </c>
      <c r="F11" s="219">
        <v>15676</v>
      </c>
      <c r="G11" s="219">
        <v>3655</v>
      </c>
      <c r="H11" s="66">
        <f>SUM(D11:G11)</f>
        <v>60318.1</v>
      </c>
      <c r="I11" s="156">
        <f>'Non-Resident'!I11</f>
        <v>40568</v>
      </c>
      <c r="J11" s="215">
        <v>1519.1</v>
      </c>
      <c r="K11" s="219">
        <f>'Non-Resident'!K11</f>
        <v>16146</v>
      </c>
      <c r="L11" s="219">
        <f>'Non-Resident'!L11*0.5</f>
        <v>3898</v>
      </c>
      <c r="M11" s="66">
        <f t="shared" ref="M11:M18" si="0">SUM(I11:L11)</f>
        <v>62131.1</v>
      </c>
      <c r="N11" s="176">
        <f>M11-H11</f>
        <v>1813</v>
      </c>
      <c r="O11" s="177">
        <f>N11/H11</f>
        <v>3.0057312813235166E-2</v>
      </c>
    </row>
    <row r="12" spans="1:15" s="157" customFormat="1" ht="15.75" customHeight="1" x14ac:dyDescent="0.2">
      <c r="A12" s="59"/>
      <c r="B12" s="60"/>
      <c r="C12" s="122" t="s">
        <v>135</v>
      </c>
      <c r="D12" s="290">
        <v>40826</v>
      </c>
      <c r="E12" s="215">
        <v>1599.1000000000004</v>
      </c>
      <c r="F12" s="219">
        <v>15676</v>
      </c>
      <c r="G12" s="219">
        <v>3655</v>
      </c>
      <c r="H12" s="66">
        <f>SUM(D12:G12)</f>
        <v>61756.1</v>
      </c>
      <c r="I12" s="156">
        <f>'Non-Resident'!I12</f>
        <v>42050</v>
      </c>
      <c r="J12" s="215">
        <v>1519.1</v>
      </c>
      <c r="K12" s="219">
        <f>'Non-Resident'!K12</f>
        <v>16146</v>
      </c>
      <c r="L12" s="219">
        <f>'Non-Resident'!L12*0.5</f>
        <v>3898</v>
      </c>
      <c r="M12" s="66">
        <f>SUM(I12:L12)</f>
        <v>63613.1</v>
      </c>
      <c r="N12" s="176">
        <f>M12-H12</f>
        <v>1857</v>
      </c>
      <c r="O12" s="177">
        <f>N12/H12</f>
        <v>3.0069904025675196E-2</v>
      </c>
    </row>
    <row r="13" spans="1:15" s="157" customFormat="1" ht="15.75" customHeight="1" x14ac:dyDescent="0.2">
      <c r="A13" s="59"/>
      <c r="B13" s="60"/>
      <c r="C13" s="122" t="s">
        <v>134</v>
      </c>
      <c r="D13" s="290">
        <v>41140</v>
      </c>
      <c r="E13" s="215">
        <v>1599.1000000000004</v>
      </c>
      <c r="F13" s="219">
        <v>15676</v>
      </c>
      <c r="G13" s="219">
        <v>3655</v>
      </c>
      <c r="H13" s="66">
        <f>SUM(D13:G13)</f>
        <v>62070.1</v>
      </c>
      <c r="I13" s="156">
        <f>'Non-Resident'!I13</f>
        <v>42374</v>
      </c>
      <c r="J13" s="215">
        <v>1519.1</v>
      </c>
      <c r="K13" s="219">
        <f>'Non-Resident'!K13</f>
        <v>16146</v>
      </c>
      <c r="L13" s="219">
        <f>'Non-Resident'!L13*0.5</f>
        <v>3898</v>
      </c>
      <c r="M13" s="66">
        <f t="shared" si="0"/>
        <v>63937.1</v>
      </c>
      <c r="N13" s="176">
        <f>M13-H13</f>
        <v>1867</v>
      </c>
      <c r="O13" s="177">
        <f>N13/H13</f>
        <v>3.0078894669091881E-2</v>
      </c>
    </row>
    <row r="14" spans="1:15" s="157" customFormat="1" ht="15.75" customHeight="1" x14ac:dyDescent="0.2">
      <c r="A14" s="59"/>
      <c r="B14" s="60" t="s">
        <v>95</v>
      </c>
      <c r="C14" s="124"/>
      <c r="D14" s="290"/>
      <c r="E14" s="215"/>
      <c r="F14" s="219"/>
      <c r="G14" s="219"/>
      <c r="H14" s="66"/>
      <c r="I14" s="156"/>
      <c r="J14" s="215"/>
      <c r="K14" s="219"/>
      <c r="L14" s="219"/>
      <c r="M14" s="66"/>
      <c r="N14" s="176"/>
      <c r="O14" s="177"/>
    </row>
    <row r="15" spans="1:15" s="157" customFormat="1" ht="15.75" customHeight="1" x14ac:dyDescent="0.2">
      <c r="A15" s="59"/>
      <c r="B15" s="60"/>
      <c r="C15" s="122" t="s">
        <v>137</v>
      </c>
      <c r="D15" s="290">
        <v>39486</v>
      </c>
      <c r="E15" s="215">
        <v>1599.1000000000004</v>
      </c>
      <c r="F15" s="131">
        <v>15676</v>
      </c>
      <c r="G15" s="131">
        <v>3655</v>
      </c>
      <c r="H15" s="66">
        <f>SUM(D15:G15)</f>
        <v>60416.1</v>
      </c>
      <c r="I15" s="156">
        <f>'Non-Resident'!I15</f>
        <v>40670</v>
      </c>
      <c r="J15" s="215">
        <v>1519.1</v>
      </c>
      <c r="K15" s="131">
        <f>'Non-Resident'!K15</f>
        <v>16146</v>
      </c>
      <c r="L15" s="131">
        <f>'Non-Resident'!L15*0.5</f>
        <v>3898</v>
      </c>
      <c r="M15" s="66">
        <f t="shared" si="0"/>
        <v>62233.1</v>
      </c>
      <c r="N15" s="176">
        <f>M15-H15</f>
        <v>1817</v>
      </c>
      <c r="O15" s="177">
        <f>N15/H15</f>
        <v>3.0074764839173665E-2</v>
      </c>
    </row>
    <row r="16" spans="1:15" s="157" customFormat="1" ht="15.75" customHeight="1" x14ac:dyDescent="0.2">
      <c r="A16" s="59"/>
      <c r="B16" s="60"/>
      <c r="C16" s="122" t="s">
        <v>136</v>
      </c>
      <c r="D16" s="290">
        <v>41132</v>
      </c>
      <c r="E16" s="215">
        <v>1599.1000000000004</v>
      </c>
      <c r="F16" s="131">
        <v>15676</v>
      </c>
      <c r="G16" s="131">
        <v>3655</v>
      </c>
      <c r="H16" s="66">
        <f>SUM(D16:G16)</f>
        <v>62062.1</v>
      </c>
      <c r="I16" s="156">
        <f>'Non-Resident'!I16</f>
        <v>42364</v>
      </c>
      <c r="J16" s="215">
        <v>1519.1</v>
      </c>
      <c r="K16" s="131">
        <f>'Non-Resident'!K16</f>
        <v>16146</v>
      </c>
      <c r="L16" s="131">
        <f>'Non-Resident'!L16*0.5</f>
        <v>3898</v>
      </c>
      <c r="M16" s="66">
        <f t="shared" si="0"/>
        <v>63927.1</v>
      </c>
      <c r="N16" s="176">
        <f>M16-H16</f>
        <v>1865</v>
      </c>
      <c r="O16" s="177">
        <f>N16/H16</f>
        <v>3.0050546146520984E-2</v>
      </c>
    </row>
    <row r="17" spans="1:15" s="157" customFormat="1" ht="15.75" customHeight="1" x14ac:dyDescent="0.2">
      <c r="A17" s="59"/>
      <c r="B17" s="60"/>
      <c r="C17" s="122" t="s">
        <v>135</v>
      </c>
      <c r="D17" s="290">
        <v>42564</v>
      </c>
      <c r="E17" s="215">
        <v>1599.1000000000004</v>
      </c>
      <c r="F17" s="131">
        <v>15676</v>
      </c>
      <c r="G17" s="131">
        <v>3655</v>
      </c>
      <c r="H17" s="66">
        <f>SUM(D17:G17)</f>
        <v>63494.1</v>
      </c>
      <c r="I17" s="156">
        <f>'Non-Resident'!I17</f>
        <v>43840</v>
      </c>
      <c r="J17" s="215">
        <v>1519.1</v>
      </c>
      <c r="K17" s="131">
        <f>'Non-Resident'!K17</f>
        <v>16146</v>
      </c>
      <c r="L17" s="131">
        <f>'Non-Resident'!L17*0.5</f>
        <v>3898</v>
      </c>
      <c r="M17" s="66">
        <f>SUM(I17:L17)</f>
        <v>65403.1</v>
      </c>
      <c r="N17" s="176">
        <f>M17-H17</f>
        <v>1909</v>
      </c>
      <c r="O17" s="177">
        <f>N17/H17</f>
        <v>3.00657856399256E-2</v>
      </c>
    </row>
    <row r="18" spans="1:15" s="157" customFormat="1" ht="15.75" customHeight="1" x14ac:dyDescent="0.2">
      <c r="A18" s="59"/>
      <c r="B18" s="60"/>
      <c r="C18" s="122" t="s">
        <v>134</v>
      </c>
      <c r="D18" s="106">
        <v>42982</v>
      </c>
      <c r="E18" s="216">
        <v>1599.1000000000004</v>
      </c>
      <c r="F18" s="107">
        <v>15676</v>
      </c>
      <c r="G18" s="107">
        <v>3655</v>
      </c>
      <c r="H18" s="71">
        <f>SUM(D18:G18)</f>
        <v>63912.1</v>
      </c>
      <c r="I18" s="106">
        <f>'Non-Resident'!I18</f>
        <v>44270</v>
      </c>
      <c r="J18" s="216">
        <v>1519.1</v>
      </c>
      <c r="K18" s="107">
        <f>'Non-Resident'!K18</f>
        <v>16146</v>
      </c>
      <c r="L18" s="107">
        <f>'Non-Resident'!L18*0.5</f>
        <v>3898</v>
      </c>
      <c r="M18" s="71">
        <f t="shared" si="0"/>
        <v>65833.100000000006</v>
      </c>
      <c r="N18" s="143">
        <f>M18-H18</f>
        <v>1921.0000000000073</v>
      </c>
      <c r="O18" s="181">
        <f>N18/H18</f>
        <v>3.0056906282222105E-2</v>
      </c>
    </row>
    <row r="19" spans="1:15" s="157" customFormat="1" ht="15.75" customHeight="1" x14ac:dyDescent="0.2">
      <c r="A19" s="75"/>
      <c r="B19" s="76" t="s">
        <v>4</v>
      </c>
      <c r="C19" s="125"/>
      <c r="D19" s="290"/>
      <c r="E19" s="215"/>
      <c r="F19" s="219"/>
      <c r="G19" s="219"/>
      <c r="H19" s="66"/>
      <c r="I19" s="219"/>
      <c r="J19" s="215"/>
      <c r="K19" s="219"/>
      <c r="L19" s="219"/>
      <c r="M19" s="66"/>
      <c r="N19" s="176"/>
      <c r="O19" s="177"/>
    </row>
    <row r="20" spans="1:15" s="157" customFormat="1" ht="15.75" customHeight="1" x14ac:dyDescent="0.2">
      <c r="A20" s="59"/>
      <c r="B20" s="60"/>
      <c r="C20" s="122" t="s">
        <v>19</v>
      </c>
      <c r="D20" s="290">
        <v>16110</v>
      </c>
      <c r="E20" s="215">
        <v>1052</v>
      </c>
      <c r="F20" s="219">
        <v>11439</v>
      </c>
      <c r="G20" s="219">
        <f t="shared" ref="G20:G39" si="1">$G$10</f>
        <v>3655</v>
      </c>
      <c r="H20" s="66">
        <f t="shared" ref="H20:H29" si="2">SUM(D20:G20)</f>
        <v>32256</v>
      </c>
      <c r="I20" s="219">
        <v>16587</v>
      </c>
      <c r="J20" s="215">
        <v>952</v>
      </c>
      <c r="K20" s="219">
        <f>'Non-Resident'!K20</f>
        <v>12411</v>
      </c>
      <c r="L20" s="219">
        <f>'Non-Resident'!L20*0.5</f>
        <v>3898</v>
      </c>
      <c r="M20" s="66">
        <f>SUM(I20:L20)</f>
        <v>33848</v>
      </c>
      <c r="N20" s="176">
        <f t="shared" ref="N20:N34" si="3">M20-H20</f>
        <v>1592</v>
      </c>
      <c r="O20" s="177">
        <f t="shared" ref="O20:O34" si="4">N20/H20</f>
        <v>4.9355158730158728E-2</v>
      </c>
    </row>
    <row r="21" spans="1:15" s="157" customFormat="1" ht="15.75" customHeight="1" x14ac:dyDescent="0.2">
      <c r="A21" s="59"/>
      <c r="B21" s="60"/>
      <c r="C21" s="122" t="s">
        <v>43</v>
      </c>
      <c r="D21" s="290">
        <v>16974</v>
      </c>
      <c r="E21" s="215">
        <v>1052</v>
      </c>
      <c r="F21" s="219">
        <v>11439</v>
      </c>
      <c r="G21" s="219">
        <f t="shared" si="1"/>
        <v>3655</v>
      </c>
      <c r="H21" s="66">
        <f t="shared" si="2"/>
        <v>33120</v>
      </c>
      <c r="I21" s="219">
        <v>17478</v>
      </c>
      <c r="J21" s="215">
        <v>952</v>
      </c>
      <c r="K21" s="219">
        <f>'Non-Resident'!K21</f>
        <v>12411</v>
      </c>
      <c r="L21" s="219">
        <f>'Non-Resident'!L21*0.5</f>
        <v>3898</v>
      </c>
      <c r="M21" s="66">
        <f t="shared" ref="M21:M27" si="5">SUM(I21:L21)</f>
        <v>34739</v>
      </c>
      <c r="N21" s="176">
        <f t="shared" si="3"/>
        <v>1619</v>
      </c>
      <c r="O21" s="177">
        <f t="shared" si="4"/>
        <v>4.8882850241545893E-2</v>
      </c>
    </row>
    <row r="22" spans="1:15" s="157" customFormat="1" ht="15.75" customHeight="1" x14ac:dyDescent="0.2">
      <c r="A22" s="59"/>
      <c r="B22" s="60"/>
      <c r="C22" s="124" t="s">
        <v>89</v>
      </c>
      <c r="D22" s="290">
        <v>11457</v>
      </c>
      <c r="E22" s="215">
        <v>1052</v>
      </c>
      <c r="F22" s="219">
        <v>11439</v>
      </c>
      <c r="G22" s="219">
        <f t="shared" si="1"/>
        <v>3655</v>
      </c>
      <c r="H22" s="66">
        <f t="shared" si="2"/>
        <v>27603</v>
      </c>
      <c r="I22" s="219">
        <v>11799</v>
      </c>
      <c r="J22" s="215">
        <v>952</v>
      </c>
      <c r="K22" s="219">
        <f>'Non-Resident'!K22</f>
        <v>12411</v>
      </c>
      <c r="L22" s="219">
        <f>'Non-Resident'!L22*0.5</f>
        <v>3898</v>
      </c>
      <c r="M22" s="66">
        <f>SUM(I22:L22)</f>
        <v>29060</v>
      </c>
      <c r="N22" s="176">
        <f>M22-H22</f>
        <v>1457</v>
      </c>
      <c r="O22" s="177">
        <f>N22/H22</f>
        <v>5.2784117668369379E-2</v>
      </c>
    </row>
    <row r="23" spans="1:15" s="157" customFormat="1" ht="15.75" customHeight="1" x14ac:dyDescent="0.2">
      <c r="A23" s="59"/>
      <c r="B23" s="60"/>
      <c r="C23" s="124" t="s">
        <v>45</v>
      </c>
      <c r="D23" s="290">
        <v>13266</v>
      </c>
      <c r="E23" s="215">
        <v>1052</v>
      </c>
      <c r="F23" s="219">
        <v>11439</v>
      </c>
      <c r="G23" s="219">
        <f t="shared" si="1"/>
        <v>3655</v>
      </c>
      <c r="H23" s="66">
        <f t="shared" si="2"/>
        <v>29412</v>
      </c>
      <c r="I23" s="219">
        <v>13662</v>
      </c>
      <c r="J23" s="215">
        <v>952</v>
      </c>
      <c r="K23" s="219">
        <f>'Non-Resident'!K23</f>
        <v>12411</v>
      </c>
      <c r="L23" s="219">
        <f>'Non-Resident'!L23*0.5</f>
        <v>3898</v>
      </c>
      <c r="M23" s="66">
        <f t="shared" si="5"/>
        <v>30923</v>
      </c>
      <c r="N23" s="176">
        <f t="shared" si="3"/>
        <v>1511</v>
      </c>
      <c r="O23" s="177">
        <f t="shared" si="4"/>
        <v>5.1373589011287912E-2</v>
      </c>
    </row>
    <row r="24" spans="1:15" s="157" customFormat="1" ht="15.75" customHeight="1" x14ac:dyDescent="0.2">
      <c r="A24" s="59"/>
      <c r="B24" s="60"/>
      <c r="C24" s="124" t="s">
        <v>46</v>
      </c>
      <c r="D24" s="290">
        <v>18072</v>
      </c>
      <c r="E24" s="215">
        <v>1052</v>
      </c>
      <c r="F24" s="219">
        <v>11439</v>
      </c>
      <c r="G24" s="219">
        <f t="shared" si="1"/>
        <v>3655</v>
      </c>
      <c r="H24" s="66">
        <f t="shared" si="2"/>
        <v>34218</v>
      </c>
      <c r="I24" s="219">
        <v>18612</v>
      </c>
      <c r="J24" s="215">
        <v>952</v>
      </c>
      <c r="K24" s="219">
        <f>'Non-Resident'!K24</f>
        <v>12411</v>
      </c>
      <c r="L24" s="219">
        <f>'Non-Resident'!L24*0.5</f>
        <v>3898</v>
      </c>
      <c r="M24" s="66">
        <f t="shared" si="5"/>
        <v>35873</v>
      </c>
      <c r="N24" s="176">
        <f t="shared" si="3"/>
        <v>1655</v>
      </c>
      <c r="O24" s="177">
        <f t="shared" si="4"/>
        <v>4.8366356888187502E-2</v>
      </c>
    </row>
    <row r="25" spans="1:15" s="157" customFormat="1" ht="15.75" customHeight="1" x14ac:dyDescent="0.2">
      <c r="A25" s="59"/>
      <c r="B25" s="60"/>
      <c r="C25" s="122" t="s">
        <v>86</v>
      </c>
      <c r="D25" s="290">
        <v>17568</v>
      </c>
      <c r="E25" s="215">
        <v>1052</v>
      </c>
      <c r="F25" s="219">
        <v>11439</v>
      </c>
      <c r="G25" s="219">
        <f t="shared" si="1"/>
        <v>3655</v>
      </c>
      <c r="H25" s="66">
        <f t="shared" si="2"/>
        <v>33714</v>
      </c>
      <c r="I25" s="219">
        <v>18090</v>
      </c>
      <c r="J25" s="215">
        <v>952</v>
      </c>
      <c r="K25" s="219">
        <f>'Non-Resident'!K25</f>
        <v>12411</v>
      </c>
      <c r="L25" s="219">
        <f>'Non-Resident'!L25*0.5</f>
        <v>3898</v>
      </c>
      <c r="M25" s="66">
        <f t="shared" si="5"/>
        <v>35351</v>
      </c>
      <c r="N25" s="176">
        <f t="shared" si="3"/>
        <v>1637</v>
      </c>
      <c r="O25" s="177">
        <f t="shared" si="4"/>
        <v>4.8555496233018927E-2</v>
      </c>
    </row>
    <row r="26" spans="1:15" s="157" customFormat="1" ht="15.75" customHeight="1" x14ac:dyDescent="0.2">
      <c r="A26" s="59"/>
      <c r="B26" s="60"/>
      <c r="C26" s="124" t="s">
        <v>87</v>
      </c>
      <c r="D26" s="309">
        <v>13266</v>
      </c>
      <c r="E26" s="215">
        <v>1052</v>
      </c>
      <c r="F26" s="219">
        <v>11439</v>
      </c>
      <c r="G26" s="219">
        <f t="shared" si="1"/>
        <v>3655</v>
      </c>
      <c r="H26" s="66">
        <f t="shared" si="2"/>
        <v>29412</v>
      </c>
      <c r="I26" s="220">
        <v>13662</v>
      </c>
      <c r="J26" s="215">
        <v>952</v>
      </c>
      <c r="K26" s="219">
        <f>'Non-Resident'!K26</f>
        <v>12411</v>
      </c>
      <c r="L26" s="219">
        <f>'Non-Resident'!L26*0.5</f>
        <v>3898</v>
      </c>
      <c r="M26" s="66">
        <f t="shared" si="5"/>
        <v>30923</v>
      </c>
      <c r="N26" s="176">
        <f t="shared" si="3"/>
        <v>1511</v>
      </c>
      <c r="O26" s="177">
        <f t="shared" si="4"/>
        <v>5.1373589011287912E-2</v>
      </c>
    </row>
    <row r="27" spans="1:15" s="157" customFormat="1" ht="15.75" customHeight="1" x14ac:dyDescent="0.2">
      <c r="A27" s="59"/>
      <c r="B27" s="60"/>
      <c r="C27" s="122" t="s">
        <v>47</v>
      </c>
      <c r="D27" s="290">
        <v>18792</v>
      </c>
      <c r="E27" s="215">
        <v>1052</v>
      </c>
      <c r="F27" s="219">
        <v>11439</v>
      </c>
      <c r="G27" s="219">
        <f t="shared" si="1"/>
        <v>3655</v>
      </c>
      <c r="H27" s="66">
        <f t="shared" si="2"/>
        <v>34938</v>
      </c>
      <c r="I27" s="219">
        <v>19350</v>
      </c>
      <c r="J27" s="215">
        <v>952</v>
      </c>
      <c r="K27" s="219">
        <f>'Non-Resident'!K27</f>
        <v>12411</v>
      </c>
      <c r="L27" s="219">
        <f>'Non-Resident'!L27*0.5</f>
        <v>3898</v>
      </c>
      <c r="M27" s="66">
        <f t="shared" si="5"/>
        <v>36611</v>
      </c>
      <c r="N27" s="176">
        <f t="shared" si="3"/>
        <v>1673</v>
      </c>
      <c r="O27" s="177">
        <f t="shared" si="4"/>
        <v>4.788482454633923E-2</v>
      </c>
    </row>
    <row r="28" spans="1:15" s="157" customFormat="1" ht="15.75" customHeight="1" x14ac:dyDescent="0.2">
      <c r="A28" s="59"/>
      <c r="B28" s="60"/>
      <c r="C28" s="124" t="s">
        <v>84</v>
      </c>
      <c r="D28" s="290">
        <v>13131</v>
      </c>
      <c r="E28" s="215">
        <v>1052</v>
      </c>
      <c r="F28" s="219">
        <v>11439</v>
      </c>
      <c r="G28" s="219">
        <f t="shared" si="1"/>
        <v>3655</v>
      </c>
      <c r="H28" s="66">
        <f t="shared" si="2"/>
        <v>29277</v>
      </c>
      <c r="I28" s="219">
        <v>13518</v>
      </c>
      <c r="J28" s="215">
        <v>952</v>
      </c>
      <c r="K28" s="219">
        <f>'Non-Resident'!K28</f>
        <v>12411</v>
      </c>
      <c r="L28" s="219">
        <f>'Non-Resident'!L28*0.5</f>
        <v>3898</v>
      </c>
      <c r="M28" s="66">
        <f>SUM(I28:L28)</f>
        <v>30779</v>
      </c>
      <c r="N28" s="176">
        <f t="shared" si="3"/>
        <v>1502</v>
      </c>
      <c r="O28" s="177">
        <f t="shared" si="4"/>
        <v>5.1303070669809069E-2</v>
      </c>
    </row>
    <row r="29" spans="1:15" s="157" customFormat="1" ht="15.75" customHeight="1" x14ac:dyDescent="0.2">
      <c r="A29" s="59"/>
      <c r="B29" s="60"/>
      <c r="C29" s="124" t="s">
        <v>85</v>
      </c>
      <c r="D29" s="156">
        <v>12087</v>
      </c>
      <c r="E29" s="215">
        <v>1052</v>
      </c>
      <c r="F29" s="219">
        <v>11439</v>
      </c>
      <c r="G29" s="219">
        <f t="shared" si="1"/>
        <v>3655</v>
      </c>
      <c r="H29" s="66">
        <f t="shared" si="2"/>
        <v>28233</v>
      </c>
      <c r="I29" s="176">
        <v>12447</v>
      </c>
      <c r="J29" s="215">
        <v>952</v>
      </c>
      <c r="K29" s="219">
        <f>'Non-Resident'!K29</f>
        <v>12411</v>
      </c>
      <c r="L29" s="219">
        <f>'Non-Resident'!L29*0.5</f>
        <v>3898</v>
      </c>
      <c r="M29" s="66">
        <f>SUM(I29:L29)</f>
        <v>29708</v>
      </c>
      <c r="N29" s="176">
        <f t="shared" si="3"/>
        <v>1475</v>
      </c>
      <c r="O29" s="177">
        <f t="shared" si="4"/>
        <v>5.2243828144370064E-2</v>
      </c>
    </row>
    <row r="30" spans="1:15" s="157" customFormat="1" ht="15.75" customHeight="1" x14ac:dyDescent="0.2">
      <c r="A30" s="59"/>
      <c r="B30" s="60"/>
      <c r="C30" s="124" t="s">
        <v>42</v>
      </c>
      <c r="D30" s="290">
        <v>16290</v>
      </c>
      <c r="E30" s="215">
        <v>1052</v>
      </c>
      <c r="F30" s="219">
        <v>11439</v>
      </c>
      <c r="G30" s="219">
        <f t="shared" si="1"/>
        <v>3655</v>
      </c>
      <c r="H30" s="66">
        <f t="shared" ref="H30:H39" si="6">SUM(D30:G30)</f>
        <v>32436</v>
      </c>
      <c r="I30" s="219">
        <v>16776</v>
      </c>
      <c r="J30" s="215">
        <v>952</v>
      </c>
      <c r="K30" s="219">
        <f>'Non-Resident'!K30</f>
        <v>12411</v>
      </c>
      <c r="L30" s="219">
        <f>'Non-Resident'!L30*0.5</f>
        <v>3898</v>
      </c>
      <c r="M30" s="66">
        <f>SUM(I30:L30)</f>
        <v>34037</v>
      </c>
      <c r="N30" s="176">
        <f t="shared" si="3"/>
        <v>1601</v>
      </c>
      <c r="O30" s="177">
        <f t="shared" si="4"/>
        <v>4.9358737205574051E-2</v>
      </c>
    </row>
    <row r="31" spans="1:15" s="157" customFormat="1" ht="15.75" customHeight="1" x14ac:dyDescent="0.2">
      <c r="A31" s="59"/>
      <c r="B31" s="60"/>
      <c r="C31" s="124" t="s">
        <v>75</v>
      </c>
      <c r="D31" s="156">
        <v>10494</v>
      </c>
      <c r="E31" s="215">
        <v>1052</v>
      </c>
      <c r="F31" s="219">
        <v>11439</v>
      </c>
      <c r="G31" s="219">
        <f t="shared" si="1"/>
        <v>3655</v>
      </c>
      <c r="H31" s="66">
        <f t="shared" si="6"/>
        <v>26640</v>
      </c>
      <c r="I31" s="176">
        <v>10800</v>
      </c>
      <c r="J31" s="215">
        <v>952</v>
      </c>
      <c r="K31" s="219">
        <f>'Non-Resident'!K31</f>
        <v>12411</v>
      </c>
      <c r="L31" s="219">
        <f>'Non-Resident'!L31*0.5</f>
        <v>3898</v>
      </c>
      <c r="M31" s="66">
        <f t="shared" ref="M31:M39" si="7">SUM(I31:L31)</f>
        <v>28061</v>
      </c>
      <c r="N31" s="176">
        <f t="shared" si="3"/>
        <v>1421</v>
      </c>
      <c r="O31" s="177">
        <f t="shared" si="4"/>
        <v>5.3340840840840842E-2</v>
      </c>
    </row>
    <row r="32" spans="1:15" s="157" customFormat="1" ht="15.75" customHeight="1" x14ac:dyDescent="0.2">
      <c r="A32" s="59"/>
      <c r="B32" s="60"/>
      <c r="C32" s="124" t="s">
        <v>105</v>
      </c>
      <c r="D32" s="156">
        <v>12960</v>
      </c>
      <c r="E32" s="215">
        <v>1052</v>
      </c>
      <c r="F32" s="219">
        <v>11439</v>
      </c>
      <c r="G32" s="219">
        <f t="shared" si="1"/>
        <v>3655</v>
      </c>
      <c r="H32" s="66">
        <f t="shared" si="6"/>
        <v>29106</v>
      </c>
      <c r="I32" s="176">
        <v>13347</v>
      </c>
      <c r="J32" s="215">
        <v>952</v>
      </c>
      <c r="K32" s="219">
        <f>'Non-Resident'!K32</f>
        <v>12411</v>
      </c>
      <c r="L32" s="219">
        <f>'Non-Resident'!L32*0.5</f>
        <v>3898</v>
      </c>
      <c r="M32" s="66">
        <f t="shared" si="7"/>
        <v>30608</v>
      </c>
      <c r="N32" s="176">
        <f t="shared" si="3"/>
        <v>1502</v>
      </c>
      <c r="O32" s="177">
        <f t="shared" si="4"/>
        <v>5.1604480175908747E-2</v>
      </c>
    </row>
    <row r="33" spans="1:15" s="157" customFormat="1" ht="15.75" customHeight="1" x14ac:dyDescent="0.2">
      <c r="A33" s="59"/>
      <c r="B33" s="60"/>
      <c r="C33" s="124" t="s">
        <v>82</v>
      </c>
      <c r="D33" s="156">
        <v>13266</v>
      </c>
      <c r="E33" s="215">
        <v>1052</v>
      </c>
      <c r="F33" s="219">
        <v>11439</v>
      </c>
      <c r="G33" s="219">
        <f t="shared" si="1"/>
        <v>3655</v>
      </c>
      <c r="H33" s="66">
        <f t="shared" si="6"/>
        <v>29412</v>
      </c>
      <c r="I33" s="176">
        <v>13662</v>
      </c>
      <c r="J33" s="215">
        <v>952</v>
      </c>
      <c r="K33" s="219">
        <f>'Non-Resident'!K33</f>
        <v>12411</v>
      </c>
      <c r="L33" s="219">
        <f>'Non-Resident'!L33*0.5</f>
        <v>3898</v>
      </c>
      <c r="M33" s="66">
        <f>SUM(I33:L33)</f>
        <v>30923</v>
      </c>
      <c r="N33" s="176">
        <f t="shared" si="3"/>
        <v>1511</v>
      </c>
      <c r="O33" s="177">
        <f t="shared" si="4"/>
        <v>5.1373589011287912E-2</v>
      </c>
    </row>
    <row r="34" spans="1:15" s="157" customFormat="1" ht="15.75" customHeight="1" x14ac:dyDescent="0.2">
      <c r="A34" s="59"/>
      <c r="B34" s="60"/>
      <c r="C34" s="124" t="s">
        <v>83</v>
      </c>
      <c r="D34" s="156">
        <v>13266</v>
      </c>
      <c r="E34" s="215">
        <v>1052</v>
      </c>
      <c r="F34" s="219">
        <v>11439</v>
      </c>
      <c r="G34" s="219">
        <f t="shared" si="1"/>
        <v>3655</v>
      </c>
      <c r="H34" s="66">
        <f t="shared" si="6"/>
        <v>29412</v>
      </c>
      <c r="I34" s="176">
        <v>13662</v>
      </c>
      <c r="J34" s="215">
        <v>952</v>
      </c>
      <c r="K34" s="219">
        <f>'Non-Resident'!K34</f>
        <v>12411</v>
      </c>
      <c r="L34" s="219">
        <f>'Non-Resident'!L34*0.5</f>
        <v>3898</v>
      </c>
      <c r="M34" s="66">
        <f>SUM(I34:L34)</f>
        <v>30923</v>
      </c>
      <c r="N34" s="176">
        <f t="shared" si="3"/>
        <v>1511</v>
      </c>
      <c r="O34" s="177">
        <f t="shared" si="4"/>
        <v>5.1373589011287912E-2</v>
      </c>
    </row>
    <row r="35" spans="1:15" s="157" customFormat="1" ht="15.75" customHeight="1" x14ac:dyDescent="0.2">
      <c r="A35" s="59"/>
      <c r="B35" s="60"/>
      <c r="C35" s="124" t="s">
        <v>76</v>
      </c>
      <c r="D35" s="156">
        <v>13662</v>
      </c>
      <c r="E35" s="215">
        <v>1052</v>
      </c>
      <c r="F35" s="219">
        <v>11439</v>
      </c>
      <c r="G35" s="219">
        <f t="shared" si="1"/>
        <v>3655</v>
      </c>
      <c r="H35" s="66">
        <f t="shared" si="6"/>
        <v>29808</v>
      </c>
      <c r="I35" s="176">
        <v>14067</v>
      </c>
      <c r="J35" s="215">
        <v>952</v>
      </c>
      <c r="K35" s="219">
        <f>'Non-Resident'!K35</f>
        <v>12411</v>
      </c>
      <c r="L35" s="219">
        <f>'Non-Resident'!L35*0.5</f>
        <v>3898</v>
      </c>
      <c r="M35" s="66">
        <f t="shared" si="7"/>
        <v>31328</v>
      </c>
      <c r="N35" s="176">
        <f>M35-H35</f>
        <v>1520</v>
      </c>
      <c r="O35" s="177">
        <f>N35/H35</f>
        <v>5.0993022007514759E-2</v>
      </c>
    </row>
    <row r="36" spans="1:15" s="157" customFormat="1" ht="15.75" customHeight="1" x14ac:dyDescent="0.2">
      <c r="A36" s="59"/>
      <c r="B36" s="60"/>
      <c r="C36" s="182" t="s">
        <v>124</v>
      </c>
      <c r="D36" s="156">
        <v>4671</v>
      </c>
      <c r="E36" s="303">
        <v>114</v>
      </c>
      <c r="F36" s="300">
        <v>11844</v>
      </c>
      <c r="G36" s="300">
        <f t="shared" si="1"/>
        <v>3655</v>
      </c>
      <c r="H36" s="308">
        <f t="shared" si="6"/>
        <v>20284</v>
      </c>
      <c r="I36" s="302">
        <v>4671</v>
      </c>
      <c r="J36" s="303">
        <v>114</v>
      </c>
      <c r="K36" s="300">
        <v>12411</v>
      </c>
      <c r="L36" s="300">
        <f>L35</f>
        <v>3898</v>
      </c>
      <c r="M36" s="308">
        <f t="shared" si="7"/>
        <v>21094</v>
      </c>
      <c r="N36" s="292">
        <f>M36-H36</f>
        <v>810</v>
      </c>
      <c r="O36" s="293">
        <f>N36/H36</f>
        <v>3.9932952080457502E-2</v>
      </c>
    </row>
    <row r="37" spans="1:15" s="157" customFormat="1" ht="15.75" customHeight="1" x14ac:dyDescent="0.2">
      <c r="A37" s="59"/>
      <c r="B37" s="60"/>
      <c r="C37" s="182" t="s">
        <v>127</v>
      </c>
      <c r="D37" s="290">
        <v>7155</v>
      </c>
      <c r="E37" s="303">
        <v>114</v>
      </c>
      <c r="F37" s="300">
        <v>11844</v>
      </c>
      <c r="G37" s="300">
        <f t="shared" si="1"/>
        <v>3655</v>
      </c>
      <c r="H37" s="308">
        <f t="shared" si="6"/>
        <v>22768</v>
      </c>
      <c r="I37" s="302">
        <v>7362</v>
      </c>
      <c r="J37" s="303">
        <v>114</v>
      </c>
      <c r="K37" s="300">
        <v>12411</v>
      </c>
      <c r="L37" s="300">
        <f>L36</f>
        <v>3898</v>
      </c>
      <c r="M37" s="308">
        <f t="shared" si="7"/>
        <v>23785</v>
      </c>
      <c r="N37" s="292">
        <f>M37-H37</f>
        <v>1017</v>
      </c>
      <c r="O37" s="293">
        <f>N37/H37</f>
        <v>4.4667955024595925E-2</v>
      </c>
    </row>
    <row r="38" spans="1:15" s="157" customFormat="1" ht="15.75" customHeight="1" x14ac:dyDescent="0.2">
      <c r="A38" s="59"/>
      <c r="B38" s="60"/>
      <c r="C38" s="182" t="s">
        <v>126</v>
      </c>
      <c r="D38" s="290">
        <v>12888</v>
      </c>
      <c r="E38" s="303">
        <v>114</v>
      </c>
      <c r="F38" s="300">
        <v>11844</v>
      </c>
      <c r="G38" s="300">
        <f t="shared" si="1"/>
        <v>3655</v>
      </c>
      <c r="H38" s="308">
        <f t="shared" si="6"/>
        <v>28501</v>
      </c>
      <c r="I38" s="302">
        <v>13266</v>
      </c>
      <c r="J38" s="303">
        <v>114</v>
      </c>
      <c r="K38" s="300">
        <v>12411</v>
      </c>
      <c r="L38" s="300">
        <f>L37</f>
        <v>3898</v>
      </c>
      <c r="M38" s="308">
        <f t="shared" si="7"/>
        <v>29689</v>
      </c>
      <c r="N38" s="292">
        <f>M38-H38</f>
        <v>1188</v>
      </c>
      <c r="O38" s="293">
        <f>N38/H38</f>
        <v>4.1682747973755305E-2</v>
      </c>
    </row>
    <row r="39" spans="1:15" s="157" customFormat="1" ht="15.75" customHeight="1" thickBot="1" x14ac:dyDescent="0.25">
      <c r="A39" s="77"/>
      <c r="B39" s="78"/>
      <c r="C39" s="244" t="s">
        <v>125</v>
      </c>
      <c r="D39" s="156">
        <v>7155</v>
      </c>
      <c r="E39" s="303">
        <v>114</v>
      </c>
      <c r="F39" s="300">
        <v>11844</v>
      </c>
      <c r="G39" s="300">
        <f t="shared" si="1"/>
        <v>3655</v>
      </c>
      <c r="H39" s="308">
        <f t="shared" si="6"/>
        <v>22768</v>
      </c>
      <c r="I39" s="302">
        <v>7362</v>
      </c>
      <c r="J39" s="303">
        <v>114</v>
      </c>
      <c r="K39" s="300">
        <v>12411</v>
      </c>
      <c r="L39" s="300">
        <f>L38</f>
        <v>3898</v>
      </c>
      <c r="M39" s="308">
        <f t="shared" si="7"/>
        <v>23785</v>
      </c>
      <c r="N39" s="292">
        <f>M39-H39</f>
        <v>1017</v>
      </c>
      <c r="O39" s="293">
        <f>N39/H39</f>
        <v>4.4667955024595925E-2</v>
      </c>
    </row>
    <row r="40" spans="1:15" s="157" customFormat="1" ht="15.75" thickBot="1" x14ac:dyDescent="0.3">
      <c r="A40" s="160" t="s">
        <v>5</v>
      </c>
      <c r="B40" s="161"/>
      <c r="C40" s="161"/>
      <c r="D40" s="188"/>
      <c r="E40" s="217"/>
      <c r="F40" s="231"/>
      <c r="G40" s="231"/>
      <c r="H40" s="73"/>
      <c r="I40" s="188"/>
      <c r="J40" s="217"/>
      <c r="K40" s="231"/>
      <c r="L40" s="231"/>
      <c r="M40" s="73"/>
      <c r="N40" s="188"/>
      <c r="O40" s="189"/>
    </row>
    <row r="41" spans="1:15" s="157" customFormat="1" ht="15.75" customHeight="1" x14ac:dyDescent="0.2">
      <c r="A41" s="59"/>
      <c r="B41" s="60" t="s">
        <v>2</v>
      </c>
      <c r="C41" s="60"/>
      <c r="D41" s="193"/>
      <c r="E41" s="218"/>
      <c r="F41" s="232"/>
      <c r="G41" s="232"/>
      <c r="H41" s="74"/>
      <c r="I41" s="193"/>
      <c r="J41" s="218"/>
      <c r="K41" s="232"/>
      <c r="L41" s="232"/>
      <c r="M41" s="74"/>
      <c r="N41" s="193"/>
      <c r="O41" s="194"/>
    </row>
    <row r="42" spans="1:15" s="157" customFormat="1" ht="15.75" customHeight="1" x14ac:dyDescent="0.2">
      <c r="A42" s="59"/>
      <c r="B42" s="60"/>
      <c r="C42" s="60" t="s">
        <v>24</v>
      </c>
      <c r="D42" s="176">
        <v>9876</v>
      </c>
      <c r="E42" s="219">
        <v>1120.96</v>
      </c>
      <c r="F42" s="219">
        <f>Resident!F36</f>
        <v>12678</v>
      </c>
      <c r="G42" s="219">
        <v>3802.5</v>
      </c>
      <c r="H42" s="66">
        <f>SUM(D42:G42)</f>
        <v>27477.46</v>
      </c>
      <c r="I42" s="176">
        <v>10268</v>
      </c>
      <c r="J42" s="219">
        <v>1090.98</v>
      </c>
      <c r="K42" s="219">
        <f>'Non-Resident'!K42</f>
        <v>13098</v>
      </c>
      <c r="L42" s="219">
        <f>'Non-Resident'!L42*0.5</f>
        <v>3898</v>
      </c>
      <c r="M42" s="66">
        <f>SUM(I42:L42)</f>
        <v>28354.98</v>
      </c>
      <c r="N42" s="176">
        <f>M42-H42</f>
        <v>877.52000000000044</v>
      </c>
      <c r="O42" s="177">
        <f>N42/H42</f>
        <v>3.1935994083878219E-2</v>
      </c>
    </row>
    <row r="43" spans="1:15" s="157" customFormat="1" ht="15.75" customHeight="1" x14ac:dyDescent="0.2">
      <c r="A43" s="59"/>
      <c r="B43" s="60"/>
      <c r="C43" s="60" t="s">
        <v>48</v>
      </c>
      <c r="D43" s="176">
        <v>10296</v>
      </c>
      <c r="E43" s="219">
        <v>1120.96</v>
      </c>
      <c r="F43" s="294">
        <f>Resident!F37</f>
        <v>12678</v>
      </c>
      <c r="G43" s="219">
        <v>3802.5</v>
      </c>
      <c r="H43" s="66">
        <f>SUM(D43:G43)</f>
        <v>27897.46</v>
      </c>
      <c r="I43" s="176">
        <v>10701</v>
      </c>
      <c r="J43" s="219">
        <v>1090.98</v>
      </c>
      <c r="K43" s="219">
        <f>'Non-Resident'!K43</f>
        <v>12858</v>
      </c>
      <c r="L43" s="219">
        <f>'Non-Resident'!L43*0.5</f>
        <v>3898</v>
      </c>
      <c r="M43" s="66">
        <f>SUM(I43:L43)</f>
        <v>28547.98</v>
      </c>
      <c r="N43" s="176">
        <f>M43-H43</f>
        <v>650.52000000000044</v>
      </c>
      <c r="O43" s="177">
        <f>N43/H43</f>
        <v>2.3318251912539726E-2</v>
      </c>
    </row>
    <row r="44" spans="1:15" s="157" customFormat="1" ht="15.75" customHeight="1" thickBot="1" x14ac:dyDescent="0.25">
      <c r="A44" s="59"/>
      <c r="B44" s="60"/>
      <c r="C44" s="60" t="s">
        <v>62</v>
      </c>
      <c r="D44" s="176">
        <v>10656</v>
      </c>
      <c r="E44" s="219">
        <v>1120.96</v>
      </c>
      <c r="F44" s="294">
        <f>Resident!F38</f>
        <v>12678</v>
      </c>
      <c r="G44" s="219">
        <v>3802.5</v>
      </c>
      <c r="H44" s="66">
        <f>SUM(D44:G44)</f>
        <v>28257.46</v>
      </c>
      <c r="I44" s="176">
        <v>11072</v>
      </c>
      <c r="J44" s="219">
        <v>1090.98</v>
      </c>
      <c r="K44" s="219">
        <f>'Non-Resident'!K44</f>
        <v>12858</v>
      </c>
      <c r="L44" s="219">
        <f>'Non-Resident'!L44*0.5</f>
        <v>3898</v>
      </c>
      <c r="M44" s="66">
        <f>SUM(I44:L44)</f>
        <v>28918.98</v>
      </c>
      <c r="N44" s="176">
        <f>M44-H44</f>
        <v>661.52000000000044</v>
      </c>
      <c r="O44" s="177">
        <f>N44/H44</f>
        <v>2.3410455150604494E-2</v>
      </c>
    </row>
    <row r="45" spans="1:15" s="157" customFormat="1" ht="15.75" customHeight="1" x14ac:dyDescent="0.2">
      <c r="A45" s="61"/>
      <c r="B45" s="62" t="s">
        <v>4</v>
      </c>
      <c r="C45" s="62"/>
      <c r="D45" s="222"/>
      <c r="E45" s="261"/>
      <c r="F45" s="223"/>
      <c r="G45" s="223"/>
      <c r="H45" s="147"/>
      <c r="I45" s="222"/>
      <c r="J45" s="261"/>
      <c r="K45" s="223"/>
      <c r="L45" s="223"/>
      <c r="M45" s="147"/>
      <c r="N45" s="222"/>
      <c r="O45" s="224"/>
    </row>
    <row r="46" spans="1:15" s="157" customFormat="1" ht="15.75" customHeight="1" x14ac:dyDescent="0.2">
      <c r="A46" s="59"/>
      <c r="B46" s="60"/>
      <c r="C46" s="60" t="s">
        <v>57</v>
      </c>
      <c r="D46" s="176">
        <v>10755</v>
      </c>
      <c r="E46" s="219">
        <v>1035.07</v>
      </c>
      <c r="F46" s="219">
        <v>11439</v>
      </c>
      <c r="G46" s="219">
        <v>3802.5</v>
      </c>
      <c r="H46" s="66">
        <f>SUM(D46:G46)</f>
        <v>27031.57</v>
      </c>
      <c r="I46" s="219">
        <v>11150</v>
      </c>
      <c r="J46" s="219">
        <v>1025.25</v>
      </c>
      <c r="K46" s="219">
        <f>'Non-Resident'!K46</f>
        <v>12411</v>
      </c>
      <c r="L46" s="219">
        <f>'Non-Resident'!L46*0.5</f>
        <v>3898</v>
      </c>
      <c r="M46" s="66">
        <f>SUM(I46:L46)</f>
        <v>28484.25</v>
      </c>
      <c r="N46" s="176">
        <f>M46-H46</f>
        <v>1452.6800000000003</v>
      </c>
      <c r="O46" s="177">
        <f>N46/H46</f>
        <v>5.3740126822082485E-2</v>
      </c>
    </row>
    <row r="47" spans="1:15" s="157" customFormat="1" ht="15.75" customHeight="1" x14ac:dyDescent="0.2">
      <c r="A47" s="59"/>
      <c r="B47" s="60"/>
      <c r="C47" s="60" t="s">
        <v>72</v>
      </c>
      <c r="D47" s="176">
        <v>11511</v>
      </c>
      <c r="E47" s="219">
        <v>1035.07</v>
      </c>
      <c r="F47" s="219">
        <v>11439</v>
      </c>
      <c r="G47" s="219">
        <v>3802.5</v>
      </c>
      <c r="H47" s="66">
        <f>SUM(D47:G47)</f>
        <v>27787.57</v>
      </c>
      <c r="I47" s="292">
        <v>11928</v>
      </c>
      <c r="J47" s="219">
        <v>1025.25</v>
      </c>
      <c r="K47" s="219">
        <f>'Non-Resident'!K47</f>
        <v>12411</v>
      </c>
      <c r="L47" s="219">
        <f>'Non-Resident'!L47*0.5</f>
        <v>3898</v>
      </c>
      <c r="M47" s="66">
        <f>SUM(I47:L47)</f>
        <v>29262.25</v>
      </c>
      <c r="N47" s="176">
        <f>M47-H47</f>
        <v>1474.6800000000003</v>
      </c>
      <c r="O47" s="177">
        <f>N47/H47</f>
        <v>5.3069771844029556E-2</v>
      </c>
    </row>
    <row r="48" spans="1:15" s="157" customFormat="1" ht="15.75" customHeight="1" x14ac:dyDescent="0.2">
      <c r="A48" s="59"/>
      <c r="B48" s="60"/>
      <c r="C48" s="60" t="s">
        <v>73</v>
      </c>
      <c r="D48" s="176">
        <v>11070</v>
      </c>
      <c r="E48" s="219">
        <v>1035.07</v>
      </c>
      <c r="F48" s="219">
        <v>11439</v>
      </c>
      <c r="G48" s="219">
        <v>3802.5</v>
      </c>
      <c r="H48" s="66">
        <f>SUM(D48:G48)</f>
        <v>27346.57</v>
      </c>
      <c r="I48" s="176">
        <v>11474</v>
      </c>
      <c r="J48" s="219">
        <v>1025.25</v>
      </c>
      <c r="K48" s="219">
        <f>'Non-Resident'!K48</f>
        <v>12411</v>
      </c>
      <c r="L48" s="219">
        <f>'Non-Resident'!L48*0.5</f>
        <v>3898</v>
      </c>
      <c r="M48" s="66">
        <f>SUM(I48:L48)</f>
        <v>28808.25</v>
      </c>
      <c r="N48" s="176">
        <f>M48-H48</f>
        <v>1461.6800000000003</v>
      </c>
      <c r="O48" s="177">
        <f>N48/H48</f>
        <v>5.345021331742885E-2</v>
      </c>
    </row>
    <row r="49" spans="1:17" s="157" customFormat="1" ht="15.75" customHeight="1" thickBot="1" x14ac:dyDescent="0.25">
      <c r="A49" s="77"/>
      <c r="B49" s="78"/>
      <c r="C49" s="78" t="s">
        <v>115</v>
      </c>
      <c r="D49" s="184">
        <v>11511</v>
      </c>
      <c r="E49" s="227">
        <v>1035.07</v>
      </c>
      <c r="F49" s="227">
        <v>11439</v>
      </c>
      <c r="G49" s="227">
        <v>3802.5</v>
      </c>
      <c r="H49" s="79">
        <f>SUM(D49:G49)</f>
        <v>27787.57</v>
      </c>
      <c r="I49" s="184">
        <v>11928.33</v>
      </c>
      <c r="J49" s="227">
        <v>1025.25</v>
      </c>
      <c r="K49" s="227">
        <f>'Non-Resident'!K49</f>
        <v>12411</v>
      </c>
      <c r="L49" s="227">
        <f>'Non-Resident'!L49*0.5</f>
        <v>3898</v>
      </c>
      <c r="M49" s="79">
        <f>SUM(I49:L49)</f>
        <v>29262.58</v>
      </c>
      <c r="N49" s="292">
        <f>M49-H49</f>
        <v>1475.010000000002</v>
      </c>
      <c r="O49" s="293">
        <f>N49/H49</f>
        <v>5.3081647657567829E-2</v>
      </c>
      <c r="P49" s="262"/>
    </row>
    <row r="50" spans="1:17" s="157" customFormat="1" ht="15.75" thickBot="1" x14ac:dyDescent="0.3">
      <c r="A50" s="55" t="s">
        <v>68</v>
      </c>
      <c r="B50" s="56"/>
      <c r="C50" s="56"/>
      <c r="D50" s="188"/>
      <c r="E50" s="217"/>
      <c r="F50" s="217"/>
      <c r="G50" s="217"/>
      <c r="H50" s="73"/>
      <c r="I50" s="188"/>
      <c r="J50" s="217"/>
      <c r="K50" s="313"/>
      <c r="L50" s="313"/>
      <c r="M50" s="73"/>
      <c r="N50" s="188"/>
      <c r="O50" s="189"/>
    </row>
    <row r="51" spans="1:17" s="157" customFormat="1" ht="15.75" customHeight="1" x14ac:dyDescent="0.2">
      <c r="A51" s="61"/>
      <c r="B51" s="62" t="s">
        <v>2</v>
      </c>
      <c r="C51" s="126"/>
      <c r="D51" s="195"/>
      <c r="E51" s="172"/>
      <c r="F51" s="172"/>
      <c r="G51" s="172"/>
      <c r="H51" s="148"/>
      <c r="I51" s="195"/>
      <c r="J51" s="172"/>
      <c r="K51" s="172"/>
      <c r="L51" s="172"/>
      <c r="M51" s="148"/>
      <c r="N51" s="195"/>
      <c r="O51" s="173"/>
    </row>
    <row r="52" spans="1:17" s="157" customFormat="1" ht="15.75" customHeight="1" x14ac:dyDescent="0.2">
      <c r="A52" s="59"/>
      <c r="B52" s="60"/>
      <c r="C52" s="124" t="s">
        <v>74</v>
      </c>
      <c r="D52" s="176">
        <v>12576</v>
      </c>
      <c r="E52" s="219">
        <v>911.84</v>
      </c>
      <c r="F52" s="219">
        <v>11844</v>
      </c>
      <c r="G52" s="219">
        <v>3655</v>
      </c>
      <c r="H52" s="66">
        <f>SUM(D52:G52)</f>
        <v>28986.84</v>
      </c>
      <c r="I52" s="176">
        <v>12996</v>
      </c>
      <c r="J52" s="219">
        <v>754.4</v>
      </c>
      <c r="K52" s="219">
        <f>'Non-Resident'!K52</f>
        <v>14000</v>
      </c>
      <c r="L52" s="219">
        <f>'Non-Resident'!L52*0.5</f>
        <v>3898</v>
      </c>
      <c r="M52" s="66">
        <f t="shared" ref="M52:M67" si="8">SUM(I52:L52)</f>
        <v>31648.400000000001</v>
      </c>
      <c r="N52" s="176">
        <f>M52-H52</f>
        <v>2661.5600000000013</v>
      </c>
      <c r="O52" s="177">
        <f>N52/H52</f>
        <v>9.1819598134877806E-2</v>
      </c>
    </row>
    <row r="53" spans="1:17" s="157" customFormat="1" ht="15.75" customHeight="1" x14ac:dyDescent="0.2">
      <c r="A53" s="59"/>
      <c r="B53" s="60"/>
      <c r="C53" s="124" t="s">
        <v>108</v>
      </c>
      <c r="D53" s="248">
        <v>13176</v>
      </c>
      <c r="E53" s="131">
        <v>911.84</v>
      </c>
      <c r="F53" s="131">
        <v>11844</v>
      </c>
      <c r="G53" s="131">
        <v>3655</v>
      </c>
      <c r="H53" s="66">
        <f>SUM(D53:G53)</f>
        <v>29586.84</v>
      </c>
      <c r="I53" s="248">
        <v>13596</v>
      </c>
      <c r="J53" s="131">
        <v>754.4</v>
      </c>
      <c r="K53" s="131">
        <f>'Non-Resident'!K53</f>
        <v>14000</v>
      </c>
      <c r="L53" s="131">
        <f>'Non-Resident'!L53*0.5</f>
        <v>3898</v>
      </c>
      <c r="M53" s="66">
        <f t="shared" si="8"/>
        <v>32248.400000000001</v>
      </c>
      <c r="N53" s="176">
        <f>M53-H53</f>
        <v>2661.5600000000013</v>
      </c>
      <c r="O53" s="177">
        <f>N53/H53</f>
        <v>8.9957562213470621E-2</v>
      </c>
    </row>
    <row r="54" spans="1:17" s="157" customFormat="1" ht="15.75" customHeight="1" thickBot="1" x14ac:dyDescent="0.25">
      <c r="A54" s="59"/>
      <c r="B54" s="60"/>
      <c r="C54" s="124" t="s">
        <v>80</v>
      </c>
      <c r="D54" s="248">
        <v>13620</v>
      </c>
      <c r="E54" s="131">
        <v>911.84</v>
      </c>
      <c r="F54" s="131">
        <v>11844</v>
      </c>
      <c r="G54" s="131">
        <v>3655</v>
      </c>
      <c r="H54" s="66">
        <f>SUM(D54:G54)</f>
        <v>30030.84</v>
      </c>
      <c r="I54" s="248">
        <v>14064</v>
      </c>
      <c r="J54" s="131">
        <v>754.4</v>
      </c>
      <c r="K54" s="131">
        <f>'Non-Resident'!K54</f>
        <v>14000</v>
      </c>
      <c r="L54" s="131">
        <f>'Non-Resident'!L54*0.5</f>
        <v>3898</v>
      </c>
      <c r="M54" s="66">
        <f t="shared" si="8"/>
        <v>32716.400000000001</v>
      </c>
      <c r="N54" s="176">
        <f>M54-H54</f>
        <v>2685.5600000000013</v>
      </c>
      <c r="O54" s="177">
        <f>N54/H54</f>
        <v>8.9426735982077135E-2</v>
      </c>
    </row>
    <row r="55" spans="1:17" s="157" customFormat="1" ht="15.75" customHeight="1" x14ac:dyDescent="0.2">
      <c r="A55" s="61"/>
      <c r="B55" s="62" t="s">
        <v>106</v>
      </c>
      <c r="C55" s="126"/>
      <c r="D55" s="195"/>
      <c r="E55" s="172"/>
      <c r="F55" s="172"/>
      <c r="G55" s="172"/>
      <c r="H55" s="148"/>
      <c r="I55" s="195"/>
      <c r="J55" s="172"/>
      <c r="K55" s="172"/>
      <c r="L55" s="172"/>
      <c r="M55" s="148"/>
      <c r="N55" s="195"/>
      <c r="O55" s="173"/>
    </row>
    <row r="56" spans="1:17" s="157" customFormat="1" ht="15.75" customHeight="1" x14ac:dyDescent="0.2">
      <c r="A56" s="59"/>
      <c r="B56" s="60"/>
      <c r="C56" s="124" t="s">
        <v>74</v>
      </c>
      <c r="D56" s="176">
        <v>13200</v>
      </c>
      <c r="E56" s="219">
        <v>911.84</v>
      </c>
      <c r="F56" s="219">
        <v>11844</v>
      </c>
      <c r="G56" s="219">
        <v>3655</v>
      </c>
      <c r="H56" s="66">
        <f>SUM(D56:G56)</f>
        <v>29610.84</v>
      </c>
      <c r="I56" s="176">
        <v>13644</v>
      </c>
      <c r="J56" s="219">
        <v>754.4</v>
      </c>
      <c r="K56" s="219">
        <f>'Non-Resident'!K56</f>
        <v>14000</v>
      </c>
      <c r="L56" s="219">
        <f>'Non-Resident'!L56*0.5</f>
        <v>3898</v>
      </c>
      <c r="M56" s="66">
        <f>SUM(I56:L56)</f>
        <v>32296.400000000001</v>
      </c>
      <c r="N56" s="176">
        <f>M56-H56</f>
        <v>2685.5600000000013</v>
      </c>
      <c r="O56" s="177">
        <f>N56/H56</f>
        <v>9.0695164338465278E-2</v>
      </c>
    </row>
    <row r="57" spans="1:17" s="157" customFormat="1" ht="15.75" customHeight="1" x14ac:dyDescent="0.2">
      <c r="A57" s="59"/>
      <c r="B57" s="60"/>
      <c r="C57" s="124" t="s">
        <v>108</v>
      </c>
      <c r="D57" s="176">
        <v>13800</v>
      </c>
      <c r="E57" s="219">
        <v>911.84</v>
      </c>
      <c r="F57" s="219">
        <v>11844</v>
      </c>
      <c r="G57" s="219">
        <v>3655</v>
      </c>
      <c r="H57" s="66">
        <f>SUM(D57:G57)</f>
        <v>30210.84</v>
      </c>
      <c r="I57" s="176">
        <v>14244</v>
      </c>
      <c r="J57" s="219">
        <v>754.4</v>
      </c>
      <c r="K57" s="219">
        <f>'Non-Resident'!K57</f>
        <v>14000</v>
      </c>
      <c r="L57" s="219">
        <f>'Non-Resident'!L57*0.5</f>
        <v>3898</v>
      </c>
      <c r="M57" s="66">
        <f>SUM(I57:L57)</f>
        <v>32896.400000000001</v>
      </c>
      <c r="N57" s="176">
        <f>M57-H57</f>
        <v>2685.5600000000013</v>
      </c>
      <c r="O57" s="177">
        <f>N57/H57</f>
        <v>8.8893920195532508E-2</v>
      </c>
    </row>
    <row r="58" spans="1:17" s="157" customFormat="1" ht="15.75" customHeight="1" thickBot="1" x14ac:dyDescent="0.25">
      <c r="A58" s="77"/>
      <c r="B58" s="78"/>
      <c r="C58" s="129" t="s">
        <v>80</v>
      </c>
      <c r="D58" s="184">
        <v>14304</v>
      </c>
      <c r="E58" s="227">
        <v>911.84</v>
      </c>
      <c r="F58" s="227">
        <v>11844</v>
      </c>
      <c r="G58" s="227">
        <v>3655</v>
      </c>
      <c r="H58" s="79">
        <f>SUM(D58:G58)</f>
        <v>30714.84</v>
      </c>
      <c r="I58" s="184">
        <v>14772</v>
      </c>
      <c r="J58" s="227">
        <v>754.4</v>
      </c>
      <c r="K58" s="227">
        <f>'Non-Resident'!K58</f>
        <v>14000</v>
      </c>
      <c r="L58" s="227">
        <f>'Non-Resident'!L58*0.5</f>
        <v>3898</v>
      </c>
      <c r="M58" s="79">
        <f>SUM(I58:L58)</f>
        <v>33424.400000000001</v>
      </c>
      <c r="N58" s="184">
        <f>M58-H58</f>
        <v>2709.5600000000013</v>
      </c>
      <c r="O58" s="185">
        <f>N58/H58</f>
        <v>8.8216640555510012E-2</v>
      </c>
    </row>
    <row r="59" spans="1:17" s="288" customFormat="1" ht="15.75" thickBot="1" x14ac:dyDescent="0.3">
      <c r="A59" s="55" t="s">
        <v>68</v>
      </c>
      <c r="B59" s="56"/>
      <c r="C59" s="56"/>
      <c r="D59" s="188"/>
      <c r="E59" s="217"/>
      <c r="F59" s="217"/>
      <c r="G59" s="217"/>
      <c r="H59" s="73"/>
      <c r="I59" s="188"/>
      <c r="J59" s="217"/>
      <c r="K59" s="217"/>
      <c r="L59" s="217"/>
      <c r="M59" s="73"/>
      <c r="N59" s="188"/>
      <c r="O59" s="189"/>
    </row>
    <row r="60" spans="1:17" s="157" customFormat="1" ht="15.75" customHeight="1" x14ac:dyDescent="0.2">
      <c r="A60" s="286"/>
      <c r="B60" s="60" t="s">
        <v>4</v>
      </c>
      <c r="C60" s="122"/>
      <c r="D60" s="193"/>
      <c r="E60" s="218"/>
      <c r="F60" s="218"/>
      <c r="G60" s="218"/>
      <c r="H60" s="74"/>
      <c r="I60" s="193"/>
      <c r="J60" s="218"/>
      <c r="K60" s="218"/>
      <c r="L60" s="218"/>
      <c r="M60" s="74"/>
      <c r="N60" s="193"/>
      <c r="O60" s="194"/>
    </row>
    <row r="61" spans="1:17" s="157" customFormat="1" ht="15.75" customHeight="1" x14ac:dyDescent="0.2">
      <c r="A61" s="59"/>
      <c r="B61" s="60"/>
      <c r="C61" s="124" t="s">
        <v>7</v>
      </c>
      <c r="D61" s="176">
        <v>11637</v>
      </c>
      <c r="E61" s="219">
        <v>833.84</v>
      </c>
      <c r="F61" s="219">
        <v>11844</v>
      </c>
      <c r="G61" s="219">
        <v>3655</v>
      </c>
      <c r="H61" s="66">
        <f t="shared" ref="H61:H67" si="9">SUM(D61:G61)</f>
        <v>27969.84</v>
      </c>
      <c r="I61" s="176">
        <v>11997</v>
      </c>
      <c r="J61" s="219">
        <v>718.4</v>
      </c>
      <c r="K61" s="219">
        <f>'Non-Resident'!K61</f>
        <v>12411</v>
      </c>
      <c r="L61" s="219">
        <f>'Non-Resident'!L61*0.5</f>
        <v>3898</v>
      </c>
      <c r="M61" s="66">
        <f t="shared" si="8"/>
        <v>29024.400000000001</v>
      </c>
      <c r="N61" s="176">
        <f t="shared" ref="N61:N67" si="10">M61-H61</f>
        <v>1054.5600000000013</v>
      </c>
      <c r="O61" s="177">
        <f t="shared" ref="O61:O67" si="11">N61/H61</f>
        <v>3.7703469165358161E-2</v>
      </c>
      <c r="Q61" s="219"/>
    </row>
    <row r="62" spans="1:17" s="157" customFormat="1" ht="15.75" customHeight="1" x14ac:dyDescent="0.2">
      <c r="A62" s="59"/>
      <c r="B62" s="60"/>
      <c r="C62" s="124" t="s">
        <v>8</v>
      </c>
      <c r="D62" s="176">
        <v>11637</v>
      </c>
      <c r="E62" s="219">
        <v>833.84</v>
      </c>
      <c r="F62" s="219">
        <v>11844</v>
      </c>
      <c r="G62" s="219">
        <v>3655</v>
      </c>
      <c r="H62" s="66">
        <f t="shared" si="9"/>
        <v>27969.84</v>
      </c>
      <c r="I62" s="176">
        <v>11997</v>
      </c>
      <c r="J62" s="219">
        <v>718.4</v>
      </c>
      <c r="K62" s="219">
        <f>'Non-Resident'!K62</f>
        <v>12411</v>
      </c>
      <c r="L62" s="219">
        <f>'Non-Resident'!L62*0.5</f>
        <v>3898</v>
      </c>
      <c r="M62" s="66">
        <f t="shared" si="8"/>
        <v>29024.400000000001</v>
      </c>
      <c r="N62" s="176">
        <f t="shared" si="10"/>
        <v>1054.5600000000013</v>
      </c>
      <c r="O62" s="177">
        <f t="shared" si="11"/>
        <v>3.7703469165358161E-2</v>
      </c>
    </row>
    <row r="63" spans="1:17" s="157" customFormat="1" ht="15.75" customHeight="1" x14ac:dyDescent="0.2">
      <c r="A63" s="59"/>
      <c r="B63" s="60"/>
      <c r="C63" s="124" t="s">
        <v>109</v>
      </c>
      <c r="D63" s="176">
        <v>12744</v>
      </c>
      <c r="E63" s="219">
        <v>833.84</v>
      </c>
      <c r="F63" s="219">
        <v>11844</v>
      </c>
      <c r="G63" s="219">
        <v>3655</v>
      </c>
      <c r="H63" s="66">
        <f t="shared" si="9"/>
        <v>29076.84</v>
      </c>
      <c r="I63" s="176">
        <v>13104</v>
      </c>
      <c r="J63" s="219">
        <v>718.4</v>
      </c>
      <c r="K63" s="219">
        <f>'Non-Resident'!K63</f>
        <v>12411</v>
      </c>
      <c r="L63" s="219">
        <f>'Non-Resident'!L63*0.5</f>
        <v>3898</v>
      </c>
      <c r="M63" s="66">
        <f t="shared" si="8"/>
        <v>30131.4</v>
      </c>
      <c r="N63" s="176">
        <f t="shared" si="10"/>
        <v>1054.5600000000013</v>
      </c>
      <c r="O63" s="177">
        <f t="shared" si="11"/>
        <v>3.6268040130908355E-2</v>
      </c>
    </row>
    <row r="64" spans="1:17" s="157" customFormat="1" ht="15.75" customHeight="1" x14ac:dyDescent="0.2">
      <c r="A64" s="59"/>
      <c r="B64" s="60"/>
      <c r="C64" s="124" t="s">
        <v>22</v>
      </c>
      <c r="D64" s="176">
        <v>11637</v>
      </c>
      <c r="E64" s="219">
        <v>833.84</v>
      </c>
      <c r="F64" s="219">
        <v>11844</v>
      </c>
      <c r="G64" s="219">
        <v>3655</v>
      </c>
      <c r="H64" s="66">
        <f t="shared" si="9"/>
        <v>27969.84</v>
      </c>
      <c r="I64" s="176">
        <v>11997</v>
      </c>
      <c r="J64" s="219">
        <v>718.4</v>
      </c>
      <c r="K64" s="219">
        <f>'Non-Resident'!K64</f>
        <v>12411</v>
      </c>
      <c r="L64" s="219">
        <f>'Non-Resident'!L64*0.5</f>
        <v>3898</v>
      </c>
      <c r="M64" s="66">
        <f t="shared" si="8"/>
        <v>29024.400000000001</v>
      </c>
      <c r="N64" s="176">
        <f t="shared" si="10"/>
        <v>1054.5600000000013</v>
      </c>
      <c r="O64" s="177">
        <f t="shared" si="11"/>
        <v>3.7703469165358161E-2</v>
      </c>
    </row>
    <row r="65" spans="1:22" s="157" customFormat="1" ht="15.75" customHeight="1" x14ac:dyDescent="0.2">
      <c r="A65" s="59"/>
      <c r="B65" s="60"/>
      <c r="C65" s="124" t="s">
        <v>9</v>
      </c>
      <c r="D65" s="176">
        <v>11637</v>
      </c>
      <c r="E65" s="219">
        <v>833.84</v>
      </c>
      <c r="F65" s="219">
        <v>11844</v>
      </c>
      <c r="G65" s="219">
        <v>3655</v>
      </c>
      <c r="H65" s="66">
        <f t="shared" si="9"/>
        <v>27969.84</v>
      </c>
      <c r="I65" s="176">
        <v>11997</v>
      </c>
      <c r="J65" s="219">
        <v>718.4</v>
      </c>
      <c r="K65" s="219">
        <f>'Non-Resident'!K65</f>
        <v>12411</v>
      </c>
      <c r="L65" s="219">
        <f>'Non-Resident'!L65*0.5</f>
        <v>3898</v>
      </c>
      <c r="M65" s="66">
        <f t="shared" si="8"/>
        <v>29024.400000000001</v>
      </c>
      <c r="N65" s="176">
        <f t="shared" si="10"/>
        <v>1054.5600000000013</v>
      </c>
      <c r="O65" s="177">
        <f t="shared" si="11"/>
        <v>3.7703469165358161E-2</v>
      </c>
    </row>
    <row r="66" spans="1:22" s="157" customFormat="1" ht="15.75" customHeight="1" x14ac:dyDescent="0.2">
      <c r="A66" s="59"/>
      <c r="B66" s="60"/>
      <c r="C66" s="72" t="s">
        <v>6</v>
      </c>
      <c r="D66" s="176">
        <v>11637</v>
      </c>
      <c r="E66" s="219">
        <v>833.84</v>
      </c>
      <c r="F66" s="219">
        <v>11844</v>
      </c>
      <c r="G66" s="219">
        <v>3655</v>
      </c>
      <c r="H66" s="66">
        <f t="shared" si="9"/>
        <v>27969.84</v>
      </c>
      <c r="I66" s="176">
        <v>11997</v>
      </c>
      <c r="J66" s="219">
        <v>718.4</v>
      </c>
      <c r="K66" s="219">
        <f>'Non-Resident'!K66</f>
        <v>12411</v>
      </c>
      <c r="L66" s="219">
        <f>'Non-Resident'!L66*0.5</f>
        <v>3898</v>
      </c>
      <c r="M66" s="66">
        <f t="shared" si="8"/>
        <v>29024.400000000001</v>
      </c>
      <c r="N66" s="176">
        <f t="shared" si="10"/>
        <v>1054.5600000000013</v>
      </c>
      <c r="O66" s="177">
        <f t="shared" si="11"/>
        <v>3.7703469165358161E-2</v>
      </c>
    </row>
    <row r="67" spans="1:22" s="157" customFormat="1" ht="15.75" customHeight="1" thickBot="1" x14ac:dyDescent="0.25">
      <c r="A67" s="77"/>
      <c r="B67" s="78"/>
      <c r="C67" s="129" t="s">
        <v>3</v>
      </c>
      <c r="D67" s="184">
        <v>12744</v>
      </c>
      <c r="E67" s="219">
        <v>833.84</v>
      </c>
      <c r="F67" s="227">
        <v>11844</v>
      </c>
      <c r="G67" s="227">
        <v>3655</v>
      </c>
      <c r="H67" s="79">
        <f t="shared" si="9"/>
        <v>29076.84</v>
      </c>
      <c r="I67" s="184">
        <v>13104</v>
      </c>
      <c r="J67" s="219">
        <v>718.4</v>
      </c>
      <c r="K67" s="227">
        <f>'Non-Resident'!K67</f>
        <v>12411</v>
      </c>
      <c r="L67" s="227">
        <f>'Non-Resident'!L67*0.5</f>
        <v>3898</v>
      </c>
      <c r="M67" s="79">
        <f t="shared" si="8"/>
        <v>30131.4</v>
      </c>
      <c r="N67" s="184">
        <f t="shared" si="10"/>
        <v>1054.5600000000013</v>
      </c>
      <c r="O67" s="185">
        <f t="shared" si="11"/>
        <v>3.6268040130908355E-2</v>
      </c>
    </row>
    <row r="68" spans="1:22" s="157" customFormat="1" ht="18" thickBot="1" x14ac:dyDescent="0.3">
      <c r="A68" s="55" t="s">
        <v>103</v>
      </c>
      <c r="B68" s="56"/>
      <c r="C68" s="56"/>
      <c r="D68" s="188"/>
      <c r="E68" s="217"/>
      <c r="F68" s="217"/>
      <c r="G68" s="217"/>
      <c r="H68" s="312"/>
      <c r="I68" s="188"/>
      <c r="J68" s="217"/>
      <c r="K68" s="217"/>
      <c r="L68" s="217"/>
      <c r="M68" s="312"/>
      <c r="N68" s="188"/>
      <c r="O68" s="189"/>
    </row>
    <row r="69" spans="1:22" s="157" customFormat="1" ht="15.75" customHeight="1" x14ac:dyDescent="0.2">
      <c r="A69" s="59"/>
      <c r="B69" s="60" t="s">
        <v>2</v>
      </c>
      <c r="C69" s="72"/>
      <c r="D69" s="170"/>
      <c r="E69" s="233"/>
      <c r="F69" s="233"/>
      <c r="G69" s="233"/>
      <c r="H69" s="224"/>
      <c r="I69" s="170"/>
      <c r="J69" s="233"/>
      <c r="K69" s="233"/>
      <c r="L69" s="233"/>
      <c r="M69" s="224"/>
      <c r="N69" s="170"/>
      <c r="O69" s="204"/>
    </row>
    <row r="70" spans="1:22" s="157" customFormat="1" ht="15.75" customHeight="1" x14ac:dyDescent="0.2">
      <c r="A70" s="59"/>
      <c r="B70" s="60"/>
      <c r="C70" s="72" t="s">
        <v>12</v>
      </c>
      <c r="D70" s="176">
        <v>11520</v>
      </c>
      <c r="E70" s="219">
        <v>223.4</v>
      </c>
      <c r="F70" s="219">
        <v>11439</v>
      </c>
      <c r="G70" s="219">
        <f t="shared" ref="G70:G87" si="12">$G$10</f>
        <v>3655</v>
      </c>
      <c r="H70" s="66">
        <f>SUM(D70:G70)</f>
        <v>26837.4</v>
      </c>
      <c r="I70" s="292">
        <f>'Non-Resident'!I70/30*12</f>
        <v>11760</v>
      </c>
      <c r="J70" s="219">
        <v>223.4</v>
      </c>
      <c r="K70" s="219">
        <f>'Non-Resident'!K70</f>
        <v>12411</v>
      </c>
      <c r="L70" s="219">
        <f>'Non-Resident'!L70*0.5</f>
        <v>3898</v>
      </c>
      <c r="M70" s="66">
        <f t="shared" ref="M70:M86" si="13">SUM(I70:L70)</f>
        <v>28292.400000000001</v>
      </c>
      <c r="N70" s="176">
        <f>M70-H70</f>
        <v>1455</v>
      </c>
      <c r="O70" s="177">
        <f>N70/H70</f>
        <v>5.4215385991191391E-2</v>
      </c>
    </row>
    <row r="71" spans="1:22" s="157" customFormat="1" ht="15.75" customHeight="1" x14ac:dyDescent="0.2">
      <c r="A71" s="59"/>
      <c r="B71" s="60"/>
      <c r="C71" s="70" t="s">
        <v>35</v>
      </c>
      <c r="D71" s="143">
        <v>6360</v>
      </c>
      <c r="E71" s="163">
        <v>223.4</v>
      </c>
      <c r="F71" s="163">
        <v>11439</v>
      </c>
      <c r="G71" s="163">
        <f t="shared" si="12"/>
        <v>3655</v>
      </c>
      <c r="H71" s="71">
        <f>SUM(D71:G71)</f>
        <v>21677.4</v>
      </c>
      <c r="I71" s="143">
        <f>'Non-Resident'!I71/30*12</f>
        <v>6480</v>
      </c>
      <c r="J71" s="163">
        <v>223.4</v>
      </c>
      <c r="K71" s="163">
        <f>'Non-Resident'!K71</f>
        <v>12411</v>
      </c>
      <c r="L71" s="163">
        <f>'Non-Resident'!L71*0.5</f>
        <v>3898</v>
      </c>
      <c r="M71" s="71">
        <f t="shared" si="13"/>
        <v>23012.400000000001</v>
      </c>
      <c r="N71" s="143">
        <f>M71-H71</f>
        <v>1335</v>
      </c>
      <c r="O71" s="181">
        <f>N71/H71</f>
        <v>6.1584876415068227E-2</v>
      </c>
      <c r="P71" s="284"/>
      <c r="Q71" s="284"/>
    </row>
    <row r="72" spans="1:22" s="157" customFormat="1" ht="15.75" customHeight="1" x14ac:dyDescent="0.2">
      <c r="A72" s="75"/>
      <c r="B72" s="76" t="s">
        <v>4</v>
      </c>
      <c r="C72" s="88"/>
      <c r="D72" s="176"/>
      <c r="E72" s="219"/>
      <c r="F72" s="219"/>
      <c r="G72" s="219"/>
      <c r="H72" s="66"/>
      <c r="I72" s="292"/>
      <c r="J72" s="219"/>
      <c r="K72" s="219"/>
      <c r="L72" s="219"/>
      <c r="M72" s="66"/>
      <c r="N72" s="176"/>
      <c r="O72" s="177"/>
      <c r="P72" s="284"/>
      <c r="Q72" s="284"/>
    </row>
    <row r="73" spans="1:22" s="157" customFormat="1" ht="15.75" customHeight="1" x14ac:dyDescent="0.2">
      <c r="A73" s="59"/>
      <c r="B73" s="60"/>
      <c r="C73" s="72" t="s">
        <v>49</v>
      </c>
      <c r="D73" s="176">
        <v>11493</v>
      </c>
      <c r="E73" s="219">
        <v>223.4</v>
      </c>
      <c r="F73" s="219">
        <v>11439</v>
      </c>
      <c r="G73" s="219">
        <f t="shared" si="12"/>
        <v>3655</v>
      </c>
      <c r="H73" s="66">
        <f t="shared" ref="H73:H87" si="14">SUM(D73:G73)</f>
        <v>26810.400000000001</v>
      </c>
      <c r="I73" s="292">
        <f>'Non-Resident'!I73/24*9</f>
        <v>11835</v>
      </c>
      <c r="J73" s="219">
        <v>223.4</v>
      </c>
      <c r="K73" s="219">
        <f>'Non-Resident'!K73</f>
        <v>12411</v>
      </c>
      <c r="L73" s="219">
        <f>'Non-Resident'!L73*0.5</f>
        <v>3898</v>
      </c>
      <c r="M73" s="66">
        <f>SUM(I73:L73)</f>
        <v>28367.4</v>
      </c>
      <c r="N73" s="176">
        <f>M73-H73</f>
        <v>1557</v>
      </c>
      <c r="O73" s="177">
        <f>N73/H73</f>
        <v>5.8074478560558584E-2</v>
      </c>
      <c r="P73" s="284"/>
      <c r="Q73" s="250"/>
      <c r="R73" s="250"/>
    </row>
    <row r="74" spans="1:22" s="157" customFormat="1" ht="15.75" customHeight="1" x14ac:dyDescent="0.2">
      <c r="A74" s="59"/>
      <c r="B74" s="60"/>
      <c r="C74" s="72" t="s">
        <v>50</v>
      </c>
      <c r="D74" s="176">
        <v>9189</v>
      </c>
      <c r="E74" s="219">
        <v>223.4</v>
      </c>
      <c r="F74" s="219">
        <v>11439</v>
      </c>
      <c r="G74" s="219">
        <f t="shared" si="12"/>
        <v>3655</v>
      </c>
      <c r="H74" s="66">
        <f t="shared" si="14"/>
        <v>24506.400000000001</v>
      </c>
      <c r="I74" s="292">
        <f>'Non-Resident'!I74/24*9</f>
        <v>9468</v>
      </c>
      <c r="J74" s="219">
        <v>223.4</v>
      </c>
      <c r="K74" s="219">
        <f>'Non-Resident'!K74</f>
        <v>12411</v>
      </c>
      <c r="L74" s="219">
        <f>'Non-Resident'!L74*0.5</f>
        <v>3898</v>
      </c>
      <c r="M74" s="66">
        <f t="shared" si="13"/>
        <v>26000.400000000001</v>
      </c>
      <c r="N74" s="176">
        <f>M74-H74</f>
        <v>1494</v>
      </c>
      <c r="O74" s="177">
        <f>N74/H74</f>
        <v>6.0963666634022126E-2</v>
      </c>
      <c r="P74" s="284"/>
      <c r="Q74" s="284"/>
      <c r="V74" s="249"/>
    </row>
    <row r="75" spans="1:22" s="157" customFormat="1" ht="15.75" customHeight="1" x14ac:dyDescent="0.2">
      <c r="A75" s="59"/>
      <c r="B75" s="60"/>
      <c r="C75" s="124" t="s">
        <v>51</v>
      </c>
      <c r="D75" s="176">
        <v>12411</v>
      </c>
      <c r="E75" s="219">
        <v>223.4</v>
      </c>
      <c r="F75" s="219">
        <v>11439</v>
      </c>
      <c r="G75" s="219">
        <f t="shared" si="12"/>
        <v>3655</v>
      </c>
      <c r="H75" s="66">
        <f t="shared" si="14"/>
        <v>27728.400000000001</v>
      </c>
      <c r="I75" s="292">
        <f>'Non-Resident'!I75/24*9</f>
        <v>12906</v>
      </c>
      <c r="J75" s="219">
        <v>223.4</v>
      </c>
      <c r="K75" s="219">
        <f>'Non-Resident'!K75</f>
        <v>12411</v>
      </c>
      <c r="L75" s="219">
        <f>'Non-Resident'!L75*0.5</f>
        <v>3898</v>
      </c>
      <c r="M75" s="66">
        <f t="shared" si="13"/>
        <v>29438.400000000001</v>
      </c>
      <c r="N75" s="176">
        <f>M75-H75</f>
        <v>1710</v>
      </c>
      <c r="O75" s="177">
        <f>N75/H75</f>
        <v>6.1669623923486384E-2</v>
      </c>
      <c r="P75" s="284"/>
      <c r="Q75" s="284"/>
    </row>
    <row r="76" spans="1:22" s="157" customFormat="1" ht="15.75" customHeight="1" x14ac:dyDescent="0.2">
      <c r="A76" s="59"/>
      <c r="B76" s="60"/>
      <c r="C76" s="72" t="s">
        <v>30</v>
      </c>
      <c r="D76" s="176">
        <v>12168</v>
      </c>
      <c r="E76" s="219">
        <v>223.4</v>
      </c>
      <c r="F76" s="219">
        <v>11439</v>
      </c>
      <c r="G76" s="219">
        <f t="shared" si="12"/>
        <v>3655</v>
      </c>
      <c r="H76" s="66">
        <f t="shared" si="14"/>
        <v>27485.4</v>
      </c>
      <c r="I76" s="292">
        <f>'Non-Resident'!I76/24*9</f>
        <v>12411</v>
      </c>
      <c r="J76" s="219">
        <v>223.4</v>
      </c>
      <c r="K76" s="219">
        <f>'Non-Resident'!K76</f>
        <v>12411</v>
      </c>
      <c r="L76" s="219">
        <f>'Non-Resident'!L76*0.5</f>
        <v>3898</v>
      </c>
      <c r="M76" s="66">
        <f t="shared" si="13"/>
        <v>28943.4</v>
      </c>
      <c r="N76" s="176">
        <f>M76-H76</f>
        <v>1458</v>
      </c>
      <c r="O76" s="177">
        <f t="shared" ref="O76:O86" si="15">N76/H76</f>
        <v>5.3046344604771985E-2</v>
      </c>
      <c r="P76" s="284"/>
      <c r="Q76" s="284"/>
    </row>
    <row r="77" spans="1:22" s="157" customFormat="1" ht="15.75" customHeight="1" x14ac:dyDescent="0.2">
      <c r="A77" s="59"/>
      <c r="B77" s="60"/>
      <c r="C77" s="72" t="s">
        <v>31</v>
      </c>
      <c r="D77" s="176">
        <v>10710</v>
      </c>
      <c r="E77" s="219">
        <v>223.4</v>
      </c>
      <c r="F77" s="219">
        <v>11439</v>
      </c>
      <c r="G77" s="219">
        <f t="shared" si="12"/>
        <v>3655</v>
      </c>
      <c r="H77" s="66">
        <f t="shared" si="14"/>
        <v>26027.4</v>
      </c>
      <c r="I77" s="292">
        <f>'Non-Resident'!I77/24*9</f>
        <v>10926</v>
      </c>
      <c r="J77" s="219">
        <v>223.4</v>
      </c>
      <c r="K77" s="219">
        <f>'Non-Resident'!K77</f>
        <v>12411</v>
      </c>
      <c r="L77" s="219">
        <f>'Non-Resident'!L77*0.5</f>
        <v>3898</v>
      </c>
      <c r="M77" s="66">
        <f t="shared" si="13"/>
        <v>27458.400000000001</v>
      </c>
      <c r="N77" s="176">
        <f t="shared" ref="N77:N86" si="16">M77-H77</f>
        <v>1431</v>
      </c>
      <c r="O77" s="177">
        <f t="shared" si="15"/>
        <v>5.4980520528366258E-2</v>
      </c>
      <c r="P77" s="284"/>
      <c r="Q77" s="284"/>
    </row>
    <row r="78" spans="1:22" s="157" customFormat="1" ht="15.75" customHeight="1" x14ac:dyDescent="0.2">
      <c r="A78" s="59"/>
      <c r="B78" s="60"/>
      <c r="C78" s="72" t="s">
        <v>36</v>
      </c>
      <c r="D78" s="176">
        <v>10710</v>
      </c>
      <c r="E78" s="219">
        <v>223.4</v>
      </c>
      <c r="F78" s="219">
        <v>11439</v>
      </c>
      <c r="G78" s="219">
        <f t="shared" si="12"/>
        <v>3655</v>
      </c>
      <c r="H78" s="66">
        <f t="shared" si="14"/>
        <v>26027.4</v>
      </c>
      <c r="I78" s="292">
        <f>'Non-Resident'!I78/24*9</f>
        <v>10926</v>
      </c>
      <c r="J78" s="219">
        <v>223.4</v>
      </c>
      <c r="K78" s="219">
        <f>'Non-Resident'!K78</f>
        <v>12411</v>
      </c>
      <c r="L78" s="219">
        <f>'Non-Resident'!L78*0.5</f>
        <v>3898</v>
      </c>
      <c r="M78" s="66">
        <f t="shared" si="13"/>
        <v>27458.400000000001</v>
      </c>
      <c r="N78" s="176">
        <f t="shared" si="16"/>
        <v>1431</v>
      </c>
      <c r="O78" s="177">
        <f t="shared" si="15"/>
        <v>5.4980520528366258E-2</v>
      </c>
      <c r="P78" s="284"/>
      <c r="Q78" s="284"/>
    </row>
    <row r="79" spans="1:22" s="157" customFormat="1" ht="15.75" customHeight="1" x14ac:dyDescent="0.2">
      <c r="A79" s="59"/>
      <c r="B79" s="60"/>
      <c r="C79" s="72" t="s">
        <v>37</v>
      </c>
      <c r="D79" s="176">
        <v>12168</v>
      </c>
      <c r="E79" s="219">
        <v>223.4</v>
      </c>
      <c r="F79" s="219">
        <v>11439</v>
      </c>
      <c r="G79" s="219">
        <f t="shared" si="12"/>
        <v>3655</v>
      </c>
      <c r="H79" s="66">
        <f t="shared" si="14"/>
        <v>27485.4</v>
      </c>
      <c r="I79" s="292">
        <f>'Non-Resident'!I79/24*9</f>
        <v>12411</v>
      </c>
      <c r="J79" s="219">
        <v>223.4</v>
      </c>
      <c r="K79" s="219">
        <f>'Non-Resident'!K79</f>
        <v>12411</v>
      </c>
      <c r="L79" s="219">
        <f>'Non-Resident'!L79*0.5</f>
        <v>3898</v>
      </c>
      <c r="M79" s="66">
        <f t="shared" si="13"/>
        <v>28943.4</v>
      </c>
      <c r="N79" s="176">
        <f t="shared" si="16"/>
        <v>1458</v>
      </c>
      <c r="O79" s="177">
        <f t="shared" si="15"/>
        <v>5.3046344604771985E-2</v>
      </c>
      <c r="P79" s="284"/>
      <c r="Q79" s="284"/>
      <c r="R79" s="250"/>
    </row>
    <row r="80" spans="1:22" s="157" customFormat="1" ht="15.75" customHeight="1" x14ac:dyDescent="0.2">
      <c r="A80" s="59"/>
      <c r="B80" s="60"/>
      <c r="C80" s="72" t="s">
        <v>20</v>
      </c>
      <c r="D80" s="176">
        <v>11916</v>
      </c>
      <c r="E80" s="219">
        <v>223.4</v>
      </c>
      <c r="F80" s="219">
        <v>11439</v>
      </c>
      <c r="G80" s="219">
        <f t="shared" si="12"/>
        <v>3655</v>
      </c>
      <c r="H80" s="66">
        <f t="shared" si="14"/>
        <v>27233.4</v>
      </c>
      <c r="I80" s="292">
        <f>'Non-Resident'!I80/24*9</f>
        <v>12510</v>
      </c>
      <c r="J80" s="219">
        <v>223.4</v>
      </c>
      <c r="K80" s="219">
        <f>'Non-Resident'!K80</f>
        <v>12411</v>
      </c>
      <c r="L80" s="219">
        <f>'Non-Resident'!L80*0.5</f>
        <v>3898</v>
      </c>
      <c r="M80" s="66">
        <f t="shared" si="13"/>
        <v>29042.400000000001</v>
      </c>
      <c r="N80" s="176">
        <f t="shared" si="16"/>
        <v>1809</v>
      </c>
      <c r="O80" s="177">
        <f t="shared" si="15"/>
        <v>6.6425785983388039E-2</v>
      </c>
      <c r="P80" s="284"/>
      <c r="Q80" s="284"/>
    </row>
    <row r="81" spans="1:17" s="157" customFormat="1" ht="15.75" customHeight="1" x14ac:dyDescent="0.2">
      <c r="A81" s="59"/>
      <c r="B81" s="60"/>
      <c r="C81" s="72" t="s">
        <v>38</v>
      </c>
      <c r="D81" s="176">
        <v>11115</v>
      </c>
      <c r="E81" s="219">
        <v>223.4</v>
      </c>
      <c r="F81" s="219">
        <v>11439</v>
      </c>
      <c r="G81" s="219">
        <f t="shared" si="12"/>
        <v>3655</v>
      </c>
      <c r="H81" s="66">
        <f t="shared" si="14"/>
        <v>26432.400000000001</v>
      </c>
      <c r="I81" s="292">
        <f>'Non-Resident'!I81/24*9</f>
        <v>11115</v>
      </c>
      <c r="J81" s="219">
        <v>223.4</v>
      </c>
      <c r="K81" s="219">
        <f>'Non-Resident'!K81</f>
        <v>12411</v>
      </c>
      <c r="L81" s="219">
        <f>'Non-Resident'!L81*0.5</f>
        <v>3898</v>
      </c>
      <c r="M81" s="66">
        <f t="shared" si="13"/>
        <v>27647.4</v>
      </c>
      <c r="N81" s="176">
        <f t="shared" si="16"/>
        <v>1215</v>
      </c>
      <c r="O81" s="177">
        <f t="shared" si="15"/>
        <v>4.5966314069097014E-2</v>
      </c>
      <c r="P81" s="284"/>
      <c r="Q81" s="284"/>
    </row>
    <row r="82" spans="1:17" s="157" customFormat="1" ht="15.75" customHeight="1" x14ac:dyDescent="0.2">
      <c r="A82" s="59"/>
      <c r="B82" s="60"/>
      <c r="C82" s="72" t="s">
        <v>70</v>
      </c>
      <c r="D82" s="176">
        <v>9531</v>
      </c>
      <c r="E82" s="219">
        <v>223.4</v>
      </c>
      <c r="F82" s="219">
        <v>11439</v>
      </c>
      <c r="G82" s="219">
        <f t="shared" si="12"/>
        <v>3655</v>
      </c>
      <c r="H82" s="66">
        <f t="shared" si="14"/>
        <v>24848.400000000001</v>
      </c>
      <c r="I82" s="292">
        <f>'Non-Resident'!I82/24*9</f>
        <v>9810</v>
      </c>
      <c r="J82" s="219">
        <v>223.4</v>
      </c>
      <c r="K82" s="219">
        <f>'Non-Resident'!K82</f>
        <v>12411</v>
      </c>
      <c r="L82" s="219">
        <f>'Non-Resident'!L82*0.5</f>
        <v>3898</v>
      </c>
      <c r="M82" s="66">
        <f t="shared" si="13"/>
        <v>26342.400000000001</v>
      </c>
      <c r="N82" s="176">
        <f t="shared" si="16"/>
        <v>1494</v>
      </c>
      <c r="O82" s="177">
        <f t="shared" si="15"/>
        <v>6.0124595547399427E-2</v>
      </c>
      <c r="P82" s="284"/>
      <c r="Q82" s="284"/>
    </row>
    <row r="83" spans="1:17" s="157" customFormat="1" ht="15.75" customHeight="1" x14ac:dyDescent="0.2">
      <c r="A83" s="59"/>
      <c r="B83" s="60"/>
      <c r="C83" s="72" t="s">
        <v>39</v>
      </c>
      <c r="D83" s="176">
        <v>9288</v>
      </c>
      <c r="E83" s="219">
        <v>223.4</v>
      </c>
      <c r="F83" s="219">
        <v>11439</v>
      </c>
      <c r="G83" s="219">
        <f t="shared" si="12"/>
        <v>3655</v>
      </c>
      <c r="H83" s="66">
        <f t="shared" si="14"/>
        <v>24605.4</v>
      </c>
      <c r="I83" s="292">
        <f>'Non-Resident'!I83/24*9</f>
        <v>9567</v>
      </c>
      <c r="J83" s="219">
        <v>223.4</v>
      </c>
      <c r="K83" s="219">
        <f>'Non-Resident'!K83</f>
        <v>12411</v>
      </c>
      <c r="L83" s="219">
        <f>'Non-Resident'!L83*0.5</f>
        <v>3898</v>
      </c>
      <c r="M83" s="66">
        <f t="shared" si="13"/>
        <v>26099.4</v>
      </c>
      <c r="N83" s="176">
        <f t="shared" si="16"/>
        <v>1494</v>
      </c>
      <c r="O83" s="177">
        <f t="shared" si="15"/>
        <v>6.0718378892438245E-2</v>
      </c>
      <c r="P83" s="284"/>
      <c r="Q83" s="284"/>
    </row>
    <row r="84" spans="1:17" s="157" customFormat="1" ht="15.75" customHeight="1" x14ac:dyDescent="0.2">
      <c r="A84" s="59"/>
      <c r="B84" s="60"/>
      <c r="C84" s="72" t="s">
        <v>32</v>
      </c>
      <c r="D84" s="176">
        <v>10575</v>
      </c>
      <c r="E84" s="219">
        <v>223.4</v>
      </c>
      <c r="F84" s="219">
        <v>11439</v>
      </c>
      <c r="G84" s="219">
        <f t="shared" si="12"/>
        <v>3655</v>
      </c>
      <c r="H84" s="66">
        <f t="shared" si="14"/>
        <v>25892.400000000001</v>
      </c>
      <c r="I84" s="292">
        <f>'Non-Resident'!I84/24*9</f>
        <v>10800</v>
      </c>
      <c r="J84" s="219">
        <v>223.4</v>
      </c>
      <c r="K84" s="219">
        <f>'Non-Resident'!K84</f>
        <v>12411</v>
      </c>
      <c r="L84" s="219">
        <f>'Non-Resident'!L84*0.5</f>
        <v>3898</v>
      </c>
      <c r="M84" s="66">
        <f t="shared" si="13"/>
        <v>27332.400000000001</v>
      </c>
      <c r="N84" s="176">
        <f t="shared" si="16"/>
        <v>1440</v>
      </c>
      <c r="O84" s="177">
        <f t="shared" si="15"/>
        <v>5.5614774991889507E-2</v>
      </c>
      <c r="P84" s="284"/>
      <c r="Q84" s="284"/>
    </row>
    <row r="85" spans="1:17" s="157" customFormat="1" ht="15.75" customHeight="1" x14ac:dyDescent="0.2">
      <c r="A85" s="59"/>
      <c r="B85" s="60"/>
      <c r="C85" s="72" t="s">
        <v>33</v>
      </c>
      <c r="D85" s="176">
        <v>10485</v>
      </c>
      <c r="E85" s="219">
        <v>223.4</v>
      </c>
      <c r="F85" s="219">
        <v>11439</v>
      </c>
      <c r="G85" s="219">
        <f t="shared" si="12"/>
        <v>3655</v>
      </c>
      <c r="H85" s="66">
        <f t="shared" si="14"/>
        <v>25802.400000000001</v>
      </c>
      <c r="I85" s="292">
        <f>'Non-Resident'!I85/24*9</f>
        <v>10710</v>
      </c>
      <c r="J85" s="219">
        <v>223.4</v>
      </c>
      <c r="K85" s="219">
        <f>'Non-Resident'!K85</f>
        <v>12411</v>
      </c>
      <c r="L85" s="219">
        <f>'Non-Resident'!L85*0.5</f>
        <v>3898</v>
      </c>
      <c r="M85" s="66">
        <f t="shared" si="13"/>
        <v>27242.400000000001</v>
      </c>
      <c r="N85" s="176">
        <f t="shared" si="16"/>
        <v>1440</v>
      </c>
      <c r="O85" s="177">
        <f t="shared" si="15"/>
        <v>5.5808761975630172E-2</v>
      </c>
      <c r="P85" s="284"/>
      <c r="Q85" s="284"/>
    </row>
    <row r="86" spans="1:17" s="157" customFormat="1" ht="15.75" customHeight="1" x14ac:dyDescent="0.2">
      <c r="A86" s="59"/>
      <c r="B86" s="60"/>
      <c r="C86" s="72" t="s">
        <v>111</v>
      </c>
      <c r="D86" s="176">
        <f>'Non-Resident'!D87/24*9</f>
        <v>4691.25</v>
      </c>
      <c r="E86" s="219">
        <v>223.4</v>
      </c>
      <c r="F86" s="219">
        <v>11439</v>
      </c>
      <c r="G86" s="219">
        <f t="shared" si="12"/>
        <v>3655</v>
      </c>
      <c r="H86" s="66">
        <f t="shared" si="14"/>
        <v>20008.650000000001</v>
      </c>
      <c r="I86" s="292">
        <f>'Non-Resident'!I87/24*9</f>
        <v>4691.25</v>
      </c>
      <c r="J86" s="219">
        <v>223.4</v>
      </c>
      <c r="K86" s="219">
        <f>'Non-Resident'!K86</f>
        <v>12411</v>
      </c>
      <c r="L86" s="219">
        <f>'Non-Resident'!L86*0.5</f>
        <v>3898</v>
      </c>
      <c r="M86" s="66">
        <f t="shared" si="13"/>
        <v>21223.65</v>
      </c>
      <c r="N86" s="176">
        <f t="shared" si="16"/>
        <v>1215</v>
      </c>
      <c r="O86" s="177">
        <f t="shared" si="15"/>
        <v>6.0723736983754523E-2</v>
      </c>
      <c r="P86" s="284"/>
      <c r="Q86" s="284"/>
    </row>
    <row r="87" spans="1:17" s="157" customFormat="1" ht="15.75" customHeight="1" x14ac:dyDescent="0.2">
      <c r="A87" s="59"/>
      <c r="B87" s="60"/>
      <c r="C87" s="72" t="s">
        <v>114</v>
      </c>
      <c r="D87" s="143">
        <f>'Non-Resident'!D88/24*9</f>
        <v>11160</v>
      </c>
      <c r="E87" s="163">
        <v>223.4</v>
      </c>
      <c r="F87" s="163">
        <v>11439</v>
      </c>
      <c r="G87" s="163">
        <f t="shared" si="12"/>
        <v>3655</v>
      </c>
      <c r="H87" s="71">
        <f t="shared" si="14"/>
        <v>26477.4</v>
      </c>
      <c r="I87" s="143">
        <f>'Non-Resident'!I88/24*9</f>
        <v>11160</v>
      </c>
      <c r="J87" s="163">
        <v>223.4</v>
      </c>
      <c r="K87" s="163">
        <f>'Non-Resident'!K87</f>
        <v>12411</v>
      </c>
      <c r="L87" s="163">
        <f>'Non-Resident'!L87*0.5</f>
        <v>3898</v>
      </c>
      <c r="M87" s="71">
        <f>SUM(I87:L87)</f>
        <v>27692.400000000001</v>
      </c>
      <c r="N87" s="143">
        <f>M87-H87</f>
        <v>1215</v>
      </c>
      <c r="O87" s="181">
        <f>N87/H87</f>
        <v>4.5888191438736431E-2</v>
      </c>
      <c r="P87" s="284"/>
      <c r="Q87" s="284"/>
    </row>
    <row r="88" spans="1:17" s="157" customFormat="1" ht="15.75" customHeight="1" x14ac:dyDescent="0.2">
      <c r="A88" s="75"/>
      <c r="B88" s="76" t="s">
        <v>10</v>
      </c>
      <c r="C88" s="88"/>
      <c r="D88" s="64"/>
      <c r="E88" s="65"/>
      <c r="F88" s="65"/>
      <c r="G88" s="65"/>
      <c r="H88" s="66"/>
      <c r="I88" s="64"/>
      <c r="J88" s="65"/>
      <c r="K88" s="65"/>
      <c r="L88" s="65"/>
      <c r="M88" s="66"/>
      <c r="N88" s="64"/>
      <c r="O88" s="67"/>
    </row>
    <row r="89" spans="1:17" s="157" customFormat="1" ht="15.75" customHeight="1" x14ac:dyDescent="0.2">
      <c r="A89" s="59"/>
      <c r="B89" s="60"/>
      <c r="C89" s="72" t="s">
        <v>100</v>
      </c>
      <c r="D89" s="132" t="s">
        <v>34</v>
      </c>
      <c r="E89" s="137" t="s">
        <v>34</v>
      </c>
      <c r="F89" s="137" t="s">
        <v>34</v>
      </c>
      <c r="G89" s="137" t="s">
        <v>34</v>
      </c>
      <c r="H89" s="142" t="s">
        <v>34</v>
      </c>
      <c r="I89" s="132" t="s">
        <v>34</v>
      </c>
      <c r="J89" s="137" t="s">
        <v>34</v>
      </c>
      <c r="K89" s="137" t="s">
        <v>34</v>
      </c>
      <c r="L89" s="137" t="s">
        <v>34</v>
      </c>
      <c r="M89" s="142" t="s">
        <v>34</v>
      </c>
      <c r="N89" s="132" t="s">
        <v>34</v>
      </c>
      <c r="O89" s="142" t="s">
        <v>34</v>
      </c>
    </row>
    <row r="90" spans="1:17" s="157" customFormat="1" ht="15.75" customHeight="1" x14ac:dyDescent="0.2">
      <c r="A90" s="59"/>
      <c r="B90" s="60"/>
      <c r="C90" s="72" t="s">
        <v>52</v>
      </c>
      <c r="D90" s="132" t="s">
        <v>34</v>
      </c>
      <c r="E90" s="137" t="s">
        <v>34</v>
      </c>
      <c r="F90" s="137" t="s">
        <v>34</v>
      </c>
      <c r="G90" s="137" t="s">
        <v>34</v>
      </c>
      <c r="H90" s="142" t="s">
        <v>34</v>
      </c>
      <c r="I90" s="132" t="s">
        <v>34</v>
      </c>
      <c r="J90" s="137" t="s">
        <v>34</v>
      </c>
      <c r="K90" s="137" t="s">
        <v>34</v>
      </c>
      <c r="L90" s="137" t="s">
        <v>34</v>
      </c>
      <c r="M90" s="142" t="s">
        <v>34</v>
      </c>
      <c r="N90" s="132" t="s">
        <v>34</v>
      </c>
      <c r="O90" s="142" t="s">
        <v>34</v>
      </c>
    </row>
    <row r="91" spans="1:17" s="157" customFormat="1" ht="15.75" customHeight="1" x14ac:dyDescent="0.2">
      <c r="A91" s="59"/>
      <c r="B91" s="60"/>
      <c r="C91" s="166" t="s">
        <v>27</v>
      </c>
      <c r="D91" s="132" t="s">
        <v>34</v>
      </c>
      <c r="E91" s="137" t="s">
        <v>34</v>
      </c>
      <c r="F91" s="137" t="s">
        <v>34</v>
      </c>
      <c r="G91" s="137" t="s">
        <v>34</v>
      </c>
      <c r="H91" s="142" t="s">
        <v>34</v>
      </c>
      <c r="I91" s="132" t="s">
        <v>34</v>
      </c>
      <c r="J91" s="137" t="s">
        <v>34</v>
      </c>
      <c r="K91" s="137" t="s">
        <v>34</v>
      </c>
      <c r="L91" s="137" t="s">
        <v>34</v>
      </c>
      <c r="M91" s="142" t="s">
        <v>34</v>
      </c>
      <c r="N91" s="132" t="s">
        <v>34</v>
      </c>
      <c r="O91" s="142" t="s">
        <v>34</v>
      </c>
    </row>
    <row r="92" spans="1:17" s="167" customFormat="1" ht="15.75" customHeight="1" x14ac:dyDescent="0.25">
      <c r="A92" s="59"/>
      <c r="B92" s="60"/>
      <c r="C92" s="166" t="s">
        <v>23</v>
      </c>
      <c r="D92" s="132" t="s">
        <v>34</v>
      </c>
      <c r="E92" s="137" t="s">
        <v>34</v>
      </c>
      <c r="F92" s="137" t="s">
        <v>34</v>
      </c>
      <c r="G92" s="137" t="s">
        <v>34</v>
      </c>
      <c r="H92" s="142" t="s">
        <v>34</v>
      </c>
      <c r="I92" s="132" t="s">
        <v>34</v>
      </c>
      <c r="J92" s="137" t="s">
        <v>34</v>
      </c>
      <c r="K92" s="137" t="s">
        <v>34</v>
      </c>
      <c r="L92" s="137" t="s">
        <v>34</v>
      </c>
      <c r="M92" s="142" t="s">
        <v>34</v>
      </c>
      <c r="N92" s="132" t="s">
        <v>34</v>
      </c>
      <c r="O92" s="142" t="s">
        <v>34</v>
      </c>
      <c r="P92" s="157"/>
    </row>
    <row r="93" spans="1:17" s="157" customFormat="1" ht="15.75" customHeight="1" x14ac:dyDescent="0.2">
      <c r="A93" s="59"/>
      <c r="B93" s="60"/>
      <c r="C93" s="72" t="s">
        <v>99</v>
      </c>
      <c r="D93" s="132" t="s">
        <v>34</v>
      </c>
      <c r="E93" s="137" t="s">
        <v>34</v>
      </c>
      <c r="F93" s="137" t="s">
        <v>34</v>
      </c>
      <c r="G93" s="137" t="s">
        <v>34</v>
      </c>
      <c r="H93" s="142" t="s">
        <v>34</v>
      </c>
      <c r="I93" s="132" t="s">
        <v>34</v>
      </c>
      <c r="J93" s="137" t="s">
        <v>34</v>
      </c>
      <c r="K93" s="137" t="s">
        <v>34</v>
      </c>
      <c r="L93" s="137" t="s">
        <v>34</v>
      </c>
      <c r="M93" s="142" t="s">
        <v>34</v>
      </c>
      <c r="N93" s="133" t="s">
        <v>34</v>
      </c>
      <c r="O93" s="136" t="s">
        <v>34</v>
      </c>
    </row>
    <row r="94" spans="1:17" s="167" customFormat="1" ht="15.75" customHeight="1" thickBot="1" x14ac:dyDescent="0.3">
      <c r="A94" s="77"/>
      <c r="B94" s="78"/>
      <c r="C94" s="168" t="s">
        <v>28</v>
      </c>
      <c r="D94" s="153" t="s">
        <v>34</v>
      </c>
      <c r="E94" s="146" t="s">
        <v>34</v>
      </c>
      <c r="F94" s="146" t="s">
        <v>34</v>
      </c>
      <c r="G94" s="146" t="s">
        <v>34</v>
      </c>
      <c r="H94" s="154" t="s">
        <v>34</v>
      </c>
      <c r="I94" s="153" t="s">
        <v>34</v>
      </c>
      <c r="J94" s="146" t="s">
        <v>34</v>
      </c>
      <c r="K94" s="146" t="s">
        <v>34</v>
      </c>
      <c r="L94" s="146" t="s">
        <v>34</v>
      </c>
      <c r="M94" s="154" t="s">
        <v>34</v>
      </c>
      <c r="N94" s="153" t="s">
        <v>34</v>
      </c>
      <c r="O94" s="154" t="s">
        <v>34</v>
      </c>
      <c r="P94" s="157"/>
    </row>
    <row r="95" spans="1:17" s="7" customFormat="1" ht="21.75" customHeight="1" x14ac:dyDescent="0.25">
      <c r="A95" s="24"/>
      <c r="B95" s="19" t="s">
        <v>18</v>
      </c>
      <c r="C95" s="24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5"/>
    </row>
    <row r="96" spans="1:17" s="22" customFormat="1" ht="14.25" customHeight="1" x14ac:dyDescent="0.25">
      <c r="A96" s="24"/>
      <c r="B96" s="19"/>
      <c r="C96" s="15" t="s">
        <v>56</v>
      </c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1:15" s="7" customFormat="1" x14ac:dyDescent="0.2">
      <c r="A97" s="22"/>
      <c r="B97" s="22"/>
      <c r="C97" s="15" t="s">
        <v>41</v>
      </c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9"/>
    </row>
    <row r="98" spans="1:15" s="7" customFormat="1" ht="12.75" customHeight="1" x14ac:dyDescent="0.2">
      <c r="A98" s="22"/>
      <c r="B98" s="22"/>
      <c r="C98" s="333" t="s">
        <v>71</v>
      </c>
      <c r="D98" s="333"/>
      <c r="E98" s="333"/>
      <c r="F98" s="333"/>
      <c r="G98" s="333"/>
      <c r="H98" s="333"/>
      <c r="I98" s="333"/>
      <c r="J98" s="333"/>
      <c r="K98" s="333"/>
      <c r="L98" s="333"/>
      <c r="M98" s="333"/>
      <c r="N98" s="333"/>
      <c r="O98" s="333"/>
    </row>
    <row r="99" spans="1:15" s="7" customFormat="1" x14ac:dyDescent="0.2">
      <c r="A99" s="22"/>
      <c r="B99" s="22"/>
      <c r="C99" s="33" t="s">
        <v>55</v>
      </c>
      <c r="D99" s="30"/>
      <c r="E99" s="30"/>
      <c r="F99" s="30"/>
      <c r="G99" s="30"/>
      <c r="H99" s="31"/>
      <c r="I99" s="30"/>
      <c r="J99" s="30"/>
      <c r="K99" s="30"/>
      <c r="L99" s="30"/>
      <c r="M99" s="31"/>
      <c r="N99" s="30"/>
      <c r="O99" s="31"/>
    </row>
    <row r="100" spans="1:15" ht="12.75" customHeight="1" x14ac:dyDescent="0.2">
      <c r="A100" s="23"/>
      <c r="B100" s="23"/>
      <c r="C100" s="332" t="s">
        <v>92</v>
      </c>
      <c r="D100" s="332"/>
      <c r="E100" s="332"/>
      <c r="F100" s="332"/>
      <c r="G100" s="332"/>
      <c r="H100" s="332"/>
      <c r="I100" s="332"/>
      <c r="J100" s="332"/>
      <c r="K100" s="332"/>
      <c r="L100" s="332"/>
      <c r="M100" s="332"/>
      <c r="N100" s="332"/>
      <c r="O100" s="332"/>
    </row>
    <row r="101" spans="1:15" x14ac:dyDescent="0.2">
      <c r="C101" s="33" t="s">
        <v>140</v>
      </c>
      <c r="D101" s="30"/>
      <c r="E101" s="30"/>
      <c r="F101" s="30"/>
      <c r="G101" s="30"/>
      <c r="H101" s="31"/>
      <c r="I101" s="30"/>
      <c r="J101" s="30"/>
      <c r="K101" s="30"/>
      <c r="L101" s="30"/>
      <c r="M101" s="31"/>
      <c r="N101" s="30"/>
      <c r="O101" s="31"/>
    </row>
    <row r="102" spans="1:15" s="285" customFormat="1" ht="24.75" customHeight="1" x14ac:dyDescent="0.2">
      <c r="C102" s="320" t="s">
        <v>97</v>
      </c>
      <c r="D102" s="320"/>
      <c r="E102" s="320"/>
      <c r="F102" s="320"/>
      <c r="G102" s="320"/>
      <c r="H102" s="320"/>
      <c r="I102" s="320"/>
      <c r="J102" s="320"/>
      <c r="K102" s="320"/>
      <c r="L102" s="320"/>
      <c r="M102" s="320"/>
      <c r="N102" s="320"/>
      <c r="O102" s="320"/>
    </row>
    <row r="103" spans="1:15" x14ac:dyDescent="0.2">
      <c r="C103" s="320" t="s">
        <v>123</v>
      </c>
      <c r="D103" s="320"/>
      <c r="E103" s="320"/>
      <c r="F103" s="320"/>
      <c r="G103" s="320"/>
      <c r="H103" s="320"/>
      <c r="I103" s="320"/>
      <c r="J103" s="320"/>
      <c r="K103" s="320"/>
      <c r="L103" s="320"/>
      <c r="M103" s="320"/>
      <c r="N103" s="320"/>
      <c r="O103" s="320"/>
    </row>
  </sheetData>
  <mergeCells count="8">
    <mergeCell ref="C103:O103"/>
    <mergeCell ref="C100:O100"/>
    <mergeCell ref="C98:O98"/>
    <mergeCell ref="N4:O4"/>
    <mergeCell ref="N5:O5"/>
    <mergeCell ref="C102:O102"/>
    <mergeCell ref="D4:H5"/>
    <mergeCell ref="I4:M5"/>
  </mergeCells>
  <phoneticPr fontId="0" type="noConversion"/>
  <printOptions horizontalCentered="1"/>
  <pageMargins left="0.7" right="0.7" top="0.75" bottom="0.75" header="0.3" footer="0.3"/>
  <pageSetup scale="54" fitToWidth="2" fitToHeight="2" orientation="landscape" r:id="rId1"/>
  <headerFooter alignWithMargins="0"/>
  <rowBreaks count="1" manualBreakCount="1">
    <brk id="5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Resident</vt:lpstr>
      <vt:lpstr>Resident Part-Time</vt:lpstr>
      <vt:lpstr>Non-Resident</vt:lpstr>
      <vt:lpstr>Non-Resident Part-Time</vt:lpstr>
      <vt:lpstr>'Non-Resident'!Print_Area</vt:lpstr>
      <vt:lpstr>'Non-Resident Part-Time'!Print_Area</vt:lpstr>
      <vt:lpstr>Resident!Print_Area</vt:lpstr>
      <vt:lpstr>'Resident Part-Time'!Print_Area</vt:lpstr>
      <vt:lpstr>'Non-Resident'!Print_Titles</vt:lpstr>
      <vt:lpstr>'Non-Resident Part-Time'!Print_Titles</vt:lpstr>
      <vt:lpstr>Resident!Print_Titles</vt:lpstr>
      <vt:lpstr>'Resident Part-Time'!Print_Titles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Fox</dc:creator>
  <cp:lastModifiedBy>Ryan Allred</cp:lastModifiedBy>
  <cp:lastPrinted>2022-06-20T16:00:45Z</cp:lastPrinted>
  <dcterms:created xsi:type="dcterms:W3CDTF">2003-05-29T18:39:21Z</dcterms:created>
  <dcterms:modified xsi:type="dcterms:W3CDTF">2022-08-12T18:07:04Z</dcterms:modified>
</cp:coreProperties>
</file>