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llred\Documents\BDB\"/>
    </mc:Choice>
  </mc:AlternateContent>
  <bookViews>
    <workbookView xWindow="0" yWindow="0" windowWidth="21570" windowHeight="7755" tabRatio="799"/>
  </bookViews>
  <sheets>
    <sheet name="ALL CU" sheetId="10" r:id="rId1"/>
    <sheet name="System Office" sheetId="11" r:id="rId2"/>
    <sheet name=" BDB Boulder" sheetId="12" r:id="rId3"/>
    <sheet name=" BDB UCCS" sheetId="13" r:id="rId4"/>
    <sheet name=" BDB Denver" sheetId="14" r:id="rId5"/>
    <sheet name="BDB Anschutz" sheetId="15" r:id="rId6"/>
  </sheets>
  <externalReferences>
    <externalReference r:id="rId7"/>
  </externalReferences>
  <definedNames>
    <definedName name="________________FMT10" localSheetId="4">#REF!</definedName>
    <definedName name="________________FMT10" localSheetId="3">#REF!</definedName>
    <definedName name="________________FMT10">#REF!</definedName>
    <definedName name="________________FMT100" localSheetId="4">#REF!</definedName>
    <definedName name="________________FMT100" localSheetId="3">#REF!</definedName>
    <definedName name="________________FMT100">#REF!</definedName>
    <definedName name="________________FMT1100">#REF!</definedName>
    <definedName name="________________FMT1200">#REF!</definedName>
    <definedName name="________________FMT1300">#REF!</definedName>
    <definedName name="________________FMT1400">#REF!</definedName>
    <definedName name="________________FMT15">#REF!</definedName>
    <definedName name="________________FMT1500">#REF!</definedName>
    <definedName name="________________FMT1600">#REF!</definedName>
    <definedName name="________________FMT1700">#REF!</definedName>
    <definedName name="________________FMT1800">#REF!</definedName>
    <definedName name="________________FMT1900">#REF!</definedName>
    <definedName name="________________FMT20">#REF!</definedName>
    <definedName name="________________FMT2000">#REF!</definedName>
    <definedName name="________________FMT30">#REF!</definedName>
    <definedName name="________________FMT410">#REF!</definedName>
    <definedName name="________________FMT411">#REF!</definedName>
    <definedName name="________________FMT600">#REF!</definedName>
    <definedName name="________________FMT9100">#REF!</definedName>
    <definedName name="________________FMT9999">#REF!</definedName>
    <definedName name="______________FMT10">#REF!</definedName>
    <definedName name="______________FMT100">#REF!</definedName>
    <definedName name="______________FMT1100">#REF!</definedName>
    <definedName name="______________FMT1200">#REF!</definedName>
    <definedName name="______________FMT1300">#REF!</definedName>
    <definedName name="______________FMT1400">#REF!</definedName>
    <definedName name="______________FMT15">#REF!</definedName>
    <definedName name="______________FMT1500">#REF!</definedName>
    <definedName name="______________FMT1600">#REF!</definedName>
    <definedName name="______________FMT1700">#REF!</definedName>
    <definedName name="______________FMT1800">#REF!</definedName>
    <definedName name="______________FMT1900">#REF!</definedName>
    <definedName name="______________FMT20">#REF!</definedName>
    <definedName name="______________FMT2000">#REF!</definedName>
    <definedName name="______________FMT30">#REF!</definedName>
    <definedName name="______________FMT410">#REF!</definedName>
    <definedName name="______________FMT411">#REF!</definedName>
    <definedName name="______________FMT600">#REF!</definedName>
    <definedName name="______________FMT9100">#REF!</definedName>
    <definedName name="______________FMT9999">#REF!</definedName>
    <definedName name="______FMT10">#REF!</definedName>
    <definedName name="______FMT100">#REF!</definedName>
    <definedName name="______FMT1100">#REF!</definedName>
    <definedName name="______FMT1200">#REF!</definedName>
    <definedName name="______FMT1300">#REF!</definedName>
    <definedName name="______FMT1400">#REF!</definedName>
    <definedName name="______FMT15">#REF!</definedName>
    <definedName name="______FMT1500">#REF!</definedName>
    <definedName name="______FMT1600">#REF!</definedName>
    <definedName name="______FMT1700">#REF!</definedName>
    <definedName name="______FMT1800">#REF!</definedName>
    <definedName name="______FMT1900">#REF!</definedName>
    <definedName name="______FMT20">#REF!</definedName>
    <definedName name="______FMT2000">#REF!</definedName>
    <definedName name="______FMT30">#REF!</definedName>
    <definedName name="______FMT410">#REF!</definedName>
    <definedName name="______FMT411">#REF!</definedName>
    <definedName name="______FMT600">#REF!</definedName>
    <definedName name="______FMT9100">#REF!</definedName>
    <definedName name="______FMT9999">#REF!</definedName>
    <definedName name="_____FMT10" localSheetId="2">' BDB Boulder'!#REF!</definedName>
    <definedName name="_____FMT10" localSheetId="4">' BDB Denver'!#REF!</definedName>
    <definedName name="_____FMT10" localSheetId="3">' BDB UCCS'!#REF!</definedName>
    <definedName name="_____FMT10" localSheetId="5">'BDB Anschutz'!#REF!</definedName>
    <definedName name="_____FMT10" localSheetId="1">'System Office'!#REF!</definedName>
    <definedName name="_____FMT10">'ALL CU'!#REF!</definedName>
    <definedName name="_____FMT100" localSheetId="2">' BDB Boulder'!#REF!</definedName>
    <definedName name="_____FMT100" localSheetId="4">' BDB Denver'!#REF!</definedName>
    <definedName name="_____FMT100" localSheetId="3">' BDB UCCS'!#REF!</definedName>
    <definedName name="_____FMT100" localSheetId="5">'BDB Anschutz'!#REF!</definedName>
    <definedName name="_____FMT100" localSheetId="1">'System Office'!#REF!</definedName>
    <definedName name="_____FMT100">'ALL CU'!#REF!</definedName>
    <definedName name="_____FMT1100" localSheetId="2">' BDB Boulder'!$A$500:$K$534</definedName>
    <definedName name="_____FMT1100" localSheetId="4">' BDB Denver'!$A$500:$K$534</definedName>
    <definedName name="_____FMT1100" localSheetId="3">' BDB UCCS'!$A$500:$K$534</definedName>
    <definedName name="_____FMT1100" localSheetId="5">'BDB Anschutz'!$A$500:$K$534</definedName>
    <definedName name="_____FMT1100" localSheetId="1">'System Office'!$A$500:$K$534</definedName>
    <definedName name="_____FMT1100">'ALL CU'!#REF!</definedName>
    <definedName name="_____FMT1200" localSheetId="2">' BDB Boulder'!#REF!</definedName>
    <definedName name="_____FMT1200" localSheetId="4">' BDB Denver'!#REF!</definedName>
    <definedName name="_____FMT1200" localSheetId="3">' BDB UCCS'!#REF!</definedName>
    <definedName name="_____FMT1200" localSheetId="5">'BDB Anschutz'!#REF!</definedName>
    <definedName name="_____FMT1200" localSheetId="1">'System Office'!#REF!</definedName>
    <definedName name="_____FMT1200">'ALL CU'!#REF!</definedName>
    <definedName name="_____FMT1300" localSheetId="2">' BDB Boulder'!$A$576:$K$610</definedName>
    <definedName name="_____FMT1300" localSheetId="4">' BDB Denver'!$A$576:$K$610</definedName>
    <definedName name="_____FMT1300" localSheetId="3">' BDB UCCS'!$A$576:$K$610</definedName>
    <definedName name="_____FMT1300" localSheetId="5">'BDB Anschutz'!$A$576:$K$610</definedName>
    <definedName name="_____FMT1300" localSheetId="1">'System Office'!$A$576:$K$610</definedName>
    <definedName name="_____FMT1300">'ALL CU'!#REF!</definedName>
    <definedName name="_____FMT1400" localSheetId="2">' BDB Boulder'!$A$613:$K$646</definedName>
    <definedName name="_____FMT1400" localSheetId="4">' BDB Denver'!$A$613:$K$646</definedName>
    <definedName name="_____FMT1400" localSheetId="3">' BDB UCCS'!$A$613:$K$646</definedName>
    <definedName name="_____FMT1400" localSheetId="5">'BDB Anschutz'!$A$613:$K$646</definedName>
    <definedName name="_____FMT1400" localSheetId="1">'System Office'!$A$613:$K$646</definedName>
    <definedName name="_____FMT1400">'ALL CU'!#REF!</definedName>
    <definedName name="_____FMT15" localSheetId="2">' BDB Boulder'!#REF!</definedName>
    <definedName name="_____FMT15" localSheetId="4">' BDB Denver'!#REF!</definedName>
    <definedName name="_____FMT15" localSheetId="3">' BDB UCCS'!#REF!</definedName>
    <definedName name="_____FMT15" localSheetId="5">'BDB Anschutz'!#REF!</definedName>
    <definedName name="_____FMT15" localSheetId="1">'System Office'!#REF!</definedName>
    <definedName name="_____FMT15">'ALL CU'!#REF!</definedName>
    <definedName name="_____FMT1500" localSheetId="2">' BDB Boulder'!$A$650:$K$684</definedName>
    <definedName name="_____FMT1500" localSheetId="4">' BDB Denver'!$A$650:$K$684</definedName>
    <definedName name="_____FMT1500" localSheetId="3">' BDB UCCS'!$A$650:$K$684</definedName>
    <definedName name="_____FMT1500" localSheetId="5">'BDB Anschutz'!$A$650:$K$684</definedName>
    <definedName name="_____FMT1500" localSheetId="1">'System Office'!$A$650:$K$684</definedName>
    <definedName name="_____FMT1500">'ALL CU'!#REF!</definedName>
    <definedName name="_____FMT1600" localSheetId="2">' BDB Boulder'!$A$688:$K$721</definedName>
    <definedName name="_____FMT1600" localSheetId="4">' BDB Denver'!$A$688:$K$721</definedName>
    <definedName name="_____FMT1600" localSheetId="3">' BDB UCCS'!$A$688:$K$721</definedName>
    <definedName name="_____FMT1600" localSheetId="5">'BDB Anschutz'!$A$688:$K$721</definedName>
    <definedName name="_____FMT1600" localSheetId="1">'System Office'!$A$688:$K$721</definedName>
    <definedName name="_____FMT1600">'ALL CU'!#REF!</definedName>
    <definedName name="_____FMT1700" localSheetId="2">' BDB Boulder'!$A$724:$K$760</definedName>
    <definedName name="_____FMT1700" localSheetId="4">' BDB Denver'!$A$724:$K$760</definedName>
    <definedName name="_____FMT1700" localSheetId="3">' BDB UCCS'!$A$724:$K$760</definedName>
    <definedName name="_____FMT1700" localSheetId="5">'BDB Anschutz'!$A$724:$K$760</definedName>
    <definedName name="_____FMT1700" localSheetId="1">'System Office'!$A$724:$K$760</definedName>
    <definedName name="_____FMT1700">'ALL CU'!#REF!</definedName>
    <definedName name="_____FMT1800" localSheetId="2">' BDB Boulder'!$A$762:$K$796</definedName>
    <definedName name="_____FMT1800" localSheetId="4">' BDB Denver'!$A$762:$K$796</definedName>
    <definedName name="_____FMT1800" localSheetId="3">' BDB UCCS'!$A$762:$K$796</definedName>
    <definedName name="_____FMT1800" localSheetId="5">'BDB Anschutz'!$A$762:$K$796</definedName>
    <definedName name="_____FMT1800" localSheetId="1">'System Office'!$A$762:$K$796</definedName>
    <definedName name="_____FMT1800">'ALL CU'!#REF!</definedName>
    <definedName name="_____FMT1900" localSheetId="2">' BDB Boulder'!$A$835:$K$835</definedName>
    <definedName name="_____FMT1900" localSheetId="4">' BDB Denver'!$A$835:$K$835</definedName>
    <definedName name="_____FMT1900" localSheetId="3">' BDB UCCS'!$A$835:$K$835</definedName>
    <definedName name="_____FMT1900" localSheetId="5">'BDB Anschutz'!$A$835:$K$835</definedName>
    <definedName name="_____FMT1900" localSheetId="1">'System Office'!$A$835:$K$835</definedName>
    <definedName name="_____FMT1900">'ALL CU'!#REF!</definedName>
    <definedName name="_____FMT20" localSheetId="2">' BDB Boulder'!$A$83:$K$117</definedName>
    <definedName name="_____FMT20" localSheetId="4">' BDB Denver'!$A$83:$K$117</definedName>
    <definedName name="_____FMT20" localSheetId="3">' BDB UCCS'!$A$83:$K$117</definedName>
    <definedName name="_____FMT20" localSheetId="5">'BDB Anschutz'!$A$83:$K$117</definedName>
    <definedName name="_____FMT20" localSheetId="1">'System Office'!$A$83:$K$117</definedName>
    <definedName name="_____FMT20">'ALL CU'!#REF!</definedName>
    <definedName name="_____FMT2000" localSheetId="2">' BDB Boulder'!$A$837:$K$869</definedName>
    <definedName name="_____FMT2000" localSheetId="4">' BDB Denver'!$A$837:$K$869</definedName>
    <definedName name="_____FMT2000" localSheetId="3">' BDB UCCS'!$A$837:$K$869</definedName>
    <definedName name="_____FMT2000" localSheetId="5">'BDB Anschutz'!$A$837:$K$869</definedName>
    <definedName name="_____FMT2000" localSheetId="1">'System Office'!$A$837:$K$869</definedName>
    <definedName name="_____FMT2000">'ALL CU'!#REF!</definedName>
    <definedName name="_____FMT30" localSheetId="2">' BDB Boulder'!#REF!</definedName>
    <definedName name="_____FMT30" localSheetId="4">' BDB Denver'!#REF!</definedName>
    <definedName name="_____FMT30" localSheetId="3">' BDB UCCS'!#REF!</definedName>
    <definedName name="_____FMT30" localSheetId="5">'BDB Anschutz'!#REF!</definedName>
    <definedName name="_____FMT30" localSheetId="1">'System Office'!#REF!</definedName>
    <definedName name="_____FMT30">'ALL CU'!#REF!</definedName>
    <definedName name="_____FMT410" localSheetId="2">' BDB Boulder'!#REF!</definedName>
    <definedName name="_____FMT410" localSheetId="4">' BDB Denver'!#REF!</definedName>
    <definedName name="_____FMT410" localSheetId="3">' BDB UCCS'!#REF!</definedName>
    <definedName name="_____FMT410" localSheetId="5">'BDB Anschutz'!#REF!</definedName>
    <definedName name="_____FMT410" localSheetId="1">'System Office'!#REF!</definedName>
    <definedName name="_____FMT410">'ALL CU'!#REF!</definedName>
    <definedName name="_____FMT411" localSheetId="2">' BDB Boulder'!#REF!</definedName>
    <definedName name="_____FMT411" localSheetId="4">' BDB Denver'!#REF!</definedName>
    <definedName name="_____FMT411" localSheetId="3">' BDB UCCS'!#REF!</definedName>
    <definedName name="_____FMT411" localSheetId="5">'BDB Anschutz'!#REF!</definedName>
    <definedName name="_____FMT411" localSheetId="1">'System Office'!#REF!</definedName>
    <definedName name="_____FMT411">'ALL CU'!#REF!</definedName>
    <definedName name="_____FMT600" localSheetId="2">' BDB Boulder'!#REF!</definedName>
    <definedName name="_____FMT600" localSheetId="4">' BDB Denver'!#REF!</definedName>
    <definedName name="_____FMT600" localSheetId="3">' BDB UCCS'!#REF!</definedName>
    <definedName name="_____FMT600" localSheetId="5">'BDB Anschutz'!#REF!</definedName>
    <definedName name="_____FMT600" localSheetId="1">'System Office'!#REF!</definedName>
    <definedName name="_____FMT600">'ALL CU'!#REF!</definedName>
    <definedName name="_____FMT9100" localSheetId="2">' BDB Boulder'!#REF!</definedName>
    <definedName name="_____FMT9100" localSheetId="4">' BDB Denver'!#REF!</definedName>
    <definedName name="_____FMT9100" localSheetId="3">' BDB UCCS'!#REF!</definedName>
    <definedName name="_____FMT9100" localSheetId="5">'BDB Anschutz'!#REF!</definedName>
    <definedName name="_____FMT9100" localSheetId="1">'System Office'!#REF!</definedName>
    <definedName name="_____FMT9100">'ALL CU'!#REF!</definedName>
    <definedName name="_____FMT9999" localSheetId="2">' BDB Boulder'!#REF!</definedName>
    <definedName name="_____FMT9999" localSheetId="4">' BDB Denver'!#REF!</definedName>
    <definedName name="_____FMT9999" localSheetId="3">' BDB UCCS'!#REF!</definedName>
    <definedName name="_____FMT9999" localSheetId="5">'BDB Anschutz'!#REF!</definedName>
    <definedName name="_____FMT9999" localSheetId="1">'System Office'!#REF!</definedName>
    <definedName name="_____FMT9999">'ALL CU'!#REF!</definedName>
    <definedName name="____FMT10">#REF!</definedName>
    <definedName name="____FMT100">#REF!</definedName>
    <definedName name="____FMT1100">#REF!</definedName>
    <definedName name="____FMT1200">#REF!</definedName>
    <definedName name="____FMT1300">#REF!</definedName>
    <definedName name="____FMT1400">#REF!</definedName>
    <definedName name="____FMT15">#REF!</definedName>
    <definedName name="____FMT1500">#REF!</definedName>
    <definedName name="____FMT1600">#REF!</definedName>
    <definedName name="____FMT1700">#REF!</definedName>
    <definedName name="____FMT1800">#REF!</definedName>
    <definedName name="____FMT1900">#REF!</definedName>
    <definedName name="____FMT20">#REF!</definedName>
    <definedName name="____FMT2000">#REF!</definedName>
    <definedName name="____FMT30">#REF!</definedName>
    <definedName name="____FMT410">#REF!</definedName>
    <definedName name="____FMT411">#REF!</definedName>
    <definedName name="____FMT600">#REF!</definedName>
    <definedName name="____FMT9100">#REF!</definedName>
    <definedName name="____FMT9999">#REF!</definedName>
    <definedName name="___FMT10">#REF!</definedName>
    <definedName name="___FMT100">#REF!</definedName>
    <definedName name="___FMT1100">#REF!</definedName>
    <definedName name="___FMT1200">#REF!</definedName>
    <definedName name="___FMT1300">#REF!</definedName>
    <definedName name="___FMT1400">#REF!</definedName>
    <definedName name="___FMT15">#REF!</definedName>
    <definedName name="___FMT1500">#REF!</definedName>
    <definedName name="___FMT1600">#REF!</definedName>
    <definedName name="___FMT1700">#REF!</definedName>
    <definedName name="___FMT1800">#REF!</definedName>
    <definedName name="___FMT1900">#REF!</definedName>
    <definedName name="___FMT20">#REF!</definedName>
    <definedName name="___FMT2000">#REF!</definedName>
    <definedName name="___FMT30">#REF!</definedName>
    <definedName name="___FMT410">#REF!</definedName>
    <definedName name="___FMT411">#REF!</definedName>
    <definedName name="___FMT600">#REF!</definedName>
    <definedName name="___FMT9100">#REF!</definedName>
    <definedName name="___FMT9999">#REF!</definedName>
    <definedName name="__FMT10">#REF!</definedName>
    <definedName name="__FMT100">#REF!</definedName>
    <definedName name="__FMT1100">#REF!</definedName>
    <definedName name="__FMT1200">#REF!</definedName>
    <definedName name="__FMT1300">#REF!</definedName>
    <definedName name="__FMT1400">#REF!</definedName>
    <definedName name="__FMT15">#REF!</definedName>
    <definedName name="__FMT1500">#REF!</definedName>
    <definedName name="__FMT1600">#REF!</definedName>
    <definedName name="__FMT1700">#REF!</definedName>
    <definedName name="__FMT1800">#REF!</definedName>
    <definedName name="__FMT1900">#REF!</definedName>
    <definedName name="__FMT20">#REF!</definedName>
    <definedName name="__FMT2000">#REF!</definedName>
    <definedName name="__FMT30">#REF!</definedName>
    <definedName name="__FMT410">#REF!</definedName>
    <definedName name="__FMT411">#REF!</definedName>
    <definedName name="__FMT600">#REF!</definedName>
    <definedName name="__FMT9100">#REF!</definedName>
    <definedName name="__FMT9999">#REF!</definedName>
    <definedName name="_Fill" localSheetId="2" hidden="1">' BDB Boulder'!#REF!</definedName>
    <definedName name="_Fill" localSheetId="4" hidden="1">' BDB Denver'!#REF!</definedName>
    <definedName name="_Fill" localSheetId="3" hidden="1">' BDB UCCS'!#REF!</definedName>
    <definedName name="_Fill" localSheetId="0" hidden="1">'ALL CU'!#REF!</definedName>
    <definedName name="_Fill" localSheetId="5" hidden="1">'BDB Anschutz'!#REF!</definedName>
    <definedName name="_Fill" localSheetId="1" hidden="1">'System Office'!#REF!</definedName>
    <definedName name="_Fill" hidden="1">#REF!</definedName>
    <definedName name="_FMT10">#REF!</definedName>
    <definedName name="_FMT100">#REF!</definedName>
    <definedName name="_FMT1100">#REF!</definedName>
    <definedName name="_FMT1200">#REF!</definedName>
    <definedName name="_FMT1300">#REF!</definedName>
    <definedName name="_FMT1400">#REF!</definedName>
    <definedName name="_FMT15">#REF!</definedName>
    <definedName name="_FMT1500">#REF!</definedName>
    <definedName name="_FMT1600">#REF!</definedName>
    <definedName name="_FMT1700">#REF!</definedName>
    <definedName name="_FMT1800">#REF!</definedName>
    <definedName name="_FMT1900">#REF!</definedName>
    <definedName name="_FMT20">#REF!</definedName>
    <definedName name="_FMT2000">#REF!</definedName>
    <definedName name="_FMT30">#REF!</definedName>
    <definedName name="_FMT410">#REF!</definedName>
    <definedName name="_FMT411">#REF!</definedName>
    <definedName name="_FMT600">#REF!</definedName>
    <definedName name="_FMT9100">#REF!</definedName>
    <definedName name="_FMT9999">#REF!</definedName>
    <definedName name="_Regression_Int" localSheetId="2" hidden="1">1</definedName>
    <definedName name="_Regression_Int" localSheetId="4" hidden="1">1</definedName>
    <definedName name="_Regression_Int" localSheetId="3" hidden="1">1</definedName>
    <definedName name="_Regression_Int" localSheetId="0" hidden="1">1</definedName>
    <definedName name="_Regression_Int" localSheetId="5" hidden="1">1</definedName>
    <definedName name="_Regression_Int" localSheetId="1" hidden="1">1</definedName>
    <definedName name="FMT35NR" localSheetId="2">' BDB Boulder'!#REF!</definedName>
    <definedName name="FMT35NR" localSheetId="4">' BDB Denver'!#REF!</definedName>
    <definedName name="FMT35NR" localSheetId="3">' BDB UCCS'!#REF!</definedName>
    <definedName name="FMT35NR" localSheetId="0">'ALL CU'!#REF!</definedName>
    <definedName name="FMT35NR" localSheetId="5">'BDB Anschutz'!#REF!</definedName>
    <definedName name="FMT35NR" localSheetId="1">'System Office'!#REF!</definedName>
    <definedName name="FMT35NR">#REF!</definedName>
    <definedName name="FMT35R" localSheetId="2">' BDB Boulder'!#REF!</definedName>
    <definedName name="FMT35R" localSheetId="4">' BDB Denver'!#REF!</definedName>
    <definedName name="FMT35R" localSheetId="3">' BDB UCCS'!#REF!</definedName>
    <definedName name="FMT35R" localSheetId="0">'ALL CU'!#REF!</definedName>
    <definedName name="FMT35R" localSheetId="5">'BDB Anschutz'!#REF!</definedName>
    <definedName name="FMT35R" localSheetId="1">'System Office'!#REF!</definedName>
    <definedName name="FMT35R">#REF!</definedName>
    <definedName name="OLE_LINK1" localSheetId="2">' BDB Boulder'!#REF!</definedName>
    <definedName name="OLE_LINK1" localSheetId="4">' BDB Denver'!#REF!</definedName>
    <definedName name="OLE_LINK1" localSheetId="3">' BDB UCCS'!#REF!</definedName>
    <definedName name="OLE_LINK1" localSheetId="0">'ALL CU'!#REF!</definedName>
    <definedName name="OLE_LINK1" localSheetId="5">'BDB Anschutz'!#REF!</definedName>
    <definedName name="OLE_LINK1" localSheetId="1">'System Office'!#REF!</definedName>
    <definedName name="_xlnm.Print_Area" localSheetId="2">' BDB Boulder'!$A$1:$K$870</definedName>
    <definedName name="_xlnm.Print_Area" localSheetId="4">' BDB Denver'!$A$1:$K$870</definedName>
    <definedName name="_xlnm.Print_Area" localSheetId="3">' BDB UCCS'!$A$1:$K$870</definedName>
    <definedName name="_xlnm.Print_Area" localSheetId="0">'ALL CU'!$A$1:$K$124</definedName>
    <definedName name="_xlnm.Print_Area" localSheetId="5">'BDB Anschutz'!$A$1:$K$870</definedName>
    <definedName name="_xlnm.Print_Area" localSheetId="1">'System Office'!$A$1:$K$870</definedName>
    <definedName name="Print_Area_MI" localSheetId="2">' BDB Boulder'!#REF!</definedName>
    <definedName name="Print_Area_MI" localSheetId="4">' BDB Denver'!#REF!</definedName>
    <definedName name="Print_Area_MI" localSheetId="3">' BDB UCCS'!#REF!</definedName>
    <definedName name="Print_Area_MI" localSheetId="0">'ALL CU'!#REF!</definedName>
    <definedName name="Print_Area_MI" localSheetId="5">'BDB Anschutz'!#REF!</definedName>
    <definedName name="Print_Area_MI" localSheetId="1">'System Office'!#REF!</definedName>
  </definedNames>
  <calcPr calcId="162913"/>
</workbook>
</file>

<file path=xl/calcChain.xml><?xml version="1.0" encoding="utf-8"?>
<calcChain xmlns="http://schemas.openxmlformats.org/spreadsheetml/2006/main">
  <c r="K518" i="14" l="1"/>
  <c r="K106" i="13" l="1"/>
  <c r="H117" i="12" l="1"/>
  <c r="H105" i="12"/>
  <c r="K97" i="10" l="1"/>
  <c r="H97" i="10"/>
  <c r="K74" i="10"/>
  <c r="K65" i="10"/>
  <c r="K66" i="10"/>
  <c r="K67" i="10"/>
  <c r="K68" i="10"/>
  <c r="K69" i="10"/>
  <c r="K70" i="10"/>
  <c r="K63" i="10"/>
  <c r="K95" i="10" s="1"/>
  <c r="K64" i="10"/>
  <c r="J64" i="10"/>
  <c r="H67" i="10"/>
  <c r="H68" i="10"/>
  <c r="H70" i="10"/>
  <c r="H71" i="10"/>
  <c r="H64" i="10"/>
  <c r="K48" i="10"/>
  <c r="K49" i="10"/>
  <c r="K50" i="10"/>
  <c r="K51" i="10"/>
  <c r="K52" i="10"/>
  <c r="K53" i="10"/>
  <c r="K54" i="10"/>
  <c r="K55" i="10"/>
  <c r="K56" i="10"/>
  <c r="J48" i="10"/>
  <c r="J49" i="10"/>
  <c r="J50" i="10"/>
  <c r="J51" i="10"/>
  <c r="J52" i="10"/>
  <c r="J53" i="10"/>
  <c r="J54" i="10"/>
  <c r="J55" i="10"/>
  <c r="J56" i="10"/>
  <c r="H58" i="10"/>
  <c r="H48" i="10"/>
  <c r="H49" i="10"/>
  <c r="H50" i="10"/>
  <c r="H51" i="10"/>
  <c r="H52" i="10"/>
  <c r="H53" i="10"/>
  <c r="H54" i="10"/>
  <c r="H55" i="10"/>
  <c r="H56" i="10"/>
  <c r="H47" i="10"/>
  <c r="G58" i="10"/>
  <c r="G49" i="10"/>
  <c r="G50" i="10"/>
  <c r="G51" i="10"/>
  <c r="G52" i="10"/>
  <c r="G53" i="10"/>
  <c r="G54" i="10"/>
  <c r="G55" i="10"/>
  <c r="G56" i="10"/>
  <c r="G48" i="10"/>
  <c r="G47" i="10"/>
  <c r="K89" i="10"/>
  <c r="H89" i="10"/>
  <c r="K865" i="15"/>
  <c r="H858" i="15"/>
  <c r="K857" i="15"/>
  <c r="H857" i="15"/>
  <c r="H865" i="15" s="1"/>
  <c r="K854" i="15"/>
  <c r="K868" i="15" s="1"/>
  <c r="K844" i="15"/>
  <c r="H844" i="15"/>
  <c r="H854" i="15" s="1"/>
  <c r="K839" i="15"/>
  <c r="C839" i="15"/>
  <c r="A839" i="15"/>
  <c r="A837" i="15"/>
  <c r="K819" i="15"/>
  <c r="J819" i="15"/>
  <c r="H819" i="15"/>
  <c r="G819" i="15"/>
  <c r="K815" i="15"/>
  <c r="K821" i="15" s="1"/>
  <c r="K832" i="15" s="1"/>
  <c r="H815" i="15"/>
  <c r="G812" i="15"/>
  <c r="K802" i="15"/>
  <c r="C802" i="15"/>
  <c r="A802" i="15"/>
  <c r="A800" i="15"/>
  <c r="K794" i="15"/>
  <c r="H794" i="15"/>
  <c r="A776" i="15"/>
  <c r="A777" i="15" s="1"/>
  <c r="A778" i="15" s="1"/>
  <c r="A779" i="15" s="1"/>
  <c r="A780" i="15" s="1"/>
  <c r="A781" i="15" s="1"/>
  <c r="A782" i="15" s="1"/>
  <c r="A783" i="15" s="1"/>
  <c r="A784" i="15" s="1"/>
  <c r="A785" i="15" s="1"/>
  <c r="A786" i="15" s="1"/>
  <c r="A787" i="15" s="1"/>
  <c r="A772" i="15"/>
  <c r="A773" i="15" s="1"/>
  <c r="A774" i="15" s="1"/>
  <c r="A775" i="15" s="1"/>
  <c r="E771" i="15"/>
  <c r="E772" i="15" s="1"/>
  <c r="E773" i="15" s="1"/>
  <c r="E774" i="15" s="1"/>
  <c r="E775" i="15" s="1"/>
  <c r="E776" i="15" s="1"/>
  <c r="E777" i="15" s="1"/>
  <c r="E778" i="15" s="1"/>
  <c r="E779" i="15" s="1"/>
  <c r="E780" i="15" s="1"/>
  <c r="E781" i="15" s="1"/>
  <c r="E782" i="15" s="1"/>
  <c r="E783" i="15" s="1"/>
  <c r="E784" i="15" s="1"/>
  <c r="E785" i="15" s="1"/>
  <c r="E786" i="15" s="1"/>
  <c r="E787" i="15" s="1"/>
  <c r="E770" i="15"/>
  <c r="A770" i="15"/>
  <c r="A771" i="15" s="1"/>
  <c r="K764" i="15"/>
  <c r="C764" i="15"/>
  <c r="A764" i="15"/>
  <c r="A762" i="15"/>
  <c r="K752" i="15"/>
  <c r="K751" i="15"/>
  <c r="H751" i="15"/>
  <c r="H744" i="15"/>
  <c r="K743" i="15"/>
  <c r="H743" i="15"/>
  <c r="K742" i="15"/>
  <c r="H742" i="15"/>
  <c r="G742" i="15"/>
  <c r="G744" i="15" s="1"/>
  <c r="G739" i="15"/>
  <c r="G746" i="15" s="1"/>
  <c r="G757" i="15" s="1"/>
  <c r="G96" i="15" s="1"/>
  <c r="K738" i="15"/>
  <c r="K739" i="15" s="1"/>
  <c r="H738" i="15"/>
  <c r="K737" i="15"/>
  <c r="J737" i="15"/>
  <c r="J739" i="15" s="1"/>
  <c r="H737" i="15"/>
  <c r="H739" i="15" s="1"/>
  <c r="H746" i="15" s="1"/>
  <c r="H757" i="15" s="1"/>
  <c r="G737" i="15"/>
  <c r="K727" i="15"/>
  <c r="C727" i="15"/>
  <c r="A727" i="15"/>
  <c r="A725" i="15"/>
  <c r="K714" i="15"/>
  <c r="H714" i="15"/>
  <c r="K711" i="15"/>
  <c r="H711" i="15"/>
  <c r="K707" i="15"/>
  <c r="G707" i="15"/>
  <c r="G709" i="15" s="1"/>
  <c r="G720" i="15" s="1"/>
  <c r="K706" i="15"/>
  <c r="H706" i="15"/>
  <c r="K705" i="15"/>
  <c r="J705" i="15"/>
  <c r="J707" i="15" s="1"/>
  <c r="H705" i="15"/>
  <c r="H707" i="15" s="1"/>
  <c r="G705" i="15"/>
  <c r="H702" i="15"/>
  <c r="H709" i="15" s="1"/>
  <c r="H720" i="15" s="1"/>
  <c r="K701" i="15"/>
  <c r="H701" i="15"/>
  <c r="K700" i="15"/>
  <c r="H700" i="15"/>
  <c r="G700" i="15"/>
  <c r="G702" i="15" s="1"/>
  <c r="K690" i="15"/>
  <c r="C690" i="15"/>
  <c r="A690" i="15"/>
  <c r="A688" i="15"/>
  <c r="K677" i="15"/>
  <c r="H677" i="15"/>
  <c r="H674" i="15"/>
  <c r="K670" i="15"/>
  <c r="H670" i="15"/>
  <c r="H672" i="15" s="1"/>
  <c r="H683" i="15" s="1"/>
  <c r="H94" i="15" s="1"/>
  <c r="G670" i="15"/>
  <c r="G668" i="15"/>
  <c r="J668" i="15" s="1"/>
  <c r="J670" i="15" s="1"/>
  <c r="K665" i="15"/>
  <c r="K672" i="15" s="1"/>
  <c r="K683" i="15" s="1"/>
  <c r="H665" i="15"/>
  <c r="G663" i="15"/>
  <c r="G665" i="15" s="1"/>
  <c r="G672" i="15" s="1"/>
  <c r="G683" i="15" s="1"/>
  <c r="K653" i="15"/>
  <c r="C653" i="15"/>
  <c r="A653" i="15"/>
  <c r="A651" i="15"/>
  <c r="K643" i="15"/>
  <c r="H643" i="15"/>
  <c r="K640" i="15"/>
  <c r="H640" i="15"/>
  <c r="K633" i="15"/>
  <c r="K635" i="15" s="1"/>
  <c r="K646" i="15" s="1"/>
  <c r="K93" i="15" s="1"/>
  <c r="H633" i="15"/>
  <c r="G631" i="15"/>
  <c r="K628" i="15"/>
  <c r="H628" i="15"/>
  <c r="H635" i="15" s="1"/>
  <c r="G628" i="15"/>
  <c r="G626" i="15"/>
  <c r="J626" i="15" s="1"/>
  <c r="J628" i="15" s="1"/>
  <c r="K616" i="15"/>
  <c r="C616" i="15"/>
  <c r="A616" i="15"/>
  <c r="A614" i="15"/>
  <c r="K596" i="15"/>
  <c r="J596" i="15"/>
  <c r="H596" i="15"/>
  <c r="G596" i="15"/>
  <c r="K591" i="15"/>
  <c r="K598" i="15" s="1"/>
  <c r="K609" i="15" s="1"/>
  <c r="J591" i="15"/>
  <c r="J598" i="15" s="1"/>
  <c r="J609" i="15" s="1"/>
  <c r="J92" i="15" s="1"/>
  <c r="H591" i="15"/>
  <c r="H598" i="15" s="1"/>
  <c r="H609" i="15" s="1"/>
  <c r="G591" i="15"/>
  <c r="G598" i="15" s="1"/>
  <c r="G609" i="15" s="1"/>
  <c r="G92" i="15" s="1"/>
  <c r="K579" i="15"/>
  <c r="C579" i="15"/>
  <c r="A579" i="15"/>
  <c r="A577" i="15"/>
  <c r="K559" i="15"/>
  <c r="J559" i="15"/>
  <c r="H559" i="15"/>
  <c r="G559" i="15"/>
  <c r="K551" i="15"/>
  <c r="K554" i="15" s="1"/>
  <c r="K561" i="15" s="1"/>
  <c r="K572" i="15" s="1"/>
  <c r="K91" i="15" s="1"/>
  <c r="H551" i="15"/>
  <c r="H554" i="15" s="1"/>
  <c r="H561" i="15" s="1"/>
  <c r="H572" i="15" s="1"/>
  <c r="J547" i="15"/>
  <c r="J551" i="15" s="1"/>
  <c r="J554" i="15" s="1"/>
  <c r="J561" i="15" s="1"/>
  <c r="J572" i="15" s="1"/>
  <c r="J91" i="15" s="1"/>
  <c r="G547" i="15"/>
  <c r="G551" i="15" s="1"/>
  <c r="G554" i="15" s="1"/>
  <c r="G561" i="15" s="1"/>
  <c r="G572" i="15" s="1"/>
  <c r="K542" i="15"/>
  <c r="C542" i="15"/>
  <c r="A542" i="15"/>
  <c r="A540" i="15"/>
  <c r="K527" i="15"/>
  <c r="H527" i="15"/>
  <c r="H520" i="15"/>
  <c r="G520" i="15"/>
  <c r="K519" i="15"/>
  <c r="K518" i="15"/>
  <c r="K520" i="15" s="1"/>
  <c r="G518" i="15"/>
  <c r="J518" i="15" s="1"/>
  <c r="J520" i="15" s="1"/>
  <c r="K514" i="15"/>
  <c r="K513" i="15"/>
  <c r="J513" i="15" s="1"/>
  <c r="G513" i="15"/>
  <c r="H512" i="15"/>
  <c r="H515" i="15" s="1"/>
  <c r="H522" i="15" s="1"/>
  <c r="H533" i="15" s="1"/>
  <c r="H90" i="15" s="1"/>
  <c r="K511" i="15"/>
  <c r="K510" i="15"/>
  <c r="G510" i="15"/>
  <c r="G508" i="15"/>
  <c r="K505" i="15"/>
  <c r="K544" i="15" s="1"/>
  <c r="K581" i="15" s="1"/>
  <c r="K618" i="15" s="1"/>
  <c r="K655" i="15" s="1"/>
  <c r="K692" i="15" s="1"/>
  <c r="K729" i="15" s="1"/>
  <c r="K766" i="15" s="1"/>
  <c r="K804" i="15" s="1"/>
  <c r="K841" i="15" s="1"/>
  <c r="K503" i="15"/>
  <c r="C503" i="15"/>
  <c r="A503" i="15"/>
  <c r="A501" i="15"/>
  <c r="K495" i="15"/>
  <c r="H495" i="15"/>
  <c r="A473" i="15"/>
  <c r="A474" i="15" s="1"/>
  <c r="A475" i="15" s="1"/>
  <c r="A476" i="15" s="1"/>
  <c r="A477" i="15" s="1"/>
  <c r="A478" i="15" s="1"/>
  <c r="A479" i="15" s="1"/>
  <c r="A480" i="15" s="1"/>
  <c r="A481" i="15" s="1"/>
  <c r="A482" i="15" s="1"/>
  <c r="A483" i="15" s="1"/>
  <c r="A484" i="15" s="1"/>
  <c r="A485" i="15" s="1"/>
  <c r="A486" i="15" s="1"/>
  <c r="A487" i="15" s="1"/>
  <c r="A488" i="15" s="1"/>
  <c r="A489" i="15" s="1"/>
  <c r="A490" i="15" s="1"/>
  <c r="A491" i="15" s="1"/>
  <c r="A492" i="15" s="1"/>
  <c r="A493" i="15" s="1"/>
  <c r="A495" i="15" s="1"/>
  <c r="E472" i="15"/>
  <c r="E473" i="15" s="1"/>
  <c r="E474" i="15" s="1"/>
  <c r="E475" i="15" s="1"/>
  <c r="E476" i="15" s="1"/>
  <c r="E477" i="15" s="1"/>
  <c r="E478" i="15" s="1"/>
  <c r="E479" i="15" s="1"/>
  <c r="E480" i="15" s="1"/>
  <c r="E481" i="15" s="1"/>
  <c r="E482" i="15" s="1"/>
  <c r="E483" i="15" s="1"/>
  <c r="E484" i="15" s="1"/>
  <c r="E485" i="15" s="1"/>
  <c r="E486" i="15" s="1"/>
  <c r="E487" i="15" s="1"/>
  <c r="E488" i="15" s="1"/>
  <c r="E489" i="15" s="1"/>
  <c r="E490" i="15" s="1"/>
  <c r="E491" i="15" s="1"/>
  <c r="E492" i="15" s="1"/>
  <c r="E493" i="15" s="1"/>
  <c r="E495" i="15" s="1"/>
  <c r="E471" i="15"/>
  <c r="A471" i="15"/>
  <c r="A472" i="15" s="1"/>
  <c r="K467" i="15"/>
  <c r="K465" i="15"/>
  <c r="C465" i="15"/>
  <c r="A465" i="15"/>
  <c r="A463" i="15"/>
  <c r="K444" i="15"/>
  <c r="K451" i="15" s="1"/>
  <c r="H444" i="15"/>
  <c r="K412" i="15"/>
  <c r="C412" i="15"/>
  <c r="A412" i="15"/>
  <c r="A410" i="15"/>
  <c r="H392" i="15"/>
  <c r="H399" i="15" s="1"/>
  <c r="K368" i="15"/>
  <c r="K392" i="15" s="1"/>
  <c r="K399" i="15" s="1"/>
  <c r="H368" i="15"/>
  <c r="K362" i="15"/>
  <c r="K360" i="15"/>
  <c r="C360" i="15"/>
  <c r="A360" i="15"/>
  <c r="A358" i="15"/>
  <c r="K352" i="15"/>
  <c r="H352" i="15"/>
  <c r="K327" i="15"/>
  <c r="C327" i="15"/>
  <c r="A327" i="15"/>
  <c r="A325" i="15"/>
  <c r="H310" i="15"/>
  <c r="G310" i="15"/>
  <c r="G315" i="15" s="1"/>
  <c r="H309" i="15"/>
  <c r="H313" i="15" s="1"/>
  <c r="H111" i="15" s="1"/>
  <c r="G309" i="15"/>
  <c r="H308" i="15"/>
  <c r="H315" i="15" s="1"/>
  <c r="H307" i="15"/>
  <c r="G307" i="15"/>
  <c r="H305" i="15"/>
  <c r="G305" i="15"/>
  <c r="H299" i="15"/>
  <c r="G299" i="15"/>
  <c r="H293" i="15"/>
  <c r="G293" i="15"/>
  <c r="A293" i="15"/>
  <c r="A294" i="15" s="1"/>
  <c r="A295" i="15" s="1"/>
  <c r="E292" i="15"/>
  <c r="E293" i="15" s="1"/>
  <c r="E294" i="15" s="1"/>
  <c r="E295" i="15" s="1"/>
  <c r="A292" i="15"/>
  <c r="A289" i="15"/>
  <c r="H287" i="15"/>
  <c r="G287" i="15"/>
  <c r="E287" i="15"/>
  <c r="E288" i="15" s="1"/>
  <c r="E289" i="15" s="1"/>
  <c r="E286" i="15"/>
  <c r="A286" i="15"/>
  <c r="A287" i="15" s="1"/>
  <c r="A288" i="15" s="1"/>
  <c r="E283" i="15"/>
  <c r="E284" i="15" s="1"/>
  <c r="A283" i="15"/>
  <c r="A284" i="15" s="1"/>
  <c r="K277" i="15"/>
  <c r="C277" i="15"/>
  <c r="A277" i="15"/>
  <c r="A275" i="15"/>
  <c r="E249" i="15"/>
  <c r="D249" i="15"/>
  <c r="E242" i="15"/>
  <c r="D242" i="15"/>
  <c r="D251" i="15" s="1"/>
  <c r="I228" i="15"/>
  <c r="C228" i="15"/>
  <c r="A228" i="15"/>
  <c r="A226" i="15"/>
  <c r="H203" i="15"/>
  <c r="H208" i="15" s="1"/>
  <c r="H193" i="15"/>
  <c r="H192" i="15"/>
  <c r="H190" i="15"/>
  <c r="H186" i="15"/>
  <c r="H194" i="15" s="1"/>
  <c r="K179" i="15"/>
  <c r="K176" i="15"/>
  <c r="C176" i="15"/>
  <c r="A176" i="15"/>
  <c r="A174" i="15"/>
  <c r="K145" i="15"/>
  <c r="H145" i="15"/>
  <c r="H131" i="15"/>
  <c r="H178" i="15" s="1"/>
  <c r="H279" i="15" s="1"/>
  <c r="H329" i="15" s="1"/>
  <c r="H362" i="15" s="1"/>
  <c r="H467" i="15" s="1"/>
  <c r="H505" i="15" s="1"/>
  <c r="H544" i="15" s="1"/>
  <c r="H581" i="15" s="1"/>
  <c r="H618" i="15" s="1"/>
  <c r="H655" i="15" s="1"/>
  <c r="H692" i="15" s="1"/>
  <c r="H729" i="15" s="1"/>
  <c r="H766" i="15" s="1"/>
  <c r="H804" i="15" s="1"/>
  <c r="H841" i="15" s="1"/>
  <c r="K129" i="15"/>
  <c r="C129" i="15"/>
  <c r="A129" i="15"/>
  <c r="A127" i="15"/>
  <c r="K117" i="15"/>
  <c r="H117" i="15"/>
  <c r="K114" i="15"/>
  <c r="H114" i="15"/>
  <c r="K113" i="15"/>
  <c r="H113" i="15"/>
  <c r="K110" i="15"/>
  <c r="K112" i="15" s="1"/>
  <c r="K119" i="15" s="1"/>
  <c r="H110" i="15"/>
  <c r="K109" i="15"/>
  <c r="H108" i="15"/>
  <c r="H109" i="15" s="1"/>
  <c r="H112" i="15" s="1"/>
  <c r="J107" i="15"/>
  <c r="G107" i="15"/>
  <c r="K105" i="15"/>
  <c r="H105" i="15"/>
  <c r="K99" i="15"/>
  <c r="J99" i="15"/>
  <c r="G99" i="15"/>
  <c r="K98" i="15"/>
  <c r="K97" i="15"/>
  <c r="J97" i="15"/>
  <c r="H97" i="15"/>
  <c r="G97" i="15"/>
  <c r="H96" i="15"/>
  <c r="H95" i="15"/>
  <c r="G95" i="15"/>
  <c r="K94" i="15"/>
  <c r="G94" i="15"/>
  <c r="K92" i="15"/>
  <c r="H92" i="15"/>
  <c r="H91" i="15"/>
  <c r="G91" i="15"/>
  <c r="K87" i="15"/>
  <c r="K131" i="15" s="1"/>
  <c r="K178" i="15" s="1"/>
  <c r="H87" i="15"/>
  <c r="K85" i="15"/>
  <c r="C85" i="15"/>
  <c r="A85" i="15"/>
  <c r="K42" i="15"/>
  <c r="C42" i="15"/>
  <c r="J700" i="15" l="1"/>
  <c r="J702" i="15" s="1"/>
  <c r="J709" i="15" s="1"/>
  <c r="J720" i="15" s="1"/>
  <c r="J95" i="15" s="1"/>
  <c r="K702" i="15"/>
  <c r="K709" i="15" s="1"/>
  <c r="K720" i="15" s="1"/>
  <c r="K95" i="15" s="1"/>
  <c r="H119" i="15"/>
  <c r="H197" i="15" s="1"/>
  <c r="G633" i="15"/>
  <c r="J631" i="15"/>
  <c r="J633" i="15" s="1"/>
  <c r="J635" i="15" s="1"/>
  <c r="J646" i="15" s="1"/>
  <c r="J93" i="15" s="1"/>
  <c r="H821" i="15"/>
  <c r="H832" i="15" s="1"/>
  <c r="H98" i="15" s="1"/>
  <c r="G312" i="15"/>
  <c r="G314" i="15"/>
  <c r="G317" i="15" s="1"/>
  <c r="H312" i="15"/>
  <c r="H314" i="15"/>
  <c r="H317" i="15" s="1"/>
  <c r="H868" i="15"/>
  <c r="H99" i="15" s="1"/>
  <c r="G313" i="15"/>
  <c r="K512" i="15"/>
  <c r="K515" i="15" s="1"/>
  <c r="K522" i="15" s="1"/>
  <c r="K533" i="15" s="1"/>
  <c r="K90" i="15" s="1"/>
  <c r="J510" i="15"/>
  <c r="K746" i="15"/>
  <c r="K757" i="15" s="1"/>
  <c r="J742" i="15"/>
  <c r="J744" i="15" s="1"/>
  <c r="J746" i="15" s="1"/>
  <c r="J757" i="15" s="1"/>
  <c r="J96" i="15" s="1"/>
  <c r="K744" i="15"/>
  <c r="J508" i="15"/>
  <c r="J512" i="15" s="1"/>
  <c r="J515" i="15" s="1"/>
  <c r="J522" i="15" s="1"/>
  <c r="J533" i="15" s="1"/>
  <c r="J90" i="15" s="1"/>
  <c r="H202" i="15"/>
  <c r="H207" i="15" s="1"/>
  <c r="G635" i="15"/>
  <c r="G646" i="15" s="1"/>
  <c r="G93" i="15" s="1"/>
  <c r="G512" i="15"/>
  <c r="H646" i="15"/>
  <c r="H93" i="15" s="1"/>
  <c r="H101" i="15" s="1"/>
  <c r="J663" i="15"/>
  <c r="J665" i="15" s="1"/>
  <c r="J672" i="15" s="1"/>
  <c r="J683" i="15" s="1"/>
  <c r="J94" i="15" s="1"/>
  <c r="G815" i="15"/>
  <c r="G821" i="15" s="1"/>
  <c r="G832" i="15" s="1"/>
  <c r="G98" i="15" s="1"/>
  <c r="J812" i="15"/>
  <c r="J815" i="15" s="1"/>
  <c r="J821" i="15" s="1"/>
  <c r="J832" i="15" s="1"/>
  <c r="J98" i="15" s="1"/>
  <c r="J101" i="15" l="1"/>
  <c r="J760" i="15"/>
  <c r="K96" i="15"/>
  <c r="G515" i="15"/>
  <c r="G522" i="15" s="1"/>
  <c r="G533" i="15" s="1"/>
  <c r="G90" i="15" s="1"/>
  <c r="G101" i="15" s="1"/>
  <c r="H210" i="15" s="1"/>
  <c r="H206" i="15"/>
  <c r="H201" i="15"/>
  <c r="E251" i="15" s="1"/>
  <c r="F251" i="15" s="1"/>
  <c r="K101" i="15"/>
  <c r="H858" i="14" l="1"/>
  <c r="K857" i="14"/>
  <c r="K865" i="14" s="1"/>
  <c r="H857" i="14"/>
  <c r="H865" i="14" s="1"/>
  <c r="K844" i="14"/>
  <c r="K854" i="14" s="1"/>
  <c r="H844" i="14"/>
  <c r="H854" i="14" s="1"/>
  <c r="H868" i="14" s="1"/>
  <c r="H99" i="14" s="1"/>
  <c r="K839" i="14"/>
  <c r="C839" i="14"/>
  <c r="A839" i="14"/>
  <c r="A837" i="14"/>
  <c r="K819" i="14"/>
  <c r="J819" i="14"/>
  <c r="H819" i="14"/>
  <c r="G819" i="14"/>
  <c r="K815" i="14"/>
  <c r="K821" i="14" s="1"/>
  <c r="K832" i="14" s="1"/>
  <c r="J815" i="14"/>
  <c r="J821" i="14" s="1"/>
  <c r="J832" i="14" s="1"/>
  <c r="J98" i="14" s="1"/>
  <c r="H815" i="14"/>
  <c r="H821" i="14" s="1"/>
  <c r="H832" i="14" s="1"/>
  <c r="H98" i="14" s="1"/>
  <c r="G815" i="14"/>
  <c r="G821" i="14" s="1"/>
  <c r="G832" i="14" s="1"/>
  <c r="G98" i="14" s="1"/>
  <c r="K802" i="14"/>
  <c r="C802" i="14"/>
  <c r="A802" i="14"/>
  <c r="A800" i="14"/>
  <c r="K794" i="14"/>
  <c r="H794" i="14"/>
  <c r="H97" i="14" s="1"/>
  <c r="E772" i="14"/>
  <c r="E773" i="14" s="1"/>
  <c r="E774" i="14" s="1"/>
  <c r="E775" i="14" s="1"/>
  <c r="E776" i="14" s="1"/>
  <c r="E777" i="14" s="1"/>
  <c r="E778" i="14" s="1"/>
  <c r="E779" i="14" s="1"/>
  <c r="E780" i="14" s="1"/>
  <c r="E781" i="14" s="1"/>
  <c r="E782" i="14" s="1"/>
  <c r="E783" i="14" s="1"/>
  <c r="E784" i="14" s="1"/>
  <c r="E785" i="14" s="1"/>
  <c r="E786" i="14" s="1"/>
  <c r="E787" i="14" s="1"/>
  <c r="A772" i="14"/>
  <c r="A773" i="14" s="1"/>
  <c r="A774" i="14" s="1"/>
  <c r="A775" i="14" s="1"/>
  <c r="A776" i="14" s="1"/>
  <c r="A777" i="14" s="1"/>
  <c r="A778" i="14" s="1"/>
  <c r="A779" i="14" s="1"/>
  <c r="A780" i="14" s="1"/>
  <c r="A781" i="14" s="1"/>
  <c r="A782" i="14" s="1"/>
  <c r="A783" i="14" s="1"/>
  <c r="A784" i="14" s="1"/>
  <c r="A785" i="14" s="1"/>
  <c r="A786" i="14" s="1"/>
  <c r="A787" i="14" s="1"/>
  <c r="E770" i="14"/>
  <c r="E771" i="14" s="1"/>
  <c r="A770" i="14"/>
  <c r="A771" i="14" s="1"/>
  <c r="K764" i="14"/>
  <c r="C764" i="14"/>
  <c r="A764" i="14"/>
  <c r="A762" i="14"/>
  <c r="K751" i="14"/>
  <c r="H751" i="14"/>
  <c r="H744" i="14"/>
  <c r="H746" i="14" s="1"/>
  <c r="G744" i="14"/>
  <c r="K743" i="14"/>
  <c r="K742" i="14"/>
  <c r="J742" i="14"/>
  <c r="J744" i="14" s="1"/>
  <c r="K739" i="14"/>
  <c r="H739" i="14"/>
  <c r="G737" i="14"/>
  <c r="G739" i="14" s="1"/>
  <c r="G746" i="14" s="1"/>
  <c r="G757" i="14" s="1"/>
  <c r="G96" i="14" s="1"/>
  <c r="K727" i="14"/>
  <c r="C727" i="14"/>
  <c r="A727" i="14"/>
  <c r="A725" i="14"/>
  <c r="K714" i="14"/>
  <c r="H714" i="14"/>
  <c r="K711" i="14"/>
  <c r="H711" i="14"/>
  <c r="K706" i="14"/>
  <c r="H706" i="14"/>
  <c r="K705" i="14"/>
  <c r="K707" i="14" s="1"/>
  <c r="H705" i="14"/>
  <c r="H707" i="14" s="1"/>
  <c r="G705" i="14"/>
  <c r="G707" i="14" s="1"/>
  <c r="K701" i="14"/>
  <c r="H701" i="14"/>
  <c r="K700" i="14"/>
  <c r="H700" i="14"/>
  <c r="G700" i="14"/>
  <c r="G702" i="14" s="1"/>
  <c r="K690" i="14"/>
  <c r="C690" i="14"/>
  <c r="A690" i="14"/>
  <c r="A688" i="14"/>
  <c r="H677" i="14"/>
  <c r="K670" i="14"/>
  <c r="H670" i="14"/>
  <c r="G668" i="14"/>
  <c r="G670" i="14" s="1"/>
  <c r="K665" i="14"/>
  <c r="K672" i="14" s="1"/>
  <c r="K683" i="14" s="1"/>
  <c r="K94" i="14" s="1"/>
  <c r="H665" i="14"/>
  <c r="H672" i="14" s="1"/>
  <c r="G663" i="14"/>
  <c r="J663" i="14" s="1"/>
  <c r="J665" i="14" s="1"/>
  <c r="K653" i="14"/>
  <c r="C653" i="14"/>
  <c r="A653" i="14"/>
  <c r="A651" i="14"/>
  <c r="K643" i="14"/>
  <c r="H643" i="14"/>
  <c r="K640" i="14"/>
  <c r="H640" i="14"/>
  <c r="G635" i="14"/>
  <c r="G646" i="14" s="1"/>
  <c r="G93" i="14" s="1"/>
  <c r="K633" i="14"/>
  <c r="H633" i="14"/>
  <c r="G633" i="14"/>
  <c r="J631" i="14"/>
  <c r="J633" i="14" s="1"/>
  <c r="G631" i="14"/>
  <c r="K628" i="14"/>
  <c r="K635" i="14" s="1"/>
  <c r="H628" i="14"/>
  <c r="J626" i="14"/>
  <c r="J628" i="14" s="1"/>
  <c r="J635" i="14" s="1"/>
  <c r="J646" i="14" s="1"/>
  <c r="J93" i="14" s="1"/>
  <c r="G626" i="14"/>
  <c r="G628" i="14" s="1"/>
  <c r="K616" i="14"/>
  <c r="C616" i="14"/>
  <c r="A616" i="14"/>
  <c r="A614" i="14"/>
  <c r="K596" i="14"/>
  <c r="J596" i="14"/>
  <c r="H596" i="14"/>
  <c r="G596" i="14"/>
  <c r="K591" i="14"/>
  <c r="K598" i="14" s="1"/>
  <c r="K609" i="14" s="1"/>
  <c r="K92" i="14" s="1"/>
  <c r="H591" i="14"/>
  <c r="H598" i="14" s="1"/>
  <c r="H609" i="14" s="1"/>
  <c r="H92" i="14" s="1"/>
  <c r="G589" i="14"/>
  <c r="G591" i="14" s="1"/>
  <c r="G598" i="14" s="1"/>
  <c r="G609" i="14" s="1"/>
  <c r="G92" i="14" s="1"/>
  <c r="K579" i="14"/>
  <c r="C579" i="14"/>
  <c r="A579" i="14"/>
  <c r="A577" i="14"/>
  <c r="K559" i="14"/>
  <c r="J559" i="14"/>
  <c r="H559" i="14"/>
  <c r="G559" i="14"/>
  <c r="K554" i="14"/>
  <c r="K561" i="14" s="1"/>
  <c r="K572" i="14" s="1"/>
  <c r="K91" i="14" s="1"/>
  <c r="K551" i="14"/>
  <c r="J551" i="14"/>
  <c r="J554" i="14" s="1"/>
  <c r="J561" i="14" s="1"/>
  <c r="J572" i="14" s="1"/>
  <c r="J91" i="14" s="1"/>
  <c r="H551" i="14"/>
  <c r="H554" i="14" s="1"/>
  <c r="H561" i="14" s="1"/>
  <c r="H572" i="14" s="1"/>
  <c r="H91" i="14" s="1"/>
  <c r="G551" i="14"/>
  <c r="G554" i="14" s="1"/>
  <c r="K542" i="14"/>
  <c r="C542" i="14"/>
  <c r="A542" i="14"/>
  <c r="A540" i="14"/>
  <c r="H527" i="14"/>
  <c r="H522" i="14"/>
  <c r="H533" i="14" s="1"/>
  <c r="H90" i="14" s="1"/>
  <c r="K520" i="14"/>
  <c r="H520" i="14"/>
  <c r="G518" i="14"/>
  <c r="J513" i="14"/>
  <c r="G513" i="14"/>
  <c r="H512" i="14"/>
  <c r="H515" i="14" s="1"/>
  <c r="K511" i="14"/>
  <c r="K510" i="14"/>
  <c r="J510" i="14" s="1"/>
  <c r="G510" i="14"/>
  <c r="K509" i="14"/>
  <c r="K508" i="14"/>
  <c r="K512" i="14" s="1"/>
  <c r="K515" i="14" s="1"/>
  <c r="G508" i="14"/>
  <c r="G512" i="14" s="1"/>
  <c r="H201" i="14" s="1"/>
  <c r="K503" i="14"/>
  <c r="C503" i="14"/>
  <c r="A503" i="14"/>
  <c r="A501" i="14"/>
  <c r="K495" i="14"/>
  <c r="K105" i="14" s="1"/>
  <c r="H495" i="14"/>
  <c r="H105" i="14" s="1"/>
  <c r="E471" i="14"/>
  <c r="E472" i="14" s="1"/>
  <c r="E473" i="14" s="1"/>
  <c r="E474" i="14" s="1"/>
  <c r="E475" i="14" s="1"/>
  <c r="E476" i="14" s="1"/>
  <c r="E477" i="14" s="1"/>
  <c r="E478" i="14" s="1"/>
  <c r="E479" i="14" s="1"/>
  <c r="E480" i="14" s="1"/>
  <c r="E481" i="14" s="1"/>
  <c r="E482" i="14" s="1"/>
  <c r="E483" i="14" s="1"/>
  <c r="E484" i="14" s="1"/>
  <c r="E485" i="14" s="1"/>
  <c r="E486" i="14" s="1"/>
  <c r="E487" i="14" s="1"/>
  <c r="E488" i="14" s="1"/>
  <c r="E489" i="14" s="1"/>
  <c r="E490" i="14" s="1"/>
  <c r="E491" i="14" s="1"/>
  <c r="E492" i="14" s="1"/>
  <c r="E493" i="14" s="1"/>
  <c r="E495" i="14" s="1"/>
  <c r="A471" i="14"/>
  <c r="A472" i="14" s="1"/>
  <c r="A473" i="14" s="1"/>
  <c r="A474" i="14" s="1"/>
  <c r="A475" i="14" s="1"/>
  <c r="A476" i="14" s="1"/>
  <c r="A477" i="14" s="1"/>
  <c r="A478" i="14" s="1"/>
  <c r="A479" i="14" s="1"/>
  <c r="A480" i="14" s="1"/>
  <c r="A481" i="14" s="1"/>
  <c r="A482" i="14" s="1"/>
  <c r="A483" i="14" s="1"/>
  <c r="A484" i="14" s="1"/>
  <c r="A485" i="14" s="1"/>
  <c r="A486" i="14" s="1"/>
  <c r="A487" i="14" s="1"/>
  <c r="A488" i="14" s="1"/>
  <c r="A489" i="14" s="1"/>
  <c r="A490" i="14" s="1"/>
  <c r="A491" i="14" s="1"/>
  <c r="A492" i="14" s="1"/>
  <c r="A493" i="14" s="1"/>
  <c r="A495" i="14" s="1"/>
  <c r="K465" i="14"/>
  <c r="C465" i="14"/>
  <c r="A465" i="14"/>
  <c r="A463" i="14"/>
  <c r="K451" i="14"/>
  <c r="K444" i="14"/>
  <c r="H444" i="14"/>
  <c r="K412" i="14"/>
  <c r="C412" i="14"/>
  <c r="A412" i="14"/>
  <c r="A410" i="14"/>
  <c r="K368" i="14"/>
  <c r="K392" i="14" s="1"/>
  <c r="K399" i="14" s="1"/>
  <c r="K117" i="14" s="1"/>
  <c r="H368" i="14"/>
  <c r="H392" i="14" s="1"/>
  <c r="H399" i="14" s="1"/>
  <c r="H117" i="14" s="1"/>
  <c r="K362" i="14"/>
  <c r="K467" i="14" s="1"/>
  <c r="K505" i="14" s="1"/>
  <c r="K544" i="14" s="1"/>
  <c r="K581" i="14" s="1"/>
  <c r="K618" i="14" s="1"/>
  <c r="K655" i="14" s="1"/>
  <c r="K692" i="14" s="1"/>
  <c r="K729" i="14" s="1"/>
  <c r="K766" i="14" s="1"/>
  <c r="K804" i="14" s="1"/>
  <c r="K841" i="14" s="1"/>
  <c r="K360" i="14"/>
  <c r="C360" i="14"/>
  <c r="A360" i="14"/>
  <c r="A358" i="14"/>
  <c r="K352" i="14"/>
  <c r="H352" i="14"/>
  <c r="K327" i="14"/>
  <c r="C327" i="14"/>
  <c r="A327" i="14"/>
  <c r="A325" i="14"/>
  <c r="G315" i="14"/>
  <c r="G314" i="14"/>
  <c r="G317" i="14" s="1"/>
  <c r="G313" i="14"/>
  <c r="G312" i="14"/>
  <c r="H310" i="14"/>
  <c r="H309" i="14"/>
  <c r="H313" i="14" s="1"/>
  <c r="H111" i="14" s="1"/>
  <c r="H308" i="14"/>
  <c r="H315" i="14" s="1"/>
  <c r="H307" i="14"/>
  <c r="H305" i="14"/>
  <c r="H299" i="14"/>
  <c r="G299" i="14"/>
  <c r="H293" i="14"/>
  <c r="E292" i="14"/>
  <c r="E293" i="14" s="1"/>
  <c r="E294" i="14" s="1"/>
  <c r="E295" i="14" s="1"/>
  <c r="A292" i="14"/>
  <c r="A293" i="14" s="1"/>
  <c r="A294" i="14" s="1"/>
  <c r="A295" i="14" s="1"/>
  <c r="H287" i="14"/>
  <c r="A287" i="14"/>
  <c r="A288" i="14" s="1"/>
  <c r="A289" i="14" s="1"/>
  <c r="E286" i="14"/>
  <c r="E287" i="14" s="1"/>
  <c r="E288" i="14" s="1"/>
  <c r="E289" i="14" s="1"/>
  <c r="A286" i="14"/>
  <c r="E283" i="14"/>
  <c r="E284" i="14" s="1"/>
  <c r="A283" i="14"/>
  <c r="A284" i="14" s="1"/>
  <c r="K277" i="14"/>
  <c r="C277" i="14"/>
  <c r="A277" i="14"/>
  <c r="A275" i="14"/>
  <c r="E249" i="14"/>
  <c r="D249" i="14"/>
  <c r="F249" i="14" s="1"/>
  <c r="F247" i="14"/>
  <c r="F245" i="14"/>
  <c r="E242" i="14"/>
  <c r="E251" i="14" s="1"/>
  <c r="D242" i="14"/>
  <c r="D251" i="14" s="1"/>
  <c r="F251" i="14" s="1"/>
  <c r="F240" i="14"/>
  <c r="F238" i="14"/>
  <c r="I228" i="14"/>
  <c r="C228" i="14"/>
  <c r="A228" i="14"/>
  <c r="A226" i="14"/>
  <c r="H203" i="14"/>
  <c r="H208" i="14" s="1"/>
  <c r="H202" i="14"/>
  <c r="H207" i="14" s="1"/>
  <c r="K194" i="14"/>
  <c r="K193" i="14"/>
  <c r="H193" i="14"/>
  <c r="K192" i="14"/>
  <c r="H192" i="14"/>
  <c r="H194" i="14" s="1"/>
  <c r="K190" i="14"/>
  <c r="H190" i="14"/>
  <c r="K186" i="14"/>
  <c r="H186" i="14"/>
  <c r="K182" i="14"/>
  <c r="K184" i="14" s="1"/>
  <c r="H182" i="14"/>
  <c r="H183" i="14" s="1"/>
  <c r="K179" i="14"/>
  <c r="K176" i="14"/>
  <c r="C176" i="14"/>
  <c r="A176" i="14"/>
  <c r="A174" i="14"/>
  <c r="K145" i="14"/>
  <c r="H145" i="14"/>
  <c r="K129" i="14"/>
  <c r="C129" i="14"/>
  <c r="A129" i="14"/>
  <c r="A127" i="14"/>
  <c r="K114" i="14"/>
  <c r="H114" i="14"/>
  <c r="K113" i="14"/>
  <c r="H113" i="14"/>
  <c r="H110" i="14"/>
  <c r="K109" i="14"/>
  <c r="K112" i="14" s="1"/>
  <c r="J107" i="14"/>
  <c r="J99" i="14"/>
  <c r="G99" i="14"/>
  <c r="K98" i="14"/>
  <c r="K97" i="14"/>
  <c r="J97" i="14"/>
  <c r="G97" i="14"/>
  <c r="K87" i="14"/>
  <c r="K131" i="14" s="1"/>
  <c r="K178" i="14" s="1"/>
  <c r="H87" i="14"/>
  <c r="H131" i="14" s="1"/>
  <c r="H178" i="14" s="1"/>
  <c r="H279" i="14" s="1"/>
  <c r="H329" i="14" s="1"/>
  <c r="H362" i="14" s="1"/>
  <c r="H467" i="14" s="1"/>
  <c r="H505" i="14" s="1"/>
  <c r="H544" i="14" s="1"/>
  <c r="H581" i="14" s="1"/>
  <c r="H618" i="14" s="1"/>
  <c r="H655" i="14" s="1"/>
  <c r="H692" i="14" s="1"/>
  <c r="H729" i="14" s="1"/>
  <c r="H766" i="14" s="1"/>
  <c r="H804" i="14" s="1"/>
  <c r="H841" i="14" s="1"/>
  <c r="K85" i="14"/>
  <c r="C85" i="14"/>
  <c r="A85" i="14"/>
  <c r="K42" i="14"/>
  <c r="C42" i="14"/>
  <c r="K522" i="14" l="1"/>
  <c r="K533" i="14" s="1"/>
  <c r="K90" i="14" s="1"/>
  <c r="K47" i="10" s="1"/>
  <c r="K58" i="10" s="1"/>
  <c r="G709" i="14"/>
  <c r="G720" i="14" s="1"/>
  <c r="G95" i="14" s="1"/>
  <c r="J737" i="14"/>
  <c r="J739" i="14" s="1"/>
  <c r="J746" i="14" s="1"/>
  <c r="J757" i="14" s="1"/>
  <c r="J96" i="14" s="1"/>
  <c r="H108" i="14"/>
  <c r="H109" i="14" s="1"/>
  <c r="H112" i="14" s="1"/>
  <c r="H119" i="14" s="1"/>
  <c r="H197" i="14" s="1"/>
  <c r="J589" i="14"/>
  <c r="J591" i="14" s="1"/>
  <c r="J598" i="14" s="1"/>
  <c r="J609" i="14" s="1"/>
  <c r="J92" i="14" s="1"/>
  <c r="H635" i="14"/>
  <c r="H646" i="14" s="1"/>
  <c r="H93" i="14" s="1"/>
  <c r="G665" i="14"/>
  <c r="G672" i="14" s="1"/>
  <c r="G683" i="14" s="1"/>
  <c r="G94" i="14" s="1"/>
  <c r="J668" i="14"/>
  <c r="J670" i="14" s="1"/>
  <c r="J672" i="14" s="1"/>
  <c r="J683" i="14" s="1"/>
  <c r="J94" i="14" s="1"/>
  <c r="H702" i="14"/>
  <c r="H709" i="14" s="1"/>
  <c r="H720" i="14" s="1"/>
  <c r="H95" i="14" s="1"/>
  <c r="G107" i="14"/>
  <c r="G64" i="10" s="1"/>
  <c r="H206" i="14"/>
  <c r="H312" i="14"/>
  <c r="J508" i="14"/>
  <c r="J512" i="14" s="1"/>
  <c r="J515" i="14" s="1"/>
  <c r="G561" i="14"/>
  <c r="G572" i="14" s="1"/>
  <c r="G91" i="14" s="1"/>
  <c r="H683" i="14"/>
  <c r="H94" i="14" s="1"/>
  <c r="H101" i="14" s="1"/>
  <c r="K744" i="14"/>
  <c r="H757" i="14"/>
  <c r="H96" i="14" s="1"/>
  <c r="K119" i="14"/>
  <c r="G520" i="14"/>
  <c r="J518" i="14"/>
  <c r="J520" i="14" s="1"/>
  <c r="F242" i="14"/>
  <c r="H314" i="14"/>
  <c r="H317" i="14" s="1"/>
  <c r="K746" i="14"/>
  <c r="K757" i="14" s="1"/>
  <c r="K96" i="14" s="1"/>
  <c r="J700" i="14"/>
  <c r="J702" i="14" s="1"/>
  <c r="K702" i="14"/>
  <c r="K709" i="14" s="1"/>
  <c r="K720" i="14" s="1"/>
  <c r="K95" i="14" s="1"/>
  <c r="G515" i="14"/>
  <c r="K646" i="14"/>
  <c r="K93" i="14" s="1"/>
  <c r="J705" i="14"/>
  <c r="J707" i="14" s="1"/>
  <c r="K868" i="14"/>
  <c r="K99" i="14" s="1"/>
  <c r="K101" i="14" l="1"/>
  <c r="J522" i="14"/>
  <c r="J533" i="14" s="1"/>
  <c r="J90" i="14" s="1"/>
  <c r="J47" i="10" s="1"/>
  <c r="J58" i="10" s="1"/>
  <c r="J709" i="14"/>
  <c r="J720" i="14" s="1"/>
  <c r="J95" i="14" s="1"/>
  <c r="G522" i="14"/>
  <c r="G533" i="14" s="1"/>
  <c r="G90" i="14" s="1"/>
  <c r="G101" i="14" s="1"/>
  <c r="H210" i="14" s="1"/>
  <c r="J101" i="14" l="1"/>
  <c r="K865" i="13"/>
  <c r="H865" i="13"/>
  <c r="K854" i="13"/>
  <c r="K868" i="13" s="1"/>
  <c r="K99" i="13" s="1"/>
  <c r="H854" i="13"/>
  <c r="H868" i="13" s="1"/>
  <c r="H99" i="13" s="1"/>
  <c r="K839" i="13"/>
  <c r="C839" i="13"/>
  <c r="A839" i="13"/>
  <c r="A837" i="13"/>
  <c r="K819" i="13"/>
  <c r="J819" i="13"/>
  <c r="H819" i="13"/>
  <c r="G819" i="13"/>
  <c r="K815" i="13"/>
  <c r="K821" i="13" s="1"/>
  <c r="K832" i="13" s="1"/>
  <c r="K98" i="13" s="1"/>
  <c r="J815" i="13"/>
  <c r="J821" i="13" s="1"/>
  <c r="J832" i="13" s="1"/>
  <c r="J98" i="13" s="1"/>
  <c r="H815" i="13"/>
  <c r="H821" i="13" s="1"/>
  <c r="H832" i="13" s="1"/>
  <c r="H98" i="13" s="1"/>
  <c r="G815" i="13"/>
  <c r="G821" i="13" s="1"/>
  <c r="G832" i="13" s="1"/>
  <c r="G98" i="13" s="1"/>
  <c r="K802" i="13"/>
  <c r="C802" i="13"/>
  <c r="A802" i="13"/>
  <c r="A800" i="13"/>
  <c r="K794" i="13"/>
  <c r="H794" i="13"/>
  <c r="H97" i="13" s="1"/>
  <c r="E770" i="13"/>
  <c r="E771" i="13" s="1"/>
  <c r="E772" i="13" s="1"/>
  <c r="E773" i="13" s="1"/>
  <c r="E774" i="13" s="1"/>
  <c r="E775" i="13" s="1"/>
  <c r="E776" i="13" s="1"/>
  <c r="E777" i="13" s="1"/>
  <c r="E778" i="13" s="1"/>
  <c r="E779" i="13" s="1"/>
  <c r="E780" i="13" s="1"/>
  <c r="E781" i="13" s="1"/>
  <c r="E782" i="13" s="1"/>
  <c r="E783" i="13" s="1"/>
  <c r="E784" i="13" s="1"/>
  <c r="E785" i="13" s="1"/>
  <c r="E786" i="13" s="1"/>
  <c r="E787" i="13" s="1"/>
  <c r="A770" i="13"/>
  <c r="A771" i="13" s="1"/>
  <c r="A772" i="13" s="1"/>
  <c r="A773" i="13" s="1"/>
  <c r="A774" i="13" s="1"/>
  <c r="A775" i="13" s="1"/>
  <c r="A776" i="13" s="1"/>
  <c r="A777" i="13" s="1"/>
  <c r="A778" i="13" s="1"/>
  <c r="A779" i="13" s="1"/>
  <c r="A780" i="13" s="1"/>
  <c r="A781" i="13" s="1"/>
  <c r="A782" i="13" s="1"/>
  <c r="A783" i="13" s="1"/>
  <c r="A784" i="13" s="1"/>
  <c r="A785" i="13" s="1"/>
  <c r="A786" i="13" s="1"/>
  <c r="A787" i="13" s="1"/>
  <c r="K764" i="13"/>
  <c r="C764" i="13"/>
  <c r="A764" i="13"/>
  <c r="A762" i="13"/>
  <c r="K744" i="13"/>
  <c r="J744" i="13"/>
  <c r="H744" i="13"/>
  <c r="G744" i="13"/>
  <c r="K739" i="13"/>
  <c r="K746" i="13" s="1"/>
  <c r="K757" i="13" s="1"/>
  <c r="K96" i="13" s="1"/>
  <c r="J739" i="13"/>
  <c r="J746" i="13" s="1"/>
  <c r="J757" i="13" s="1"/>
  <c r="J96" i="13" s="1"/>
  <c r="H739" i="13"/>
  <c r="H746" i="13" s="1"/>
  <c r="H757" i="13" s="1"/>
  <c r="H96" i="13" s="1"/>
  <c r="G739" i="13"/>
  <c r="G746" i="13" s="1"/>
  <c r="G757" i="13" s="1"/>
  <c r="G96" i="13" s="1"/>
  <c r="K727" i="13"/>
  <c r="C727" i="13"/>
  <c r="A727" i="13"/>
  <c r="A725" i="13"/>
  <c r="K707" i="13"/>
  <c r="J707" i="13"/>
  <c r="H707" i="13"/>
  <c r="G707" i="13"/>
  <c r="K702" i="13"/>
  <c r="K709" i="13" s="1"/>
  <c r="K720" i="13" s="1"/>
  <c r="K95" i="13" s="1"/>
  <c r="J702" i="13"/>
  <c r="J709" i="13" s="1"/>
  <c r="J720" i="13" s="1"/>
  <c r="J95" i="13" s="1"/>
  <c r="H702" i="13"/>
  <c r="H709" i="13" s="1"/>
  <c r="H720" i="13" s="1"/>
  <c r="H95" i="13" s="1"/>
  <c r="G702" i="13"/>
  <c r="G709" i="13" s="1"/>
  <c r="G720" i="13" s="1"/>
  <c r="G95" i="13" s="1"/>
  <c r="K690" i="13"/>
  <c r="C690" i="13"/>
  <c r="A690" i="13"/>
  <c r="A688" i="13"/>
  <c r="K670" i="13"/>
  <c r="J670" i="13"/>
  <c r="H670" i="13"/>
  <c r="G670" i="13"/>
  <c r="K665" i="13"/>
  <c r="K672" i="13" s="1"/>
  <c r="K683" i="13" s="1"/>
  <c r="K94" i="13" s="1"/>
  <c r="J665" i="13"/>
  <c r="J672" i="13" s="1"/>
  <c r="J683" i="13" s="1"/>
  <c r="J94" i="13" s="1"/>
  <c r="H665" i="13"/>
  <c r="H672" i="13" s="1"/>
  <c r="H683" i="13" s="1"/>
  <c r="H94" i="13" s="1"/>
  <c r="G665" i="13"/>
  <c r="G672" i="13" s="1"/>
  <c r="G683" i="13" s="1"/>
  <c r="G94" i="13" s="1"/>
  <c r="K653" i="13"/>
  <c r="C653" i="13"/>
  <c r="A653" i="13"/>
  <c r="A651" i="13"/>
  <c r="K633" i="13"/>
  <c r="J633" i="13"/>
  <c r="H633" i="13"/>
  <c r="G633" i="13"/>
  <c r="K628" i="13"/>
  <c r="K635" i="13" s="1"/>
  <c r="K646" i="13" s="1"/>
  <c r="K93" i="13" s="1"/>
  <c r="J628" i="13"/>
  <c r="J635" i="13" s="1"/>
  <c r="J646" i="13" s="1"/>
  <c r="J93" i="13" s="1"/>
  <c r="H628" i="13"/>
  <c r="H635" i="13" s="1"/>
  <c r="H646" i="13" s="1"/>
  <c r="H93" i="13" s="1"/>
  <c r="G628" i="13"/>
  <c r="G635" i="13" s="1"/>
  <c r="G646" i="13" s="1"/>
  <c r="G93" i="13" s="1"/>
  <c r="K616" i="13"/>
  <c r="C616" i="13"/>
  <c r="A616" i="13"/>
  <c r="A614" i="13"/>
  <c r="J598" i="13"/>
  <c r="J609" i="13" s="1"/>
  <c r="J92" i="13" s="1"/>
  <c r="K596" i="13"/>
  <c r="J596" i="13"/>
  <c r="H596" i="13"/>
  <c r="G596" i="13"/>
  <c r="K591" i="13"/>
  <c r="K598" i="13" s="1"/>
  <c r="K609" i="13" s="1"/>
  <c r="K92" i="13" s="1"/>
  <c r="J591" i="13"/>
  <c r="H591" i="13"/>
  <c r="H598" i="13" s="1"/>
  <c r="H609" i="13" s="1"/>
  <c r="H92" i="13" s="1"/>
  <c r="G591" i="13"/>
  <c r="G598" i="13" s="1"/>
  <c r="G609" i="13" s="1"/>
  <c r="K579" i="13"/>
  <c r="C579" i="13"/>
  <c r="A579" i="13"/>
  <c r="A577" i="13"/>
  <c r="K559" i="13"/>
  <c r="J559" i="13"/>
  <c r="H559" i="13"/>
  <c r="G559" i="13"/>
  <c r="K551" i="13"/>
  <c r="K554" i="13" s="1"/>
  <c r="K561" i="13" s="1"/>
  <c r="K572" i="13" s="1"/>
  <c r="K91" i="13" s="1"/>
  <c r="J551" i="13"/>
  <c r="J554" i="13" s="1"/>
  <c r="J561" i="13" s="1"/>
  <c r="J572" i="13" s="1"/>
  <c r="J91" i="13" s="1"/>
  <c r="H551" i="13"/>
  <c r="H554" i="13" s="1"/>
  <c r="H561" i="13" s="1"/>
  <c r="H572" i="13" s="1"/>
  <c r="H91" i="13" s="1"/>
  <c r="G551" i="13"/>
  <c r="H206" i="13" s="1"/>
  <c r="K542" i="13"/>
  <c r="C542" i="13"/>
  <c r="A542" i="13"/>
  <c r="A540" i="13"/>
  <c r="K520" i="13"/>
  <c r="J520" i="13"/>
  <c r="H520" i="13"/>
  <c r="G520" i="13"/>
  <c r="K512" i="13"/>
  <c r="K515" i="13" s="1"/>
  <c r="K522" i="13" s="1"/>
  <c r="K533" i="13" s="1"/>
  <c r="K90" i="13" s="1"/>
  <c r="J512" i="13"/>
  <c r="J515" i="13" s="1"/>
  <c r="J522" i="13" s="1"/>
  <c r="J533" i="13" s="1"/>
  <c r="J90" i="13" s="1"/>
  <c r="J101" i="13" s="1"/>
  <c r="H512" i="13"/>
  <c r="H515" i="13" s="1"/>
  <c r="H522" i="13" s="1"/>
  <c r="H533" i="13" s="1"/>
  <c r="H90" i="13" s="1"/>
  <c r="G512" i="13"/>
  <c r="G515" i="13" s="1"/>
  <c r="G522" i="13" s="1"/>
  <c r="G533" i="13" s="1"/>
  <c r="K503" i="13"/>
  <c r="C503" i="13"/>
  <c r="A503" i="13"/>
  <c r="A501" i="13"/>
  <c r="K495" i="13"/>
  <c r="H495" i="13"/>
  <c r="A474" i="13"/>
  <c r="A475" i="13" s="1"/>
  <c r="A476" i="13" s="1"/>
  <c r="A477" i="13" s="1"/>
  <c r="A478" i="13" s="1"/>
  <c r="A479" i="13" s="1"/>
  <c r="A480" i="13" s="1"/>
  <c r="A481" i="13" s="1"/>
  <c r="A482" i="13" s="1"/>
  <c r="A483" i="13" s="1"/>
  <c r="A484" i="13" s="1"/>
  <c r="A485" i="13" s="1"/>
  <c r="A486" i="13" s="1"/>
  <c r="A487" i="13" s="1"/>
  <c r="A488" i="13" s="1"/>
  <c r="A489" i="13" s="1"/>
  <c r="A490" i="13" s="1"/>
  <c r="A491" i="13" s="1"/>
  <c r="A492" i="13" s="1"/>
  <c r="A493" i="13" s="1"/>
  <c r="A495" i="13" s="1"/>
  <c r="A472" i="13"/>
  <c r="A473" i="13" s="1"/>
  <c r="E471" i="13"/>
  <c r="E472" i="13" s="1"/>
  <c r="E473" i="13" s="1"/>
  <c r="E474" i="13" s="1"/>
  <c r="E475" i="13" s="1"/>
  <c r="E476" i="13" s="1"/>
  <c r="E477" i="13" s="1"/>
  <c r="E478" i="13" s="1"/>
  <c r="E479" i="13" s="1"/>
  <c r="E480" i="13" s="1"/>
  <c r="E481" i="13" s="1"/>
  <c r="E482" i="13" s="1"/>
  <c r="E483" i="13" s="1"/>
  <c r="E484" i="13" s="1"/>
  <c r="E485" i="13" s="1"/>
  <c r="E486" i="13" s="1"/>
  <c r="E487" i="13" s="1"/>
  <c r="E488" i="13" s="1"/>
  <c r="E489" i="13" s="1"/>
  <c r="E490" i="13" s="1"/>
  <c r="E491" i="13" s="1"/>
  <c r="E492" i="13" s="1"/>
  <c r="E493" i="13" s="1"/>
  <c r="E495" i="13" s="1"/>
  <c r="A471" i="13"/>
  <c r="K465" i="13"/>
  <c r="C465" i="13"/>
  <c r="A465" i="13"/>
  <c r="A463" i="13"/>
  <c r="K444" i="13"/>
  <c r="K451" i="13" s="1"/>
  <c r="H444" i="13"/>
  <c r="K412" i="13"/>
  <c r="C412" i="13"/>
  <c r="A412" i="13"/>
  <c r="A410" i="13"/>
  <c r="K399" i="13"/>
  <c r="K117" i="13" s="1"/>
  <c r="K392" i="13"/>
  <c r="H392" i="13"/>
  <c r="H399" i="13" s="1"/>
  <c r="H117" i="13" s="1"/>
  <c r="H74" i="10" s="1"/>
  <c r="K362" i="13"/>
  <c r="K467" i="13" s="1"/>
  <c r="K505" i="13" s="1"/>
  <c r="K544" i="13" s="1"/>
  <c r="K581" i="13" s="1"/>
  <c r="K618" i="13" s="1"/>
  <c r="K655" i="13" s="1"/>
  <c r="K692" i="13" s="1"/>
  <c r="K729" i="13" s="1"/>
  <c r="K766" i="13" s="1"/>
  <c r="K804" i="13" s="1"/>
  <c r="K841" i="13" s="1"/>
  <c r="K360" i="13"/>
  <c r="C360" i="13"/>
  <c r="A360" i="13"/>
  <c r="A358" i="13"/>
  <c r="K352" i="13"/>
  <c r="H352" i="13"/>
  <c r="K327" i="13"/>
  <c r="C327" i="13"/>
  <c r="A327" i="13"/>
  <c r="A325" i="13"/>
  <c r="G315" i="13"/>
  <c r="G313" i="13"/>
  <c r="H310" i="13"/>
  <c r="G310" i="13"/>
  <c r="H309" i="13"/>
  <c r="H313" i="13" s="1"/>
  <c r="H111" i="13" s="1"/>
  <c r="G309" i="13"/>
  <c r="H308" i="13"/>
  <c r="H315" i="13" s="1"/>
  <c r="G308" i="13"/>
  <c r="H307" i="13"/>
  <c r="H314" i="13" s="1"/>
  <c r="G307" i="13"/>
  <c r="G314" i="13" s="1"/>
  <c r="H305" i="13"/>
  <c r="G305" i="13"/>
  <c r="H299" i="13"/>
  <c r="G299" i="13"/>
  <c r="A295" i="13"/>
  <c r="H293" i="13"/>
  <c r="G293" i="13"/>
  <c r="E293" i="13"/>
  <c r="E294" i="13" s="1"/>
  <c r="E295" i="13" s="1"/>
  <c r="E292" i="13"/>
  <c r="A292" i="13"/>
  <c r="A293" i="13" s="1"/>
  <c r="A294" i="13" s="1"/>
  <c r="A288" i="13"/>
  <c r="A289" i="13" s="1"/>
  <c r="H287" i="13"/>
  <c r="G287" i="13"/>
  <c r="A287" i="13"/>
  <c r="E286" i="13"/>
  <c r="E287" i="13" s="1"/>
  <c r="E288" i="13" s="1"/>
  <c r="E289" i="13" s="1"/>
  <c r="A286" i="13"/>
  <c r="A284" i="13"/>
  <c r="E283" i="13"/>
  <c r="E284" i="13" s="1"/>
  <c r="A283" i="13"/>
  <c r="K277" i="13"/>
  <c r="C277" i="13"/>
  <c r="A277" i="13"/>
  <c r="A275" i="13"/>
  <c r="E249" i="13"/>
  <c r="D249" i="13"/>
  <c r="F247" i="13"/>
  <c r="F245" i="13"/>
  <c r="F242" i="13"/>
  <c r="E242" i="13"/>
  <c r="D242" i="13"/>
  <c r="D251" i="13" s="1"/>
  <c r="F240" i="13"/>
  <c r="F238" i="13"/>
  <c r="F236" i="13"/>
  <c r="I228" i="13"/>
  <c r="C228" i="13"/>
  <c r="A228" i="13"/>
  <c r="A226" i="13"/>
  <c r="H207" i="13"/>
  <c r="H203" i="13"/>
  <c r="H208" i="13" s="1"/>
  <c r="H202" i="13"/>
  <c r="H201" i="13"/>
  <c r="K193" i="13"/>
  <c r="H193" i="13"/>
  <c r="K190" i="13"/>
  <c r="H190" i="13"/>
  <c r="K184" i="13"/>
  <c r="H184" i="13"/>
  <c r="H192" i="13" s="1"/>
  <c r="H194" i="13" s="1"/>
  <c r="K179" i="13"/>
  <c r="K176" i="13"/>
  <c r="C176" i="13"/>
  <c r="A176" i="13"/>
  <c r="A174" i="13"/>
  <c r="K145" i="13"/>
  <c r="L106" i="13" s="1"/>
  <c r="H145" i="13"/>
  <c r="H131" i="13"/>
  <c r="H178" i="13" s="1"/>
  <c r="H279" i="13" s="1"/>
  <c r="H329" i="13" s="1"/>
  <c r="H362" i="13" s="1"/>
  <c r="H467" i="13" s="1"/>
  <c r="H505" i="13" s="1"/>
  <c r="H544" i="13" s="1"/>
  <c r="H581" i="13" s="1"/>
  <c r="H618" i="13" s="1"/>
  <c r="H655" i="13" s="1"/>
  <c r="H692" i="13" s="1"/>
  <c r="H729" i="13" s="1"/>
  <c r="H766" i="13" s="1"/>
  <c r="H804" i="13" s="1"/>
  <c r="H841" i="13" s="1"/>
  <c r="K129" i="13"/>
  <c r="C129" i="13"/>
  <c r="A129" i="13"/>
  <c r="A127" i="13"/>
  <c r="K114" i="13"/>
  <c r="H114" i="13"/>
  <c r="K113" i="13"/>
  <c r="H113" i="13"/>
  <c r="H110" i="13"/>
  <c r="K109" i="13"/>
  <c r="K112" i="13" s="1"/>
  <c r="K119" i="13" s="1"/>
  <c r="K76" i="10" s="1"/>
  <c r="H109" i="13"/>
  <c r="H112" i="13" s="1"/>
  <c r="H108" i="13"/>
  <c r="J107" i="13"/>
  <c r="G107" i="13"/>
  <c r="K105" i="13"/>
  <c r="H105" i="13"/>
  <c r="J99" i="13"/>
  <c r="G99" i="13"/>
  <c r="K97" i="13"/>
  <c r="J97" i="13"/>
  <c r="G97" i="13"/>
  <c r="G92" i="13"/>
  <c r="G90" i="13"/>
  <c r="K87" i="13"/>
  <c r="K131" i="13" s="1"/>
  <c r="K178" i="13" s="1"/>
  <c r="H87" i="13"/>
  <c r="K85" i="13"/>
  <c r="C85" i="13"/>
  <c r="A85" i="13"/>
  <c r="K42" i="13"/>
  <c r="C42" i="13"/>
  <c r="G317" i="13" l="1"/>
  <c r="K101" i="13"/>
  <c r="G554" i="13"/>
  <c r="G561" i="13" s="1"/>
  <c r="G572" i="13" s="1"/>
  <c r="G91" i="13" s="1"/>
  <c r="G101" i="13" s="1"/>
  <c r="H210" i="13" s="1"/>
  <c r="K192" i="13"/>
  <c r="K194" i="13" s="1"/>
  <c r="K186" i="13"/>
  <c r="H317" i="13"/>
  <c r="H119" i="13"/>
  <c r="E251" i="13"/>
  <c r="F251" i="13" s="1"/>
  <c r="F249" i="13"/>
  <c r="H101" i="13"/>
  <c r="H186" i="13"/>
  <c r="G312" i="13"/>
  <c r="H312" i="13"/>
  <c r="H197" i="13" l="1"/>
  <c r="K865" i="12"/>
  <c r="H865" i="12"/>
  <c r="K854" i="12"/>
  <c r="K868" i="12" s="1"/>
  <c r="K99" i="12" s="1"/>
  <c r="H854" i="12"/>
  <c r="H868" i="12" s="1"/>
  <c r="H99" i="12" s="1"/>
  <c r="K839" i="12"/>
  <c r="C839" i="12"/>
  <c r="A839" i="12"/>
  <c r="A837" i="12"/>
  <c r="K819" i="12"/>
  <c r="J819" i="12"/>
  <c r="H819" i="12"/>
  <c r="G819" i="12"/>
  <c r="K815" i="12"/>
  <c r="K821" i="12" s="1"/>
  <c r="K832" i="12" s="1"/>
  <c r="K98" i="12" s="1"/>
  <c r="J815" i="12"/>
  <c r="J821" i="12" s="1"/>
  <c r="J832" i="12" s="1"/>
  <c r="H815" i="12"/>
  <c r="H821" i="12" s="1"/>
  <c r="H832" i="12" s="1"/>
  <c r="H98" i="12" s="1"/>
  <c r="G815" i="12"/>
  <c r="G821" i="12" s="1"/>
  <c r="G832" i="12" s="1"/>
  <c r="G98" i="12" s="1"/>
  <c r="K802" i="12"/>
  <c r="C802" i="12"/>
  <c r="A802" i="12"/>
  <c r="A800" i="12"/>
  <c r="K794" i="12"/>
  <c r="H794" i="12"/>
  <c r="H97" i="12" s="1"/>
  <c r="E770" i="12"/>
  <c r="E771" i="12" s="1"/>
  <c r="E772" i="12" s="1"/>
  <c r="E773" i="12" s="1"/>
  <c r="E774" i="12" s="1"/>
  <c r="E775" i="12" s="1"/>
  <c r="E776" i="12" s="1"/>
  <c r="E777" i="12" s="1"/>
  <c r="E778" i="12" s="1"/>
  <c r="E779" i="12" s="1"/>
  <c r="E780" i="12" s="1"/>
  <c r="E781" i="12" s="1"/>
  <c r="E782" i="12" s="1"/>
  <c r="E783" i="12" s="1"/>
  <c r="E784" i="12" s="1"/>
  <c r="E785" i="12" s="1"/>
  <c r="E786" i="12" s="1"/>
  <c r="E787" i="12" s="1"/>
  <c r="A770" i="12"/>
  <c r="A771" i="12" s="1"/>
  <c r="A772" i="12" s="1"/>
  <c r="A773" i="12" s="1"/>
  <c r="A774" i="12" s="1"/>
  <c r="A775" i="12" s="1"/>
  <c r="A776" i="12" s="1"/>
  <c r="A777" i="12" s="1"/>
  <c r="A778" i="12" s="1"/>
  <c r="A779" i="12" s="1"/>
  <c r="A780" i="12" s="1"/>
  <c r="A781" i="12" s="1"/>
  <c r="A782" i="12" s="1"/>
  <c r="A783" i="12" s="1"/>
  <c r="A784" i="12" s="1"/>
  <c r="A785" i="12" s="1"/>
  <c r="A786" i="12" s="1"/>
  <c r="A787" i="12" s="1"/>
  <c r="K764" i="12"/>
  <c r="C764" i="12"/>
  <c r="A764" i="12"/>
  <c r="A762" i="12"/>
  <c r="K744" i="12"/>
  <c r="J744" i="12"/>
  <c r="H744" i="12"/>
  <c r="G744" i="12"/>
  <c r="K739" i="12"/>
  <c r="K746" i="12" s="1"/>
  <c r="K757" i="12" s="1"/>
  <c r="J739" i="12"/>
  <c r="J746" i="12" s="1"/>
  <c r="J757" i="12" s="1"/>
  <c r="J96" i="12" s="1"/>
  <c r="H739" i="12"/>
  <c r="H746" i="12" s="1"/>
  <c r="H757" i="12" s="1"/>
  <c r="H96" i="12" s="1"/>
  <c r="G739" i="12"/>
  <c r="G746" i="12" s="1"/>
  <c r="G757" i="12" s="1"/>
  <c r="G96" i="12" s="1"/>
  <c r="K727" i="12"/>
  <c r="C727" i="12"/>
  <c r="A727" i="12"/>
  <c r="A725" i="12"/>
  <c r="K707" i="12"/>
  <c r="J707" i="12"/>
  <c r="H707" i="12"/>
  <c r="G707" i="12"/>
  <c r="K702" i="12"/>
  <c r="K709" i="12" s="1"/>
  <c r="K720" i="12" s="1"/>
  <c r="J702" i="12"/>
  <c r="J709" i="12" s="1"/>
  <c r="J720" i="12" s="1"/>
  <c r="H702" i="12"/>
  <c r="H709" i="12" s="1"/>
  <c r="H720" i="12" s="1"/>
  <c r="H95" i="12" s="1"/>
  <c r="G702" i="12"/>
  <c r="G709" i="12" s="1"/>
  <c r="G720" i="12" s="1"/>
  <c r="G95" i="12" s="1"/>
  <c r="K690" i="12"/>
  <c r="C690" i="12"/>
  <c r="A690" i="12"/>
  <c r="A688" i="12"/>
  <c r="K670" i="12"/>
  <c r="J670" i="12"/>
  <c r="H670" i="12"/>
  <c r="G670" i="12"/>
  <c r="K665" i="12"/>
  <c r="K672" i="12" s="1"/>
  <c r="K683" i="12" s="1"/>
  <c r="K94" i="12" s="1"/>
  <c r="J665" i="12"/>
  <c r="J672" i="12" s="1"/>
  <c r="J683" i="12" s="1"/>
  <c r="J94" i="12" s="1"/>
  <c r="H665" i="12"/>
  <c r="H672" i="12" s="1"/>
  <c r="H683" i="12" s="1"/>
  <c r="H94" i="12" s="1"/>
  <c r="G665" i="12"/>
  <c r="G672" i="12" s="1"/>
  <c r="G683" i="12" s="1"/>
  <c r="G94" i="12" s="1"/>
  <c r="K653" i="12"/>
  <c r="C653" i="12"/>
  <c r="A653" i="12"/>
  <c r="A651" i="12"/>
  <c r="K633" i="12"/>
  <c r="J633" i="12"/>
  <c r="H633" i="12"/>
  <c r="G633" i="12"/>
  <c r="K628" i="12"/>
  <c r="K635" i="12" s="1"/>
  <c r="K646" i="12" s="1"/>
  <c r="J628" i="12"/>
  <c r="J635" i="12" s="1"/>
  <c r="J646" i="12" s="1"/>
  <c r="J93" i="12" s="1"/>
  <c r="H628" i="12"/>
  <c r="H635" i="12" s="1"/>
  <c r="H646" i="12" s="1"/>
  <c r="H93" i="12" s="1"/>
  <c r="G628" i="12"/>
  <c r="G635" i="12" s="1"/>
  <c r="G646" i="12" s="1"/>
  <c r="G93" i="12" s="1"/>
  <c r="K616" i="12"/>
  <c r="C616" i="12"/>
  <c r="A616" i="12"/>
  <c r="A614" i="12"/>
  <c r="J598" i="12"/>
  <c r="J609" i="12" s="1"/>
  <c r="J92" i="12" s="1"/>
  <c r="K596" i="12"/>
  <c r="J596" i="12"/>
  <c r="H596" i="12"/>
  <c r="G596" i="12"/>
  <c r="K591" i="12"/>
  <c r="K598" i="12" s="1"/>
  <c r="K609" i="12" s="1"/>
  <c r="K92" i="12" s="1"/>
  <c r="J591" i="12"/>
  <c r="H591" i="12"/>
  <c r="H598" i="12" s="1"/>
  <c r="H609" i="12" s="1"/>
  <c r="H92" i="12" s="1"/>
  <c r="G591" i="12"/>
  <c r="G598" i="12" s="1"/>
  <c r="G609" i="12" s="1"/>
  <c r="G92" i="12" s="1"/>
  <c r="K579" i="12"/>
  <c r="C579" i="12"/>
  <c r="A579" i="12"/>
  <c r="A577" i="12"/>
  <c r="K559" i="12"/>
  <c r="J559" i="12"/>
  <c r="H559" i="12"/>
  <c r="G559" i="12"/>
  <c r="K551" i="12"/>
  <c r="K554" i="12" s="1"/>
  <c r="K561" i="12" s="1"/>
  <c r="K572" i="12" s="1"/>
  <c r="J551" i="12"/>
  <c r="J554" i="12" s="1"/>
  <c r="J561" i="12" s="1"/>
  <c r="J572" i="12" s="1"/>
  <c r="J91" i="12" s="1"/>
  <c r="H551" i="12"/>
  <c r="H554" i="12" s="1"/>
  <c r="H561" i="12" s="1"/>
  <c r="H572" i="12" s="1"/>
  <c r="H91" i="12" s="1"/>
  <c r="G551" i="12"/>
  <c r="G554" i="12" s="1"/>
  <c r="G561" i="12" s="1"/>
  <c r="G572" i="12" s="1"/>
  <c r="G91" i="12" s="1"/>
  <c r="K542" i="12"/>
  <c r="C542" i="12"/>
  <c r="A542" i="12"/>
  <c r="A540" i="12"/>
  <c r="J533" i="12"/>
  <c r="H526" i="12"/>
  <c r="K520" i="12"/>
  <c r="J520" i="12"/>
  <c r="H520" i="12"/>
  <c r="G520" i="12"/>
  <c r="K515" i="12"/>
  <c r="K522" i="12" s="1"/>
  <c r="K533" i="12" s="1"/>
  <c r="K90" i="12" s="1"/>
  <c r="K101" i="12" s="1"/>
  <c r="K512" i="12"/>
  <c r="J512" i="12"/>
  <c r="J515" i="12" s="1"/>
  <c r="J522" i="12" s="1"/>
  <c r="H512" i="12"/>
  <c r="H515" i="12" s="1"/>
  <c r="H522" i="12" s="1"/>
  <c r="G512" i="12"/>
  <c r="K503" i="12"/>
  <c r="C503" i="12"/>
  <c r="A503" i="12"/>
  <c r="A501" i="12"/>
  <c r="K495" i="12"/>
  <c r="H495" i="12"/>
  <c r="E474" i="12"/>
  <c r="E475" i="12" s="1"/>
  <c r="E476" i="12" s="1"/>
  <c r="E477" i="12" s="1"/>
  <c r="E478" i="12" s="1"/>
  <c r="E479" i="12" s="1"/>
  <c r="E480" i="12" s="1"/>
  <c r="E481" i="12" s="1"/>
  <c r="E482" i="12" s="1"/>
  <c r="E483" i="12" s="1"/>
  <c r="E484" i="12" s="1"/>
  <c r="E485" i="12" s="1"/>
  <c r="E486" i="12" s="1"/>
  <c r="E487" i="12" s="1"/>
  <c r="E488" i="12" s="1"/>
  <c r="E489" i="12" s="1"/>
  <c r="E490" i="12" s="1"/>
  <c r="E491" i="12" s="1"/>
  <c r="E492" i="12" s="1"/>
  <c r="E493" i="12" s="1"/>
  <c r="E495" i="12" s="1"/>
  <c r="E472" i="12"/>
  <c r="E473" i="12" s="1"/>
  <c r="E471" i="12"/>
  <c r="A471" i="12"/>
  <c r="A472" i="12" s="1"/>
  <c r="A473" i="12" s="1"/>
  <c r="A474" i="12" s="1"/>
  <c r="A475" i="12" s="1"/>
  <c r="A476" i="12" s="1"/>
  <c r="A477" i="12" s="1"/>
  <c r="A478" i="12" s="1"/>
  <c r="A479" i="12" s="1"/>
  <c r="A480" i="12" s="1"/>
  <c r="A481" i="12" s="1"/>
  <c r="A482" i="12" s="1"/>
  <c r="A483" i="12" s="1"/>
  <c r="A484" i="12" s="1"/>
  <c r="A485" i="12" s="1"/>
  <c r="A486" i="12" s="1"/>
  <c r="A487" i="12" s="1"/>
  <c r="A488" i="12" s="1"/>
  <c r="A489" i="12" s="1"/>
  <c r="A490" i="12" s="1"/>
  <c r="A491" i="12" s="1"/>
  <c r="A492" i="12" s="1"/>
  <c r="A493" i="12" s="1"/>
  <c r="A495" i="12" s="1"/>
  <c r="K467" i="12"/>
  <c r="K505" i="12" s="1"/>
  <c r="K544" i="12" s="1"/>
  <c r="K581" i="12" s="1"/>
  <c r="K618" i="12" s="1"/>
  <c r="K655" i="12" s="1"/>
  <c r="K692" i="12" s="1"/>
  <c r="K729" i="12" s="1"/>
  <c r="K766" i="12" s="1"/>
  <c r="K804" i="12" s="1"/>
  <c r="K841" i="12" s="1"/>
  <c r="K465" i="12"/>
  <c r="C465" i="12"/>
  <c r="A465" i="12"/>
  <c r="A463" i="12"/>
  <c r="K444" i="12"/>
  <c r="K451" i="12" s="1"/>
  <c r="H444" i="12"/>
  <c r="K412" i="12"/>
  <c r="C412" i="12"/>
  <c r="A412" i="12"/>
  <c r="A410" i="12"/>
  <c r="K392" i="12"/>
  <c r="K399" i="12" s="1"/>
  <c r="K117" i="12" s="1"/>
  <c r="H392" i="12"/>
  <c r="H399" i="12" s="1"/>
  <c r="H366" i="12"/>
  <c r="K362" i="12"/>
  <c r="H362" i="12"/>
  <c r="H467" i="12" s="1"/>
  <c r="H505" i="12" s="1"/>
  <c r="H544" i="12" s="1"/>
  <c r="H581" i="12" s="1"/>
  <c r="H618" i="12" s="1"/>
  <c r="H655" i="12" s="1"/>
  <c r="H692" i="12" s="1"/>
  <c r="H729" i="12" s="1"/>
  <c r="H766" i="12" s="1"/>
  <c r="H804" i="12" s="1"/>
  <c r="H841" i="12" s="1"/>
  <c r="K360" i="12"/>
  <c r="C360" i="12"/>
  <c r="A360" i="12"/>
  <c r="A358" i="12"/>
  <c r="K352" i="12"/>
  <c r="H352" i="12"/>
  <c r="K327" i="12"/>
  <c r="C327" i="12"/>
  <c r="A327" i="12"/>
  <c r="A325" i="12"/>
  <c r="H310" i="12"/>
  <c r="G310" i="12"/>
  <c r="H309" i="12"/>
  <c r="H313" i="12" s="1"/>
  <c r="G309" i="12"/>
  <c r="G313" i="12" s="1"/>
  <c r="H308" i="12"/>
  <c r="H315" i="12" s="1"/>
  <c r="G308" i="12"/>
  <c r="G315" i="12" s="1"/>
  <c r="H307" i="12"/>
  <c r="H110" i="12" s="1"/>
  <c r="G307" i="12"/>
  <c r="G314" i="12" s="1"/>
  <c r="G317" i="12" s="1"/>
  <c r="H305" i="12"/>
  <c r="G305" i="12"/>
  <c r="H299" i="12"/>
  <c r="G299" i="12"/>
  <c r="H293" i="12"/>
  <c r="G293" i="12"/>
  <c r="E293" i="12"/>
  <c r="E294" i="12" s="1"/>
  <c r="E295" i="12" s="1"/>
  <c r="A293" i="12"/>
  <c r="A294" i="12" s="1"/>
  <c r="A295" i="12" s="1"/>
  <c r="E292" i="12"/>
  <c r="A292" i="12"/>
  <c r="H287" i="12"/>
  <c r="G287" i="12"/>
  <c r="E286" i="12"/>
  <c r="E287" i="12" s="1"/>
  <c r="E288" i="12" s="1"/>
  <c r="E289" i="12" s="1"/>
  <c r="A286" i="12"/>
  <c r="A287" i="12" s="1"/>
  <c r="A288" i="12" s="1"/>
  <c r="A289" i="12" s="1"/>
  <c r="E283" i="12"/>
  <c r="E284" i="12" s="1"/>
  <c r="A283" i="12"/>
  <c r="A284" i="12" s="1"/>
  <c r="K277" i="12"/>
  <c r="C277" i="12"/>
  <c r="A277" i="12"/>
  <c r="A275" i="12"/>
  <c r="E249" i="12"/>
  <c r="D249" i="12"/>
  <c r="F249" i="12" s="1"/>
  <c r="F247" i="12"/>
  <c r="F245" i="12"/>
  <c r="E242" i="12"/>
  <c r="E251" i="12" s="1"/>
  <c r="D242" i="12"/>
  <c r="F242" i="12" s="1"/>
  <c r="F240" i="12"/>
  <c r="F238" i="12"/>
  <c r="I228" i="12"/>
  <c r="C228" i="12"/>
  <c r="A228" i="12"/>
  <c r="A226" i="12"/>
  <c r="H208" i="12"/>
  <c r="H203" i="12"/>
  <c r="H202" i="12"/>
  <c r="H207" i="12" s="1"/>
  <c r="K193" i="12"/>
  <c r="H193" i="12"/>
  <c r="K192" i="12"/>
  <c r="K194" i="12" s="1"/>
  <c r="H192" i="12"/>
  <c r="H194" i="12" s="1"/>
  <c r="K190" i="12"/>
  <c r="H190" i="12"/>
  <c r="K186" i="12"/>
  <c r="H186" i="12"/>
  <c r="K184" i="12"/>
  <c r="H184" i="12"/>
  <c r="K179" i="12"/>
  <c r="K176" i="12"/>
  <c r="C176" i="12"/>
  <c r="A176" i="12"/>
  <c r="A174" i="12"/>
  <c r="K145" i="12"/>
  <c r="H145" i="12"/>
  <c r="K129" i="12"/>
  <c r="C129" i="12"/>
  <c r="A129" i="12"/>
  <c r="A127" i="12"/>
  <c r="K114" i="12"/>
  <c r="H114" i="12"/>
  <c r="K113" i="12"/>
  <c r="H113" i="12"/>
  <c r="H111" i="12"/>
  <c r="K109" i="12"/>
  <c r="K112" i="12" s="1"/>
  <c r="H108" i="12"/>
  <c r="J107" i="12"/>
  <c r="G107" i="12"/>
  <c r="K106" i="12"/>
  <c r="H106" i="12"/>
  <c r="H63" i="10" s="1"/>
  <c r="H95" i="10" s="1"/>
  <c r="K105" i="12"/>
  <c r="J99" i="12"/>
  <c r="G99" i="12"/>
  <c r="J98" i="12"/>
  <c r="K97" i="12"/>
  <c r="J97" i="12"/>
  <c r="G97" i="12"/>
  <c r="K96" i="12"/>
  <c r="K95" i="12"/>
  <c r="J95" i="12"/>
  <c r="K93" i="12"/>
  <c r="K91" i="12"/>
  <c r="J90" i="12"/>
  <c r="J101" i="12" s="1"/>
  <c r="K87" i="12"/>
  <c r="K131" i="12" s="1"/>
  <c r="K178" i="12" s="1"/>
  <c r="H87" i="12"/>
  <c r="H131" i="12" s="1"/>
  <c r="H178" i="12" s="1"/>
  <c r="H279" i="12" s="1"/>
  <c r="H329" i="12" s="1"/>
  <c r="K85" i="12"/>
  <c r="C85" i="12"/>
  <c r="A85" i="12"/>
  <c r="K42" i="12"/>
  <c r="C42" i="12"/>
  <c r="H109" i="12" l="1"/>
  <c r="H65" i="10"/>
  <c r="G312" i="12"/>
  <c r="H201" i="12"/>
  <c r="H206" i="12"/>
  <c r="H533" i="12"/>
  <c r="H90" i="12" s="1"/>
  <c r="H101" i="12" s="1"/>
  <c r="D251" i="12"/>
  <c r="F251" i="12" s="1"/>
  <c r="G515" i="12"/>
  <c r="G522" i="12" s="1"/>
  <c r="G533" i="12" s="1"/>
  <c r="G90" i="12" s="1"/>
  <c r="G101" i="12" s="1"/>
  <c r="H210" i="12" s="1"/>
  <c r="K119" i="12"/>
  <c r="H312" i="12"/>
  <c r="H314" i="12"/>
  <c r="H317" i="12" s="1"/>
  <c r="H112" i="12" l="1"/>
  <c r="H66" i="10"/>
  <c r="K865" i="11"/>
  <c r="H865" i="11"/>
  <c r="K854" i="11"/>
  <c r="K868" i="11" s="1"/>
  <c r="K99" i="11" s="1"/>
  <c r="H854" i="11"/>
  <c r="H868" i="11" s="1"/>
  <c r="H99" i="11" s="1"/>
  <c r="K839" i="11"/>
  <c r="C839" i="11"/>
  <c r="A839" i="11"/>
  <c r="A837" i="11"/>
  <c r="K819" i="11"/>
  <c r="J819" i="11"/>
  <c r="H819" i="11"/>
  <c r="G819" i="11"/>
  <c r="K815" i="11"/>
  <c r="K821" i="11" s="1"/>
  <c r="K832" i="11" s="1"/>
  <c r="K98" i="11" s="1"/>
  <c r="J815" i="11"/>
  <c r="J821" i="11" s="1"/>
  <c r="J832" i="11" s="1"/>
  <c r="H815" i="11"/>
  <c r="H821" i="11" s="1"/>
  <c r="H832" i="11" s="1"/>
  <c r="G815" i="11"/>
  <c r="G821" i="11" s="1"/>
  <c r="G832" i="11" s="1"/>
  <c r="G98" i="11" s="1"/>
  <c r="K802" i="11"/>
  <c r="C802" i="11"/>
  <c r="A802" i="11"/>
  <c r="A800" i="11"/>
  <c r="K794" i="11"/>
  <c r="K97" i="11" s="1"/>
  <c r="H794" i="11"/>
  <c r="E770" i="11"/>
  <c r="E771" i="11" s="1"/>
  <c r="E772" i="11" s="1"/>
  <c r="E773" i="11" s="1"/>
  <c r="E774" i="11" s="1"/>
  <c r="E775" i="11" s="1"/>
  <c r="E776" i="11" s="1"/>
  <c r="E777" i="11" s="1"/>
  <c r="E778" i="11" s="1"/>
  <c r="E779" i="11" s="1"/>
  <c r="E780" i="11" s="1"/>
  <c r="E781" i="11" s="1"/>
  <c r="E782" i="11" s="1"/>
  <c r="E783" i="11" s="1"/>
  <c r="E784" i="11" s="1"/>
  <c r="E785" i="11" s="1"/>
  <c r="E786" i="11" s="1"/>
  <c r="E787" i="11" s="1"/>
  <c r="A770" i="11"/>
  <c r="A771" i="11" s="1"/>
  <c r="A772" i="11" s="1"/>
  <c r="A773" i="11" s="1"/>
  <c r="A774" i="11" s="1"/>
  <c r="A775" i="11" s="1"/>
  <c r="A776" i="11" s="1"/>
  <c r="A777" i="11" s="1"/>
  <c r="A778" i="11" s="1"/>
  <c r="A779" i="11" s="1"/>
  <c r="A780" i="11" s="1"/>
  <c r="A781" i="11" s="1"/>
  <c r="A782" i="11" s="1"/>
  <c r="A783" i="11" s="1"/>
  <c r="A784" i="11" s="1"/>
  <c r="A785" i="11" s="1"/>
  <c r="A786" i="11" s="1"/>
  <c r="A787" i="11" s="1"/>
  <c r="K764" i="11"/>
  <c r="C764" i="11"/>
  <c r="A764" i="11"/>
  <c r="A762" i="11"/>
  <c r="K744" i="11"/>
  <c r="J744" i="11"/>
  <c r="H744" i="11"/>
  <c r="G744" i="11"/>
  <c r="K739" i="11"/>
  <c r="K746" i="11" s="1"/>
  <c r="K757" i="11" s="1"/>
  <c r="K96" i="11" s="1"/>
  <c r="J739" i="11"/>
  <c r="J746" i="11" s="1"/>
  <c r="J757" i="11" s="1"/>
  <c r="J96" i="11" s="1"/>
  <c r="H739" i="11"/>
  <c r="H746" i="11" s="1"/>
  <c r="H757" i="11" s="1"/>
  <c r="H96" i="11" s="1"/>
  <c r="G739" i="11"/>
  <c r="G746" i="11" s="1"/>
  <c r="G757" i="11" s="1"/>
  <c r="G96" i="11" s="1"/>
  <c r="K727" i="11"/>
  <c r="C727" i="11"/>
  <c r="A727" i="11"/>
  <c r="A725" i="11"/>
  <c r="K707" i="11"/>
  <c r="J707" i="11"/>
  <c r="H707" i="11"/>
  <c r="G707" i="11"/>
  <c r="K702" i="11"/>
  <c r="K709" i="11" s="1"/>
  <c r="K720" i="11" s="1"/>
  <c r="K95" i="11" s="1"/>
  <c r="J702" i="11"/>
  <c r="J709" i="11" s="1"/>
  <c r="J720" i="11" s="1"/>
  <c r="H702" i="11"/>
  <c r="H709" i="11" s="1"/>
  <c r="H720" i="11" s="1"/>
  <c r="G702" i="11"/>
  <c r="G709" i="11" s="1"/>
  <c r="G720" i="11" s="1"/>
  <c r="G95" i="11" s="1"/>
  <c r="K690" i="11"/>
  <c r="C690" i="11"/>
  <c r="A690" i="11"/>
  <c r="A688" i="11"/>
  <c r="K670" i="11"/>
  <c r="J670" i="11"/>
  <c r="H670" i="11"/>
  <c r="G670" i="11"/>
  <c r="K665" i="11"/>
  <c r="K672" i="11" s="1"/>
  <c r="K683" i="11" s="1"/>
  <c r="K94" i="11" s="1"/>
  <c r="J665" i="11"/>
  <c r="J672" i="11" s="1"/>
  <c r="J683" i="11" s="1"/>
  <c r="J94" i="11" s="1"/>
  <c r="H665" i="11"/>
  <c r="H672" i="11" s="1"/>
  <c r="H683" i="11" s="1"/>
  <c r="G665" i="11"/>
  <c r="G672" i="11" s="1"/>
  <c r="G683" i="11" s="1"/>
  <c r="G94" i="11" s="1"/>
  <c r="K653" i="11"/>
  <c r="C653" i="11"/>
  <c r="A653" i="11"/>
  <c r="A651" i="11"/>
  <c r="K633" i="11"/>
  <c r="J633" i="11"/>
  <c r="H633" i="11"/>
  <c r="G633" i="11"/>
  <c r="K628" i="11"/>
  <c r="K635" i="11" s="1"/>
  <c r="K646" i="11" s="1"/>
  <c r="K93" i="11" s="1"/>
  <c r="J628" i="11"/>
  <c r="J635" i="11" s="1"/>
  <c r="J646" i="11" s="1"/>
  <c r="J93" i="11" s="1"/>
  <c r="H628" i="11"/>
  <c r="H635" i="11" s="1"/>
  <c r="H646" i="11" s="1"/>
  <c r="H93" i="11" s="1"/>
  <c r="G628" i="11"/>
  <c r="G635" i="11" s="1"/>
  <c r="G646" i="11" s="1"/>
  <c r="G93" i="11" s="1"/>
  <c r="K616" i="11"/>
  <c r="C616" i="11"/>
  <c r="A616" i="11"/>
  <c r="A614" i="11"/>
  <c r="J598" i="11"/>
  <c r="J609" i="11" s="1"/>
  <c r="J92" i="11" s="1"/>
  <c r="K596" i="11"/>
  <c r="J596" i="11"/>
  <c r="H596" i="11"/>
  <c r="G596" i="11"/>
  <c r="K591" i="11"/>
  <c r="K598" i="11" s="1"/>
  <c r="K609" i="11" s="1"/>
  <c r="K92" i="11" s="1"/>
  <c r="J591" i="11"/>
  <c r="H591" i="11"/>
  <c r="H598" i="11" s="1"/>
  <c r="H609" i="11" s="1"/>
  <c r="H92" i="11" s="1"/>
  <c r="G591" i="11"/>
  <c r="G598" i="11" s="1"/>
  <c r="G609" i="11" s="1"/>
  <c r="G92" i="11" s="1"/>
  <c r="K579" i="11"/>
  <c r="C579" i="11"/>
  <c r="A579" i="11"/>
  <c r="A577" i="11"/>
  <c r="K559" i="11"/>
  <c r="J559" i="11"/>
  <c r="H559" i="11"/>
  <c r="G559" i="11"/>
  <c r="K551" i="11"/>
  <c r="K554" i="11" s="1"/>
  <c r="K561" i="11" s="1"/>
  <c r="K572" i="11" s="1"/>
  <c r="K91" i="11" s="1"/>
  <c r="J551" i="11"/>
  <c r="J554" i="11" s="1"/>
  <c r="J561" i="11" s="1"/>
  <c r="J572" i="11" s="1"/>
  <c r="H551" i="11"/>
  <c r="H554" i="11" s="1"/>
  <c r="H561" i="11" s="1"/>
  <c r="H572" i="11" s="1"/>
  <c r="G551" i="11"/>
  <c r="H206" i="11" s="1"/>
  <c r="K542" i="11"/>
  <c r="C542" i="11"/>
  <c r="A542" i="11"/>
  <c r="A540" i="11"/>
  <c r="K520" i="11"/>
  <c r="J520" i="11"/>
  <c r="H520" i="11"/>
  <c r="G520" i="11"/>
  <c r="K512" i="11"/>
  <c r="K515" i="11" s="1"/>
  <c r="K522" i="11" s="1"/>
  <c r="K533" i="11" s="1"/>
  <c r="K90" i="11" s="1"/>
  <c r="J512" i="11"/>
  <c r="J515" i="11" s="1"/>
  <c r="J522" i="11" s="1"/>
  <c r="J533" i="11" s="1"/>
  <c r="J90" i="11" s="1"/>
  <c r="H512" i="11"/>
  <c r="H515" i="11" s="1"/>
  <c r="H522" i="11" s="1"/>
  <c r="H533" i="11" s="1"/>
  <c r="G512" i="11"/>
  <c r="G515" i="11" s="1"/>
  <c r="G522" i="11" s="1"/>
  <c r="G533" i="11" s="1"/>
  <c r="G90" i="11" s="1"/>
  <c r="K503" i="11"/>
  <c r="C503" i="11"/>
  <c r="A503" i="11"/>
  <c r="A501" i="11"/>
  <c r="K495" i="11"/>
  <c r="H495" i="11"/>
  <c r="E472" i="11"/>
  <c r="E473" i="11" s="1"/>
  <c r="E474" i="11" s="1"/>
  <c r="E475" i="11" s="1"/>
  <c r="E476" i="11" s="1"/>
  <c r="E477" i="11" s="1"/>
  <c r="E478" i="11" s="1"/>
  <c r="E479" i="11" s="1"/>
  <c r="E480" i="11" s="1"/>
  <c r="E481" i="11" s="1"/>
  <c r="E482" i="11" s="1"/>
  <c r="E483" i="11" s="1"/>
  <c r="E484" i="11" s="1"/>
  <c r="E485" i="11" s="1"/>
  <c r="E486" i="11" s="1"/>
  <c r="E487" i="11" s="1"/>
  <c r="E488" i="11" s="1"/>
  <c r="E489" i="11" s="1"/>
  <c r="E490" i="11" s="1"/>
  <c r="E491" i="11" s="1"/>
  <c r="E492" i="11" s="1"/>
  <c r="E493" i="11" s="1"/>
  <c r="E495" i="11" s="1"/>
  <c r="A472" i="11"/>
  <c r="A473" i="11" s="1"/>
  <c r="A474" i="11" s="1"/>
  <c r="A475" i="11" s="1"/>
  <c r="A476" i="11" s="1"/>
  <c r="A477" i="11" s="1"/>
  <c r="A478" i="11" s="1"/>
  <c r="A479" i="11" s="1"/>
  <c r="A480" i="11" s="1"/>
  <c r="A481" i="11" s="1"/>
  <c r="A482" i="11" s="1"/>
  <c r="A483" i="11" s="1"/>
  <c r="A484" i="11" s="1"/>
  <c r="A485" i="11" s="1"/>
  <c r="A486" i="11" s="1"/>
  <c r="A487" i="11" s="1"/>
  <c r="A488" i="11" s="1"/>
  <c r="A489" i="11" s="1"/>
  <c r="A490" i="11" s="1"/>
  <c r="A491" i="11" s="1"/>
  <c r="A492" i="11" s="1"/>
  <c r="A493" i="11" s="1"/>
  <c r="A495" i="11" s="1"/>
  <c r="E471" i="11"/>
  <c r="A471" i="11"/>
  <c r="K467" i="11"/>
  <c r="K505" i="11" s="1"/>
  <c r="K544" i="11" s="1"/>
  <c r="K581" i="11" s="1"/>
  <c r="K618" i="11" s="1"/>
  <c r="K655" i="11" s="1"/>
  <c r="K692" i="11" s="1"/>
  <c r="K729" i="11" s="1"/>
  <c r="K766" i="11" s="1"/>
  <c r="K804" i="11" s="1"/>
  <c r="K841" i="11" s="1"/>
  <c r="K465" i="11"/>
  <c r="C465" i="11"/>
  <c r="A465" i="11"/>
  <c r="A463" i="11"/>
  <c r="K444" i="11"/>
  <c r="K451" i="11" s="1"/>
  <c r="H444" i="11"/>
  <c r="K412" i="11"/>
  <c r="C412" i="11"/>
  <c r="A412" i="11"/>
  <c r="A410" i="11"/>
  <c r="K399" i="11"/>
  <c r="K117" i="11" s="1"/>
  <c r="K392" i="11"/>
  <c r="H392" i="11"/>
  <c r="H399" i="11" s="1"/>
  <c r="K362" i="11"/>
  <c r="K360" i="11"/>
  <c r="C360" i="11"/>
  <c r="A360" i="11"/>
  <c r="A358" i="11"/>
  <c r="K352" i="11"/>
  <c r="H352" i="11"/>
  <c r="H113" i="11" s="1"/>
  <c r="K327" i="11"/>
  <c r="C327" i="11"/>
  <c r="A327" i="11"/>
  <c r="A325" i="11"/>
  <c r="H313" i="11"/>
  <c r="H310" i="11"/>
  <c r="G310" i="11"/>
  <c r="G313" i="11" s="1"/>
  <c r="H309" i="11"/>
  <c r="G309" i="11"/>
  <c r="H308" i="11"/>
  <c r="H315" i="11" s="1"/>
  <c r="G308" i="11"/>
  <c r="G315" i="11" s="1"/>
  <c r="H307" i="11"/>
  <c r="H314" i="11" s="1"/>
  <c r="G307" i="11"/>
  <c r="G314" i="11" s="1"/>
  <c r="H305" i="11"/>
  <c r="G305" i="11"/>
  <c r="H299" i="11"/>
  <c r="G299" i="11"/>
  <c r="H293" i="11"/>
  <c r="G293" i="11"/>
  <c r="E292" i="11"/>
  <c r="E293" i="11" s="1"/>
  <c r="E294" i="11" s="1"/>
  <c r="E295" i="11" s="1"/>
  <c r="A292" i="11"/>
  <c r="A293" i="11" s="1"/>
  <c r="A294" i="11" s="1"/>
  <c r="A295" i="11" s="1"/>
  <c r="H287" i="11"/>
  <c r="G287" i="11"/>
  <c r="E287" i="11"/>
  <c r="E288" i="11" s="1"/>
  <c r="E289" i="11" s="1"/>
  <c r="A287" i="11"/>
  <c r="A288" i="11" s="1"/>
  <c r="A289" i="11" s="1"/>
  <c r="E286" i="11"/>
  <c r="A286" i="11"/>
  <c r="E284" i="11"/>
  <c r="A284" i="11"/>
  <c r="E283" i="11"/>
  <c r="A283" i="11"/>
  <c r="K277" i="11"/>
  <c r="C277" i="11"/>
  <c r="A277" i="11"/>
  <c r="A275" i="11"/>
  <c r="E249" i="11"/>
  <c r="F249" i="11" s="1"/>
  <c r="D249" i="11"/>
  <c r="F247" i="11"/>
  <c r="F245" i="11"/>
  <c r="F242" i="11"/>
  <c r="E242" i="11"/>
  <c r="E251" i="11" s="1"/>
  <c r="D242" i="11"/>
  <c r="D251" i="11" s="1"/>
  <c r="F251" i="11" s="1"/>
  <c r="F240" i="11"/>
  <c r="F238" i="11"/>
  <c r="F236" i="11"/>
  <c r="I228" i="11"/>
  <c r="C228" i="11"/>
  <c r="A228" i="11"/>
  <c r="A226" i="11"/>
  <c r="H208" i="11"/>
  <c r="H203" i="11"/>
  <c r="H202" i="11"/>
  <c r="H207" i="11" s="1"/>
  <c r="H194" i="11"/>
  <c r="K193" i="11"/>
  <c r="H193" i="11"/>
  <c r="H192" i="11"/>
  <c r="K190" i="11"/>
  <c r="H190" i="11"/>
  <c r="H186" i="11"/>
  <c r="K184" i="11"/>
  <c r="H184" i="11"/>
  <c r="K179" i="11"/>
  <c r="K176" i="11"/>
  <c r="C176" i="11"/>
  <c r="A176" i="11"/>
  <c r="A174" i="11"/>
  <c r="K145" i="11"/>
  <c r="H145" i="11"/>
  <c r="K131" i="11"/>
  <c r="K178" i="11" s="1"/>
  <c r="K129" i="11"/>
  <c r="C129" i="11"/>
  <c r="A129" i="11"/>
  <c r="A127" i="11"/>
  <c r="H117" i="11"/>
  <c r="K114" i="11"/>
  <c r="H114" i="11"/>
  <c r="K113" i="11"/>
  <c r="H111" i="11"/>
  <c r="H110" i="11"/>
  <c r="K109" i="11"/>
  <c r="K112" i="11" s="1"/>
  <c r="H108" i="11"/>
  <c r="H109" i="11" s="1"/>
  <c r="J107" i="11"/>
  <c r="G107" i="11"/>
  <c r="K106" i="11"/>
  <c r="H106" i="11"/>
  <c r="K105" i="11"/>
  <c r="H105" i="11"/>
  <c r="J99" i="11"/>
  <c r="G99" i="11"/>
  <c r="J98" i="11"/>
  <c r="H98" i="11"/>
  <c r="J97" i="11"/>
  <c r="H97" i="11"/>
  <c r="G97" i="11"/>
  <c r="J95" i="11"/>
  <c r="H95" i="11"/>
  <c r="H94" i="11"/>
  <c r="J91" i="11"/>
  <c r="H91" i="11"/>
  <c r="H90" i="11"/>
  <c r="K87" i="11"/>
  <c r="H87" i="11"/>
  <c r="H131" i="11" s="1"/>
  <c r="H178" i="11" s="1"/>
  <c r="H279" i="11" s="1"/>
  <c r="H329" i="11" s="1"/>
  <c r="H362" i="11" s="1"/>
  <c r="H467" i="11" s="1"/>
  <c r="H505" i="11" s="1"/>
  <c r="H544" i="11" s="1"/>
  <c r="H581" i="11" s="1"/>
  <c r="H618" i="11" s="1"/>
  <c r="H655" i="11" s="1"/>
  <c r="H692" i="11" s="1"/>
  <c r="H729" i="11" s="1"/>
  <c r="H766" i="11" s="1"/>
  <c r="H804" i="11" s="1"/>
  <c r="H841" i="11" s="1"/>
  <c r="K85" i="11"/>
  <c r="C85" i="11"/>
  <c r="A85" i="11"/>
  <c r="K42" i="11"/>
  <c r="C42" i="11"/>
  <c r="H119" i="12" l="1"/>
  <c r="H69" i="10"/>
  <c r="H101" i="11"/>
  <c r="J101" i="11"/>
  <c r="K119" i="11"/>
  <c r="H317" i="11"/>
  <c r="K101" i="11"/>
  <c r="H112" i="11"/>
  <c r="H119" i="11" s="1"/>
  <c r="H197" i="11" s="1"/>
  <c r="G554" i="11"/>
  <c r="G561" i="11" s="1"/>
  <c r="G572" i="11" s="1"/>
  <c r="G91" i="11" s="1"/>
  <c r="G101" i="11" s="1"/>
  <c r="H210" i="11" s="1"/>
  <c r="K192" i="11"/>
  <c r="K194" i="11" s="1"/>
  <c r="K186" i="11"/>
  <c r="H201" i="11"/>
  <c r="G317" i="11"/>
  <c r="G312" i="11"/>
  <c r="H312" i="11"/>
  <c r="H197" i="12" l="1"/>
  <c r="H76" i="10"/>
  <c r="C87" i="10"/>
  <c r="C42" i="10"/>
  <c r="K103" i="10" l="1"/>
  <c r="K106" i="10" s="1"/>
  <c r="H103" i="10"/>
  <c r="H106" i="10" s="1"/>
  <c r="K87" i="10"/>
  <c r="A87" i="10"/>
  <c r="A85" i="10"/>
  <c r="K42" i="10"/>
</calcChain>
</file>

<file path=xl/comments1.xml><?xml version="1.0" encoding="utf-8"?>
<comments xmlns="http://schemas.openxmlformats.org/spreadsheetml/2006/main">
  <authors>
    <author>Smith, Emma</author>
    <author>Nguyen, Bernadette T</author>
  </authors>
  <commentList>
    <comment ref="H182" authorId="0" shapeId="0">
      <text>
        <r>
          <rPr>
            <b/>
            <sz val="9"/>
            <color indexed="81"/>
            <rFont val="Tahoma"/>
            <family val="2"/>
          </rPr>
          <t>Smith, Emma:</t>
        </r>
        <r>
          <rPr>
            <sz val="9"/>
            <color indexed="81"/>
            <rFont val="Tahoma"/>
            <family val="2"/>
          </rPr>
          <t xml:space="preserve">
COF Stipend$/2250</t>
        </r>
      </text>
    </comment>
    <comment ref="H751" authorId="1" shapeId="0">
      <text>
        <r>
          <rPr>
            <b/>
            <sz val="9"/>
            <color indexed="81"/>
            <rFont val="Tahoma"/>
            <family val="2"/>
          </rPr>
          <t>Nguyen, Bernadette T:</t>
        </r>
        <r>
          <rPr>
            <sz val="9"/>
            <color indexed="81"/>
            <rFont val="Tahoma"/>
            <family val="2"/>
          </rPr>
          <t xml:space="preserve">
ID Rev: 74,069.17
</t>
        </r>
      </text>
    </comment>
  </commentList>
</comments>
</file>

<file path=xl/comments2.xml><?xml version="1.0" encoding="utf-8"?>
<comments xmlns="http://schemas.openxmlformats.org/spreadsheetml/2006/main">
  <authors>
    <author>Smith, Emma</author>
    <author>Nguyen, Bernadette T</author>
    <author>Tommy</author>
  </authors>
  <commentList>
    <comment ref="K368" authorId="0" shapeId="0">
      <text>
        <r>
          <rPr>
            <b/>
            <sz val="9"/>
            <color indexed="81"/>
            <rFont val="Tahoma"/>
            <family val="2"/>
          </rPr>
          <t xml:space="preserve">Smith, Emma:
</t>
        </r>
        <r>
          <rPr>
            <sz val="9"/>
            <color indexed="81"/>
            <rFont val="Tahoma"/>
            <family val="2"/>
          </rPr>
          <t xml:space="preserve">ID Rev Adj
-7,681,144
</t>
        </r>
        <r>
          <rPr>
            <b/>
            <sz val="9"/>
            <color indexed="81"/>
            <rFont val="Tahoma"/>
            <family val="2"/>
          </rPr>
          <t xml:space="preserve">
</t>
        </r>
        <r>
          <rPr>
            <sz val="9"/>
            <color indexed="81"/>
            <rFont val="Tahoma"/>
            <family val="2"/>
          </rPr>
          <t xml:space="preserve">Match to regents note book:
+7,052,929.32
-2,528,105
</t>
        </r>
      </text>
    </comment>
    <comment ref="H527" authorId="1" shapeId="0">
      <text>
        <r>
          <rPr>
            <b/>
            <sz val="9"/>
            <color indexed="81"/>
            <rFont val="Tahoma"/>
            <family val="2"/>
          </rPr>
          <t>Nguyen, Bernadette T:</t>
        </r>
        <r>
          <rPr>
            <sz val="9"/>
            <color indexed="81"/>
            <rFont val="Tahoma"/>
            <family val="2"/>
          </rPr>
          <t xml:space="preserve">
ID Rev Adj: 6,438,981.76
</t>
        </r>
      </text>
    </comment>
    <comment ref="K527" authorId="0" shapeId="0">
      <text>
        <r>
          <rPr>
            <b/>
            <sz val="9"/>
            <color indexed="81"/>
            <rFont val="Tahoma"/>
            <family val="2"/>
          </rPr>
          <t>Smith, Emma:</t>
        </r>
        <r>
          <rPr>
            <sz val="9"/>
            <color indexed="81"/>
            <rFont val="Tahoma"/>
            <family val="2"/>
          </rPr>
          <t xml:space="preserve">
ID Rev Adj
-5,890,093
move to transfer:
-5,000,000</t>
        </r>
      </text>
    </comment>
    <comment ref="H640" authorId="1" shapeId="0">
      <text>
        <r>
          <rPr>
            <b/>
            <sz val="9"/>
            <color indexed="81"/>
            <rFont val="Tahoma"/>
            <family val="2"/>
          </rPr>
          <t>Nguyen, Bernadette T:</t>
        </r>
        <r>
          <rPr>
            <sz val="9"/>
            <color indexed="81"/>
            <rFont val="Tahoma"/>
            <family val="2"/>
          </rPr>
          <t xml:space="preserve">
ID Rev Adj: -348,389.14
Lib Capital that was originally in operating --&gt; moving to right category: 
- 2,073,374.75
</t>
        </r>
      </text>
    </comment>
    <comment ref="K640" authorId="0" shapeId="0">
      <text>
        <r>
          <rPr>
            <b/>
            <sz val="9"/>
            <color indexed="81"/>
            <rFont val="Tahoma"/>
            <family val="2"/>
          </rPr>
          <t>Smith, Emma:</t>
        </r>
        <r>
          <rPr>
            <sz val="9"/>
            <color indexed="81"/>
            <rFont val="Tahoma"/>
            <family val="2"/>
          </rPr>
          <t xml:space="preserve">
ID Rev Adj
-91,954
Lib capital adj: -2,652,849</t>
        </r>
      </text>
    </comment>
    <comment ref="H643" authorId="1" shapeId="0">
      <text>
        <r>
          <rPr>
            <b/>
            <sz val="9"/>
            <color indexed="81"/>
            <rFont val="Tahoma"/>
            <family val="2"/>
          </rPr>
          <t>Nguyen, Bernadette T:</t>
        </r>
        <r>
          <rPr>
            <sz val="9"/>
            <color indexed="81"/>
            <rFont val="Tahoma"/>
            <family val="2"/>
          </rPr>
          <t xml:space="preserve">
Capital that was originally in operating --&gt; moving to right category: 
+ 2,073,374.75</t>
        </r>
      </text>
    </comment>
    <comment ref="K643" authorId="1" shapeId="0">
      <text>
        <r>
          <rPr>
            <b/>
            <sz val="9"/>
            <color indexed="81"/>
            <rFont val="Tahoma"/>
            <family val="2"/>
          </rPr>
          <t>Nguyen, Bernadette T:</t>
        </r>
        <r>
          <rPr>
            <sz val="9"/>
            <color indexed="81"/>
            <rFont val="Tahoma"/>
            <family val="2"/>
          </rPr>
          <t xml:space="preserve">
lib cap adj: +2,652,849
</t>
        </r>
      </text>
    </comment>
    <comment ref="H677" authorId="1" shapeId="0">
      <text>
        <r>
          <rPr>
            <b/>
            <sz val="9"/>
            <color indexed="81"/>
            <rFont val="Tahoma"/>
            <family val="2"/>
          </rPr>
          <t>Nguyen, Bernadette T:</t>
        </r>
        <r>
          <rPr>
            <sz val="9"/>
            <color indexed="81"/>
            <rFont val="Tahoma"/>
            <family val="2"/>
          </rPr>
          <t xml:space="preserve">
ID Rev Adj: -175,747.99
</t>
        </r>
      </text>
    </comment>
    <comment ref="K677" authorId="0" shapeId="0">
      <text>
        <r>
          <rPr>
            <b/>
            <sz val="9"/>
            <color indexed="81"/>
            <rFont val="Tahoma"/>
            <family val="2"/>
          </rPr>
          <t>Smith, Emma:</t>
        </r>
        <r>
          <rPr>
            <sz val="9"/>
            <color indexed="81"/>
            <rFont val="Tahoma"/>
            <family val="2"/>
          </rPr>
          <t xml:space="preserve">
ID Rev Adj:
-175,249</t>
        </r>
      </text>
    </comment>
    <comment ref="G700" authorId="1" shapeId="0">
      <text>
        <r>
          <rPr>
            <b/>
            <sz val="9"/>
            <color indexed="81"/>
            <rFont val="Tahoma"/>
            <family val="2"/>
          </rPr>
          <t>Nguyen, Bernadette T:</t>
        </r>
        <r>
          <rPr>
            <sz val="9"/>
            <color indexed="81"/>
            <rFont val="Tahoma"/>
            <family val="2"/>
          </rPr>
          <t xml:space="preserve">
ICCA:
+89
GAR:
-65.27
</t>
        </r>
      </text>
    </comment>
    <comment ref="H700" authorId="1" shapeId="0">
      <text>
        <r>
          <rPr>
            <b/>
            <sz val="9"/>
            <color indexed="81"/>
            <rFont val="Tahoma"/>
            <family val="2"/>
          </rPr>
          <t xml:space="preserve">Nguyen, Bernadette
</t>
        </r>
        <r>
          <rPr>
            <sz val="9"/>
            <color indexed="81"/>
            <rFont val="Tahoma"/>
            <family val="2"/>
          </rPr>
          <t xml:space="preserve">ICCA: +7,661,212
GAR:-6,310,147.60
</t>
        </r>
      </text>
    </comment>
    <comment ref="K700" authorId="1" shapeId="0">
      <text>
        <r>
          <rPr>
            <b/>
            <sz val="9"/>
            <color indexed="81"/>
            <rFont val="Tahoma"/>
            <family val="2"/>
          </rPr>
          <t>Nguyen, Bernadette T:</t>
        </r>
        <r>
          <rPr>
            <sz val="9"/>
            <color indexed="81"/>
            <rFont val="Tahoma"/>
            <family val="2"/>
          </rPr>
          <t xml:space="preserve">
ICCA: +8,207,304
GAR:-6,310,147.60</t>
        </r>
      </text>
    </comment>
    <comment ref="H701" authorId="1" shapeId="0">
      <text>
        <r>
          <rPr>
            <b/>
            <sz val="9"/>
            <color indexed="81"/>
            <rFont val="Tahoma"/>
            <family val="2"/>
          </rPr>
          <t>Nguyen, Bernadette T:</t>
        </r>
        <r>
          <rPr>
            <sz val="9"/>
            <color indexed="81"/>
            <rFont val="Tahoma"/>
            <family val="2"/>
          </rPr>
          <t xml:space="preserve">
ICCA:+2,528,200
GAR: -1,709,355.81
</t>
        </r>
      </text>
    </comment>
    <comment ref="K701" authorId="1" shapeId="0">
      <text>
        <r>
          <rPr>
            <b/>
            <sz val="9"/>
            <color indexed="81"/>
            <rFont val="Tahoma"/>
            <family val="2"/>
          </rPr>
          <t>Nguyen, Bernadette T:</t>
        </r>
        <r>
          <rPr>
            <sz val="9"/>
            <color indexed="81"/>
            <rFont val="Tahoma"/>
            <family val="2"/>
          </rPr>
          <t xml:space="preserve">
ICCA:+2,790,483
GAR: -1,709,355.81</t>
        </r>
      </text>
    </comment>
    <comment ref="G705" authorId="1" shapeId="0">
      <text>
        <r>
          <rPr>
            <b/>
            <sz val="9"/>
            <color indexed="81"/>
            <rFont val="Tahoma"/>
            <family val="2"/>
          </rPr>
          <t>Nguyen, Bernadette T:</t>
        </r>
        <r>
          <rPr>
            <sz val="9"/>
            <color indexed="81"/>
            <rFont val="Tahoma"/>
            <family val="2"/>
          </rPr>
          <t xml:space="preserve">
ICCA:
+3
GAR:-14.35
</t>
        </r>
      </text>
    </comment>
    <comment ref="H705" authorId="1" shapeId="0">
      <text>
        <r>
          <rPr>
            <b/>
            <sz val="9"/>
            <color indexed="81"/>
            <rFont val="Tahoma"/>
            <family val="2"/>
          </rPr>
          <t>Nguyen, Bernadette T:</t>
        </r>
        <r>
          <rPr>
            <sz val="9"/>
            <color indexed="81"/>
            <rFont val="Tahoma"/>
            <family val="2"/>
          </rPr>
          <t xml:space="preserve">
ICCA: +142,742
GAR:-933,057.75
</t>
        </r>
      </text>
    </comment>
    <comment ref="K705" authorId="1" shapeId="0">
      <text>
        <r>
          <rPr>
            <b/>
            <sz val="9"/>
            <color indexed="81"/>
            <rFont val="Tahoma"/>
            <family val="2"/>
          </rPr>
          <t>Nguyen, Bernadette T:</t>
        </r>
        <r>
          <rPr>
            <sz val="9"/>
            <color indexed="81"/>
            <rFont val="Tahoma"/>
            <family val="2"/>
          </rPr>
          <t xml:space="preserve">
ICCA: +144,087
GAR:-933,057.75</t>
        </r>
      </text>
    </comment>
    <comment ref="H706" authorId="1" shapeId="0">
      <text>
        <r>
          <rPr>
            <b/>
            <sz val="9"/>
            <color indexed="81"/>
            <rFont val="Tahoma"/>
            <family val="2"/>
          </rPr>
          <t>Nguyen, Bernadette T:</t>
        </r>
        <r>
          <rPr>
            <sz val="9"/>
            <color indexed="81"/>
            <rFont val="Tahoma"/>
            <family val="2"/>
          </rPr>
          <t xml:space="preserve">
ICCA: +47,105
GAR:-325,095.47
</t>
        </r>
      </text>
    </comment>
    <comment ref="K706" authorId="1" shapeId="0">
      <text>
        <r>
          <rPr>
            <b/>
            <sz val="9"/>
            <color indexed="81"/>
            <rFont val="Tahoma"/>
            <family val="2"/>
          </rPr>
          <t>Nguyen, Bernadette T:</t>
        </r>
        <r>
          <rPr>
            <sz val="9"/>
            <color indexed="81"/>
            <rFont val="Tahoma"/>
            <family val="2"/>
          </rPr>
          <t xml:space="preserve">
ICCA:+48.989
GAR:-325,095.47</t>
        </r>
      </text>
    </comment>
    <comment ref="H711" authorId="2" shapeId="0">
      <text>
        <r>
          <rPr>
            <b/>
            <sz val="9"/>
            <color indexed="81"/>
            <rFont val="Tahoma"/>
            <family val="2"/>
          </rPr>
          <t>Bernadette:</t>
        </r>
        <r>
          <rPr>
            <sz val="9"/>
            <color indexed="81"/>
            <rFont val="Tahoma"/>
            <family val="2"/>
          </rPr>
          <t xml:space="preserve">
ICCA: +66,307 &amp; 4,785
</t>
        </r>
      </text>
    </comment>
    <comment ref="K711" authorId="1" shapeId="0">
      <text>
        <r>
          <rPr>
            <b/>
            <sz val="9"/>
            <color indexed="81"/>
            <rFont val="Tahoma"/>
            <family val="2"/>
          </rPr>
          <t>Nguyen, Bernadette T:</t>
        </r>
        <r>
          <rPr>
            <sz val="9"/>
            <color indexed="81"/>
            <rFont val="Tahoma"/>
            <family val="2"/>
          </rPr>
          <t xml:space="preserve">
ICCA: +71,183 &amp; +4,832
</t>
        </r>
      </text>
    </comment>
    <comment ref="H714" authorId="1" shapeId="0">
      <text>
        <r>
          <rPr>
            <b/>
            <sz val="9"/>
            <color indexed="81"/>
            <rFont val="Tahoma"/>
            <family val="2"/>
          </rPr>
          <t>Nguyen, Bernadette T:</t>
        </r>
        <r>
          <rPr>
            <sz val="9"/>
            <color indexed="81"/>
            <rFont val="Tahoma"/>
            <family val="2"/>
          </rPr>
          <t xml:space="preserve">
ID Rev Adj: 
-704610.07
ICCA:
-7,661,212
-2,528,200
-142,742
-47,105
-66,307
-4,785
----------------
=-$10,450,350
GAR:
+6,310,147.60
+933,057.75
+1,709,355.81
+325,095.47
-----------------
=+$9,277,656.63
AMC/DEN ADJ to Transfer: 
-2,000,000</t>
        </r>
      </text>
    </comment>
    <comment ref="K714" authorId="1" shapeId="0">
      <text>
        <r>
          <rPr>
            <b/>
            <sz val="9"/>
            <color indexed="81"/>
            <rFont val="Tahoma"/>
            <family val="2"/>
          </rPr>
          <t>Nguyen, Bernadette T:</t>
        </r>
        <r>
          <rPr>
            <sz val="9"/>
            <color indexed="81"/>
            <rFont val="Tahoma"/>
            <family val="2"/>
          </rPr>
          <t xml:space="preserve">
ICCA: 
-8,207,304
-144,087
-71,183
-2,790,483
-48,989
-4,832
-----------------
-$11,266,879
GAR:
+6,310,147.60
+933,057.75
+1,709,355.81
+325,095.47
-----------------
=+$9,277,656.63
AMC/DEN ADJ to Transfer: 
-2,000,000
Emma:
ID Rev Adj
-55,839
</t>
        </r>
      </text>
    </comment>
    <comment ref="H751" authorId="1" shapeId="0">
      <text>
        <r>
          <rPr>
            <b/>
            <sz val="9"/>
            <color indexed="81"/>
            <rFont val="Tahoma"/>
            <family val="2"/>
          </rPr>
          <t>Nguyen, Bernadette T:</t>
        </r>
        <r>
          <rPr>
            <sz val="9"/>
            <color indexed="81"/>
            <rFont val="Tahoma"/>
            <family val="2"/>
          </rPr>
          <t xml:space="preserve">
ID Rev Adj: 1,458,045.67
</t>
        </r>
      </text>
    </comment>
    <comment ref="K751" authorId="1" shapeId="0">
      <text>
        <r>
          <rPr>
            <b/>
            <sz val="9"/>
            <color indexed="81"/>
            <rFont val="Tahoma"/>
            <family val="2"/>
          </rPr>
          <t>Nguyen, Bernadette T:</t>
        </r>
        <r>
          <rPr>
            <sz val="9"/>
            <color indexed="81"/>
            <rFont val="Tahoma"/>
            <family val="2"/>
          </rPr>
          <t xml:space="preserve">
ID Rev Adj
-1,468,008</t>
        </r>
      </text>
    </comment>
    <comment ref="H857" authorId="1" shapeId="0">
      <text>
        <r>
          <rPr>
            <b/>
            <sz val="9"/>
            <color indexed="81"/>
            <rFont val="Tahoma"/>
            <family val="2"/>
          </rPr>
          <t>Nguyen, Bernadette T:</t>
        </r>
        <r>
          <rPr>
            <sz val="9"/>
            <color indexed="81"/>
            <rFont val="Tahoma"/>
            <family val="2"/>
          </rPr>
          <t xml:space="preserve">
AMC/DEN ADJ from Institution Support: 
+2,000,000</t>
        </r>
      </text>
    </comment>
    <comment ref="K857" authorId="1" shapeId="0">
      <text>
        <r>
          <rPr>
            <b/>
            <sz val="9"/>
            <color indexed="81"/>
            <rFont val="Tahoma"/>
            <family val="2"/>
          </rPr>
          <t>Nguyen, Bernadette T:</t>
        </r>
        <r>
          <rPr>
            <sz val="9"/>
            <color indexed="81"/>
            <rFont val="Tahoma"/>
            <family val="2"/>
          </rPr>
          <t xml:space="preserve">
AMC/DEN ADJ from Institution Support: 
+2,000,000
from instruction:
+5,000,000
From difference of original FFS to regents notebook: +500,000
From difference of original Tobacco funding to regents notebook: +1,399,608
From difference of original student fees to regents notebook: -34,001
From difference of original ICR to regents notebook: -1
From difference of original misc rev to regents notebook: -2,528,105
From differnce of original grad resident tuition to regents notebook: +1,449,429</t>
        </r>
      </text>
    </comment>
  </commentList>
</comments>
</file>

<file path=xl/sharedStrings.xml><?xml version="1.0" encoding="utf-8"?>
<sst xmlns="http://schemas.openxmlformats.org/spreadsheetml/2006/main" count="6061" uniqueCount="302">
  <si>
    <t>Format 1</t>
  </si>
  <si>
    <t>Budget Data Book</t>
  </si>
  <si>
    <t>Tuition rate information previously provided in Formats 35R and 35NR can be found in the DHE Tuition and Fee Survey.</t>
  </si>
  <si>
    <t>Format   10</t>
  </si>
  <si>
    <t>Governing Board Summary</t>
  </si>
  <si>
    <t xml:space="preserve">NAME: </t>
  </si>
  <si>
    <t>-</t>
  </si>
  <si>
    <t>Ln</t>
  </si>
  <si>
    <t>Functional Expenditure</t>
  </si>
  <si>
    <t>No</t>
  </si>
  <si>
    <t xml:space="preserve">Summary  </t>
  </si>
  <si>
    <t xml:space="preserve">FTE </t>
  </si>
  <si>
    <t>Actual</t>
  </si>
  <si>
    <t>Estimate</t>
  </si>
  <si>
    <t>Instruction</t>
  </si>
  <si>
    <t>Fmt. 1100 Ln 25</t>
  </si>
  <si>
    <t>Research (State Supported)</t>
  </si>
  <si>
    <t>Fmt. 1200 Ln 25</t>
  </si>
  <si>
    <t>Public Service</t>
  </si>
  <si>
    <t>Fmt. 1300 Ln 25</t>
  </si>
  <si>
    <t>Academic Support</t>
  </si>
  <si>
    <t>Fmt. 1400 Ln 25</t>
  </si>
  <si>
    <t>Student Services</t>
  </si>
  <si>
    <t>Fmt. 1500 Ln 25</t>
  </si>
  <si>
    <t>Institutional Support</t>
  </si>
  <si>
    <t>Fmt. 1600 Ln 25</t>
  </si>
  <si>
    <t xml:space="preserve">Operation &amp; Maintenance of Plant </t>
  </si>
  <si>
    <t>Fmt. 1700 Ln 25</t>
  </si>
  <si>
    <t>Scholarships &amp; Fellowships</t>
  </si>
  <si>
    <t>Fmt. 1800 Ln 25</t>
  </si>
  <si>
    <t>Hospitals</t>
  </si>
  <si>
    <t>Fmt. 1900 Ln 25</t>
  </si>
  <si>
    <t>Transfers</t>
  </si>
  <si>
    <t>Fmt. 2000 Ln 20</t>
  </si>
  <si>
    <r>
      <t>TOTAL</t>
    </r>
    <r>
      <rPr>
        <b/>
        <sz val="9"/>
        <rFont val="Times New Roman"/>
        <family val="1"/>
      </rPr>
      <t xml:space="preserve"> </t>
    </r>
    <r>
      <rPr>
        <sz val="9"/>
        <rFont val="Times New Roman"/>
        <family val="1"/>
      </rPr>
      <t>EDUCATION &amp; GENERAL EXPENDITURES</t>
    </r>
  </si>
  <si>
    <t>SOURCE OF FUNDS (Fund Number)</t>
  </si>
  <si>
    <t>State Appropriation</t>
  </si>
  <si>
    <t>Fmt. 600 Ln 25</t>
  </si>
  <si>
    <t xml:space="preserve"> </t>
  </si>
  <si>
    <t>FFS Contracts</t>
  </si>
  <si>
    <t>Fmt. 700 Ln 1</t>
  </si>
  <si>
    <t>Undergraduate Resident Tuition "Stipend"</t>
  </si>
  <si>
    <t>Undergraduate Resident Tuition "Student Share"</t>
  </si>
  <si>
    <t>Subtotal Undergraduate Tuition</t>
  </si>
  <si>
    <t>Graduate Resident Tuition</t>
  </si>
  <si>
    <t>Non-Resident Tuition</t>
  </si>
  <si>
    <t>Total Tuition</t>
  </si>
  <si>
    <t>Appropriated E&amp;G</t>
  </si>
  <si>
    <r>
      <t>TOTAL</t>
    </r>
    <r>
      <rPr>
        <sz val="9"/>
        <rFont val="Times New Roman"/>
        <family val="1"/>
      </rPr>
      <t xml:space="preserve"> EDUCATION &amp; GENERAL REVENUE</t>
    </r>
  </si>
  <si>
    <t>FTE Note:  For actual years the FTE Staff reported is actual staff filled positions and does not include vacancies.  The estimate year responses should assume all positions are filled.</t>
  </si>
  <si>
    <t>Format  070</t>
  </si>
  <si>
    <t xml:space="preserve"> Object</t>
  </si>
  <si>
    <t>Contracts:</t>
  </si>
  <si>
    <t xml:space="preserve">Reciprocal </t>
  </si>
  <si>
    <t>Graduate school services</t>
  </si>
  <si>
    <t>Economic development</t>
  </si>
  <si>
    <t xml:space="preserve">Specialized educational services and professional degrees, including but not limited to the areas of dentistry medicine, venerinary medicine, nursing, law, forestry, and engineering. </t>
  </si>
  <si>
    <t>Total</t>
  </si>
  <si>
    <t xml:space="preserve">Institution No.:  </t>
  </si>
  <si>
    <t>Format   20</t>
  </si>
  <si>
    <t>INSTITUTION SUMMARY</t>
  </si>
  <si>
    <r>
      <t xml:space="preserve">TOTAL </t>
    </r>
    <r>
      <rPr>
        <sz val="9"/>
        <rFont val="Times New Roman"/>
        <family val="1"/>
      </rPr>
      <t>EDUCATION &amp; GENERAL EXPENDITURES</t>
    </r>
  </si>
  <si>
    <t>Fmt. 070 Ln 12</t>
  </si>
  <si>
    <t>Subtotal Undergraduate Resident Tuition</t>
  </si>
  <si>
    <t>Fmt. 100</t>
  </si>
  <si>
    <t>Fmt. 411 Ln 20</t>
  </si>
  <si>
    <t>Educational services in rural areas or communities in which the cost of delivering       the educational services is not sustained by the amount received in student tuition</t>
  </si>
  <si>
    <t>Format   30</t>
  </si>
  <si>
    <t>STUDENT, FACULTY, AND  STAFF DATA</t>
  </si>
  <si>
    <t>STUDENT FTE DATA:</t>
  </si>
  <si>
    <t>2A</t>
  </si>
  <si>
    <t>COF Resident Undergraduate FTE</t>
  </si>
  <si>
    <t>2B</t>
  </si>
  <si>
    <t>Non-COF Resident Undergraduate FTE</t>
  </si>
  <si>
    <t>2C</t>
  </si>
  <si>
    <t>Total Resident Undergraduate FTE</t>
  </si>
  <si>
    <t xml:space="preserve">  Resident Graduate FTE</t>
  </si>
  <si>
    <t xml:space="preserve">  Total Resident FTE </t>
  </si>
  <si>
    <t xml:space="preserve">  Nonresident Undergraduate FTE</t>
  </si>
  <si>
    <t xml:space="preserve">  Nonresident Graduate FTE</t>
  </si>
  <si>
    <t xml:space="preserve">  Total Nonresident FTE </t>
  </si>
  <si>
    <t xml:space="preserve">  Total FTE Undergraduate</t>
  </si>
  <si>
    <t xml:space="preserve">  Total FTE Graduate</t>
  </si>
  <si>
    <t xml:space="preserve">  Total FTE Students</t>
  </si>
  <si>
    <t>COST PER STUDENT</t>
  </si>
  <si>
    <t>Total E&amp;G Cost Per FTE Student</t>
  </si>
  <si>
    <t xml:space="preserve">COF Stipend Per Undergraduate Resident FTE </t>
  </si>
  <si>
    <t>INSTRUCTIONAL and RESEARCH FACULTY DATA (SOURCE FMT 40 OR FMT 1100 and 1200)</t>
  </si>
  <si>
    <t xml:space="preserve">  Faculty FTE Total</t>
  </si>
  <si>
    <t xml:space="preserve">  FTE Full-time Faculty</t>
  </si>
  <si>
    <t xml:space="preserve">  FTE Part-time Faculty</t>
  </si>
  <si>
    <t>AVG COMPENSATION INSTRUCTIONAL and RESEARCH FACULTY</t>
  </si>
  <si>
    <t xml:space="preserve">  All Faculty Combined</t>
  </si>
  <si>
    <t xml:space="preserve">  Full-time Average Compensation</t>
  </si>
  <si>
    <t xml:space="preserve">  Part-time Average Compensation</t>
  </si>
  <si>
    <t>Total Faculty and Staff FTE  (Format 20)</t>
  </si>
  <si>
    <t>Note: Rows 19 through 27 provide compensation information for instructional and research faculty only.  Prior to FY 2010-11, past budget databooks provided compensation information for instructional faculty and staff.</t>
  </si>
  <si>
    <t>Format   40</t>
  </si>
  <si>
    <t>SUMMARY</t>
  </si>
  <si>
    <t>FTE</t>
  </si>
  <si>
    <t>S/F</t>
  </si>
  <si>
    <t>COURSE LEVEL</t>
  </si>
  <si>
    <t>STUDENTS</t>
  </si>
  <si>
    <t>FACULTY</t>
  </si>
  <si>
    <t>RATIO</t>
  </si>
  <si>
    <t>Vocational</t>
  </si>
  <si>
    <t>Lower Level</t>
  </si>
  <si>
    <t>Upper Level</t>
  </si>
  <si>
    <t xml:space="preserve">     Total Undergraduate</t>
  </si>
  <si>
    <t>Graduate I</t>
  </si>
  <si>
    <t>Graduate II</t>
  </si>
  <si>
    <t xml:space="preserve">     Total Graduate</t>
  </si>
  <si>
    <t>Grand Total</t>
  </si>
  <si>
    <t xml:space="preserve">NOTE:  Institutions are required to maintain detailed information on the above data by Classification of Instructional Program (CIP) area.  </t>
  </si>
  <si>
    <t xml:space="preserve">            Detailed data available upon request.</t>
  </si>
  <si>
    <t>Format  100</t>
  </si>
  <si>
    <t>TOTAL TUITION REVENUE and STUDENT FTE</t>
  </si>
  <si>
    <t>SUMMER</t>
  </si>
  <si>
    <t xml:space="preserve">  Resident</t>
  </si>
  <si>
    <t>Graduate (4801)</t>
  </si>
  <si>
    <t>Undergraduate (4802)</t>
  </si>
  <si>
    <t xml:space="preserve">  Nonresident</t>
  </si>
  <si>
    <t>Graduate (4901)</t>
  </si>
  <si>
    <t>Undergraduate (4902)</t>
  </si>
  <si>
    <t xml:space="preserve">  Subtotal Summer</t>
  </si>
  <si>
    <t>FALL</t>
  </si>
  <si>
    <t xml:space="preserve">  Subtotal Fall</t>
  </si>
  <si>
    <t>WINTER</t>
  </si>
  <si>
    <t xml:space="preserve">  Subtotal Winter</t>
  </si>
  <si>
    <t>SPRING</t>
  </si>
  <si>
    <t xml:space="preserve">  Subtotal Spring</t>
  </si>
  <si>
    <t>SUBTOTAL</t>
  </si>
  <si>
    <t>SUBTOTAL RESIDENT</t>
  </si>
  <si>
    <t>SUBTOTAL NONRESIDENT</t>
  </si>
  <si>
    <t>SUBTOTAL GRADUATE</t>
  </si>
  <si>
    <t>SUBTOTAL UNDERGRADUATE</t>
  </si>
  <si>
    <t>TOTAL TUITION REVENUE</t>
  </si>
  <si>
    <t>Total Tuition Includes Stipend Reimbursement</t>
  </si>
  <si>
    <t>Format  410</t>
  </si>
  <si>
    <t>Tobacco Settlement Moneys</t>
  </si>
  <si>
    <t>DOLA Local Govt Mineral Impact Fund</t>
  </si>
  <si>
    <t>TOTAL OTHER APPROPRIATED E &amp; G REVENUES</t>
  </si>
  <si>
    <t>Format  411</t>
  </si>
  <si>
    <t>Non Appropriated Education &amp; General Revenues (Itemize below)</t>
  </si>
  <si>
    <t>Indirect Cost Recoveries</t>
  </si>
  <si>
    <t>Miscellaneous Revenues</t>
  </si>
  <si>
    <t>Incidental Income - Educational Activities</t>
  </si>
  <si>
    <t>Student Activity Fees</t>
  </si>
  <si>
    <t>State Grants and Contracts (not FFS)</t>
  </si>
  <si>
    <t>Other Mandatory Fees</t>
  </si>
  <si>
    <t>Rents</t>
  </si>
  <si>
    <t>Investment Income</t>
  </si>
  <si>
    <t>Miscellaneous Non-Operating Income</t>
  </si>
  <si>
    <t>Total Non Appropriated Education &amp; General Revenues</t>
  </si>
  <si>
    <t>TOTAL NON APPROPRIATED E &amp; G REVENUES</t>
  </si>
  <si>
    <t xml:space="preserve">      expenses should approximate the  E&amp;G portion of the institutions overall "change in fund balance".  </t>
  </si>
  <si>
    <t xml:space="preserve">        as a result of HB 11-1301.</t>
  </si>
  <si>
    <t>Format  600</t>
  </si>
  <si>
    <t>STATE SUPPORT</t>
  </si>
  <si>
    <t>General Fund Appropriations</t>
  </si>
  <si>
    <t>Local District College Appropriation</t>
  </si>
  <si>
    <t>Other Restrictions of General Fund / Revenue</t>
  </si>
  <si>
    <t>TOTAL APPROPRIATION REVENUES</t>
  </si>
  <si>
    <t>Format 1100</t>
  </si>
  <si>
    <t>EDUCATION &amp; GENERAL - INSTRUCTION</t>
  </si>
  <si>
    <t>Salaries, Full-Time Faculty Non-Classified</t>
  </si>
  <si>
    <t>Benefits, Full-time Faculty Non-Classified</t>
  </si>
  <si>
    <t>Salaries, Part-Time Faculty Non-Classified</t>
  </si>
  <si>
    <t>Benefits, Part-Time Faculty, Non-Classified</t>
  </si>
  <si>
    <t>Subtotal, Faculty</t>
  </si>
  <si>
    <t>Salaries, Other, Non-Classified</t>
  </si>
  <si>
    <t>Benefits, Other, Non-Classified</t>
  </si>
  <si>
    <t xml:space="preserve">  Subtotal Non-Classified Staff</t>
  </si>
  <si>
    <t>Compensation, Support Assistants</t>
  </si>
  <si>
    <t>Salaries, Classified Staff</t>
  </si>
  <si>
    <t>Benefits, Classified Staff</t>
  </si>
  <si>
    <t xml:space="preserve">  Subtotal Support Staff</t>
  </si>
  <si>
    <t>Total Personnel</t>
  </si>
  <si>
    <t>Hourly Compensation</t>
  </si>
  <si>
    <t>Travel</t>
  </si>
  <si>
    <t>Other Current Expense</t>
  </si>
  <si>
    <t>Capital</t>
  </si>
  <si>
    <r>
      <t>TOTAL</t>
    </r>
    <r>
      <rPr>
        <b/>
        <sz val="9"/>
        <rFont val="Times New Roman"/>
        <family val="1"/>
      </rPr>
      <t xml:space="preserve"> EDUCATION &amp; GENERAL</t>
    </r>
    <r>
      <rPr>
        <sz val="9"/>
        <rFont val="Times New Roman"/>
        <family val="1"/>
      </rPr>
      <t xml:space="preserve"> INSTRUCTION </t>
    </r>
  </si>
  <si>
    <t>Format 1200</t>
  </si>
  <si>
    <t>EDUCATION &amp; GENERAL - RESEARCH</t>
  </si>
  <si>
    <t xml:space="preserve">    Subtotal Non-Classified Staff</t>
  </si>
  <si>
    <t xml:space="preserve">   Subtotal Support Staff</t>
  </si>
  <si>
    <r>
      <t>TOTAL</t>
    </r>
    <r>
      <rPr>
        <b/>
        <sz val="9"/>
        <rFont val="Times New Roman"/>
        <family val="1"/>
      </rPr>
      <t xml:space="preserve"> EDUCATION &amp; GENERAL</t>
    </r>
    <r>
      <rPr>
        <sz val="9"/>
        <rFont val="Times New Roman"/>
        <family val="1"/>
      </rPr>
      <t xml:space="preserve"> RESEARCH </t>
    </r>
  </si>
  <si>
    <t>Format 1300</t>
  </si>
  <si>
    <t>EDUCATION &amp; GENERAL - PUBLIC SERVICE</t>
  </si>
  <si>
    <t>Salaries, Non-Classified Staff</t>
  </si>
  <si>
    <t>Benefits, Non-Classified Staff</t>
  </si>
  <si>
    <t xml:space="preserve">     Subtotal, Non-Classified Staff</t>
  </si>
  <si>
    <t xml:space="preserve">     Subtotal Classified Staff</t>
  </si>
  <si>
    <t xml:space="preserve">Capital </t>
  </si>
  <si>
    <r>
      <t>TOTAL</t>
    </r>
    <r>
      <rPr>
        <b/>
        <sz val="9"/>
        <rFont val="Times New Roman"/>
        <family val="1"/>
      </rPr>
      <t xml:space="preserve"> EDUCATION &amp; GENERAL</t>
    </r>
    <r>
      <rPr>
        <sz val="9"/>
        <rFont val="Times New Roman"/>
        <family val="1"/>
      </rPr>
      <t xml:space="preserve"> PUBLIC SERVICE</t>
    </r>
  </si>
  <si>
    <t>Format 1400</t>
  </si>
  <si>
    <t>EDUCATION &amp; GENERAL - ACADEMIC SUPPORT</t>
  </si>
  <si>
    <r>
      <t>TOTAL</t>
    </r>
    <r>
      <rPr>
        <b/>
        <sz val="9"/>
        <rFont val="Times New Roman"/>
        <family val="1"/>
      </rPr>
      <t xml:space="preserve"> EDUCATION &amp; GENERAL</t>
    </r>
    <r>
      <rPr>
        <sz val="9"/>
        <rFont val="Times New Roman"/>
        <family val="1"/>
      </rPr>
      <t xml:space="preserve"> ACADEMIC SUPPORT</t>
    </r>
  </si>
  <si>
    <t>Format 1500</t>
  </si>
  <si>
    <t>EDUCATION &amp; GENERAL - STUDENT SERVICES</t>
  </si>
  <si>
    <r>
      <t>TOTAL</t>
    </r>
    <r>
      <rPr>
        <b/>
        <sz val="9"/>
        <rFont val="Times New Roman"/>
        <family val="1"/>
      </rPr>
      <t xml:space="preserve"> EDUCATION &amp; GENERAL</t>
    </r>
    <r>
      <rPr>
        <sz val="9"/>
        <rFont val="Times New Roman"/>
        <family val="1"/>
      </rPr>
      <t xml:space="preserve"> STUDENT SERVICES</t>
    </r>
  </si>
  <si>
    <t>Format 1600</t>
  </si>
  <si>
    <t>EDUCATION &amp; GENERAL - INSTITUTIONAL SUPPORT</t>
  </si>
  <si>
    <r>
      <t>TOTAL</t>
    </r>
    <r>
      <rPr>
        <b/>
        <sz val="9"/>
        <rFont val="Times New Roman"/>
        <family val="1"/>
      </rPr>
      <t xml:space="preserve"> EDUCATION &amp; GENERAL</t>
    </r>
    <r>
      <rPr>
        <sz val="9"/>
        <rFont val="Times New Roman"/>
        <family val="1"/>
      </rPr>
      <t xml:space="preserve"> INSTITUTIONAL SUPPORT</t>
    </r>
  </si>
  <si>
    <t>Format 1700</t>
  </si>
  <si>
    <t>EDUCATION &amp; GENERAL - OPERATION &amp; MAINTENANCE OF PLANT</t>
  </si>
  <si>
    <r>
      <t>TOTAL</t>
    </r>
    <r>
      <rPr>
        <b/>
        <sz val="9"/>
        <rFont val="Times New Roman"/>
        <family val="1"/>
      </rPr>
      <t xml:space="preserve"> EDUCATION &amp; GENERAL</t>
    </r>
    <r>
      <rPr>
        <sz val="9"/>
        <rFont val="Times New Roman"/>
        <family val="1"/>
      </rPr>
      <t xml:space="preserve"> OPERATION &amp; MAINTENANCE OF PLANT</t>
    </r>
  </si>
  <si>
    <t>Format 1800</t>
  </si>
  <si>
    <t>EDUCATION &amp; GENERAL - SCHOLARSHIPS &amp; FELLOWSHIPS</t>
  </si>
  <si>
    <t>Scholarships and Fellowships</t>
  </si>
  <si>
    <r>
      <t>TOTAL</t>
    </r>
    <r>
      <rPr>
        <b/>
        <sz val="9"/>
        <rFont val="Times New Roman"/>
        <family val="1"/>
      </rPr>
      <t xml:space="preserve"> EDUCATION &amp; GENERAL</t>
    </r>
    <r>
      <rPr>
        <sz val="9"/>
        <rFont val="Times New Roman"/>
        <family val="1"/>
      </rPr>
      <t xml:space="preserve"> SCHOLARSHIPS &amp; FELLOWSHIPS</t>
    </r>
  </si>
  <si>
    <t>Format 1900</t>
  </si>
  <si>
    <t>EDUCATION &amp; GENERAL - HOSPITALS</t>
  </si>
  <si>
    <t>Compensation, Part-Time Non-Classified</t>
  </si>
  <si>
    <r>
      <t>TOTAL</t>
    </r>
    <r>
      <rPr>
        <b/>
        <sz val="9"/>
        <rFont val="Times New Roman"/>
        <family val="1"/>
      </rPr>
      <t xml:space="preserve"> EDUCATION &amp; GENERAL</t>
    </r>
    <r>
      <rPr>
        <sz val="9"/>
        <rFont val="Times New Roman"/>
        <family val="1"/>
      </rPr>
      <t xml:space="preserve"> HOSPITALS </t>
    </r>
  </si>
  <si>
    <t>Format 2000</t>
  </si>
  <si>
    <t>TRANSFERS (TO) FROM CURRENT EDUCATION &amp; GENERAL FUNDS</t>
  </si>
  <si>
    <t>Mandatory Transfers:</t>
  </si>
  <si>
    <t>Subtotal Mandatory Transfers:</t>
  </si>
  <si>
    <t>Non-mandatory Transfers:</t>
  </si>
  <si>
    <t>rounding</t>
  </si>
  <si>
    <t>Subtotal Non-mandatory Transfers:</t>
  </si>
  <si>
    <r>
      <t xml:space="preserve">TOTAL TRANSFERS </t>
    </r>
    <r>
      <rPr>
        <b/>
        <sz val="9"/>
        <rFont val="Times New Roman"/>
        <family val="1"/>
      </rPr>
      <t xml:space="preserve">(TO) FROM FUNDS CURRENT </t>
    </r>
  </si>
  <si>
    <t xml:space="preserve">EDUCATION &amp; GENERAL FUNDS </t>
  </si>
  <si>
    <t>Utilities</t>
  </si>
  <si>
    <t>Report in Format 411</t>
  </si>
  <si>
    <t>DO NOT DELETE ROWS 1-5</t>
  </si>
  <si>
    <t>Institution Name:</t>
  </si>
  <si>
    <t>Unit (Campus):</t>
  </si>
  <si>
    <t>Institution Code:</t>
  </si>
  <si>
    <t>Contact Information:</t>
  </si>
  <si>
    <t>2015-16</t>
  </si>
  <si>
    <t>Scholarship allowance information can be found on the institution's audited financial statements or in the state's accounting system (CORE).  The actual institutional funds devoted to student financial aid are reported on Format 1800.</t>
  </si>
  <si>
    <t>CORE Code: 4407</t>
  </si>
  <si>
    <t>CORE Revenue Source Code (RSC):</t>
  </si>
  <si>
    <t>Scholarship allowance information can be found on the institution's audited financial statements or in the state's accounting system (CORE).  The actual institutional funds devoted to student financial aid are reported on this format.</t>
  </si>
  <si>
    <r>
      <t>Submitted</t>
    </r>
    <r>
      <rPr>
        <b/>
        <sz val="24"/>
        <rFont val="Times New Roman"/>
        <family val="1"/>
      </rPr>
      <t>: DATE</t>
    </r>
  </si>
  <si>
    <t>(E&amp;G CORE Function Code 1100)</t>
  </si>
  <si>
    <t>Non Appropriated E &amp; G (Other than Tuition) Function Code 11XX</t>
  </si>
  <si>
    <r>
      <t xml:space="preserve">  however, they are now reported as </t>
    </r>
    <r>
      <rPr>
        <b/>
        <sz val="9"/>
        <rFont val="Times New Roman"/>
        <family val="1"/>
      </rPr>
      <t>part of</t>
    </r>
    <r>
      <rPr>
        <sz val="9"/>
        <rFont val="Times New Roman"/>
        <family val="1"/>
      </rPr>
      <t xml:space="preserve"> transfer code 900T in CORE.  There may be other revenues also reported in 900T.  Only the Limited Gaming funds should be reported on this line. </t>
    </r>
  </si>
  <si>
    <r>
      <t>NON APPROPRIATED EDUCATION &amp; GENERAL REVENUES (Other than Tuition) - Balance of Function Code 1100</t>
    </r>
    <r>
      <rPr>
        <b/>
        <vertAlign val="superscript"/>
        <sz val="9"/>
        <rFont val="Times New Roman"/>
        <family val="1"/>
      </rPr>
      <t>1</t>
    </r>
  </si>
  <si>
    <r>
      <rPr>
        <vertAlign val="superscript"/>
        <sz val="9"/>
        <rFont val="Times New Roman"/>
        <family val="1"/>
      </rPr>
      <t>3</t>
    </r>
    <r>
      <rPr>
        <sz val="9"/>
        <rFont val="Times New Roman"/>
        <family val="1"/>
      </rPr>
      <t xml:space="preserve"> This cell, in each column, is meant to demonstrate whether the E&amp;G revenues for the year are more or less than actual or projected expenses for the year.  This difference between revenues and </t>
    </r>
  </si>
  <si>
    <r>
      <rPr>
        <vertAlign val="superscript"/>
        <sz val="9"/>
        <rFont val="Times New Roman"/>
        <family val="1"/>
      </rPr>
      <t>4</t>
    </r>
    <r>
      <rPr>
        <sz val="9"/>
        <rFont val="Times New Roman"/>
        <family val="1"/>
      </rPr>
      <t xml:space="preserve"> The Course Fees reported on this line are the fees that have historically been non-appropriated.  They are not the same fees reported in line 1 that are moving from Fmt 410 to 411 </t>
    </r>
  </si>
  <si>
    <r>
      <rPr>
        <vertAlign val="superscript"/>
        <sz val="9"/>
        <rFont val="Times New Roman"/>
        <family val="1"/>
      </rPr>
      <t>5</t>
    </r>
    <r>
      <rPr>
        <sz val="9"/>
        <rFont val="Times New Roman"/>
        <family val="1"/>
      </rPr>
      <t xml:space="preserve"> Beginning FY 14-15 Amendement 50 Moneys were approprriated as Informational, so they will now be reported on Format 411. These Revenues were reported in a unique revenue code (EAT1) in COFRS,</t>
    </r>
  </si>
  <si>
    <r>
      <t xml:space="preserve">E&amp;G Rollforward (TO future year) / FROM prior year </t>
    </r>
    <r>
      <rPr>
        <vertAlign val="superscript"/>
        <sz val="9"/>
        <rFont val="Times New Roman"/>
        <family val="1"/>
      </rPr>
      <t>3</t>
    </r>
  </si>
  <si>
    <r>
      <t>APPROPRIATED EDUCATION &amp; GENERAL REVENUE (Other than Tuition) (Function Code 1100)</t>
    </r>
    <r>
      <rPr>
        <b/>
        <vertAlign val="superscript"/>
        <sz val="9"/>
        <rFont val="Times New Roman"/>
        <family val="1"/>
      </rPr>
      <t>1</t>
    </r>
  </si>
  <si>
    <r>
      <t>Appropriated Academic Fees ( RSC 5002)</t>
    </r>
    <r>
      <rPr>
        <vertAlign val="superscript"/>
        <sz val="9"/>
        <rFont val="Times New Roman"/>
        <family val="1"/>
      </rPr>
      <t>2</t>
    </r>
  </si>
  <si>
    <r>
      <t>Amendment 50 Moneys (Transfer Code 900T)</t>
    </r>
    <r>
      <rPr>
        <vertAlign val="superscript"/>
        <sz val="9"/>
        <rFont val="Times New Roman"/>
        <family val="1"/>
      </rPr>
      <t>3</t>
    </r>
  </si>
  <si>
    <r>
      <t>Fee-For-Service Contracts (System Level Only)</t>
    </r>
    <r>
      <rPr>
        <b/>
        <vertAlign val="superscript"/>
        <sz val="9"/>
        <rFont val="Times New Roman"/>
        <family val="1"/>
      </rPr>
      <t>1</t>
    </r>
  </si>
  <si>
    <r>
      <t xml:space="preserve">Academic Fees </t>
    </r>
    <r>
      <rPr>
        <sz val="9"/>
        <color indexed="10"/>
        <rFont val="Times New Roman"/>
        <family val="1"/>
      </rPr>
      <t>( RSC 5009)</t>
    </r>
    <r>
      <rPr>
        <vertAlign val="superscript"/>
        <sz val="9"/>
        <rFont val="Times New Roman"/>
        <family val="1"/>
      </rPr>
      <t>2</t>
    </r>
  </si>
  <si>
    <r>
      <t>Amendment 50 Moneys (Transfer Code 900T)</t>
    </r>
    <r>
      <rPr>
        <vertAlign val="superscript"/>
        <sz val="9"/>
        <rFont val="Times New Roman"/>
        <family val="1"/>
      </rPr>
      <t>5</t>
    </r>
  </si>
  <si>
    <r>
      <t>Mandatory Registration and Course Fees</t>
    </r>
    <r>
      <rPr>
        <vertAlign val="superscript"/>
        <sz val="9"/>
        <rFont val="Times New Roman"/>
        <family val="1"/>
      </rPr>
      <t>4</t>
    </r>
  </si>
  <si>
    <r>
      <rPr>
        <vertAlign val="superscript"/>
        <sz val="9"/>
        <rFont val="Times New Roman"/>
        <family val="1"/>
      </rPr>
      <t xml:space="preserve">2 </t>
    </r>
    <r>
      <rPr>
        <sz val="9"/>
        <rFont val="Times New Roman"/>
        <family val="1"/>
      </rPr>
      <t>Pursuant to HB11-1301,  fees are no longer appropriated beginning in FY 2011-12.  This category will be reported on Format 411 beginning in FY 2011-12.</t>
    </r>
  </si>
  <si>
    <r>
      <rPr>
        <vertAlign val="superscript"/>
        <sz val="9"/>
        <rFont val="Times New Roman"/>
        <family val="1"/>
      </rPr>
      <t xml:space="preserve">1 </t>
    </r>
    <r>
      <rPr>
        <sz val="9"/>
        <rFont val="Times New Roman"/>
        <family val="1"/>
      </rPr>
      <t>Tuition revenue is reported on Format 100</t>
    </r>
  </si>
  <si>
    <r>
      <rPr>
        <vertAlign val="superscript"/>
        <sz val="9"/>
        <rFont val="Times New Roman"/>
        <family val="1"/>
      </rPr>
      <t xml:space="preserve">3 </t>
    </r>
    <r>
      <rPr>
        <sz val="9"/>
        <rFont val="Times New Roman"/>
        <family val="1"/>
      </rPr>
      <t>Beginning FY 14-15 Amendement 50 Moneys were approprriated as Informational, so they will now be reported on Format 411. These Revenues were reported in a unique revenue code (EAT1) in COFRS,</t>
    </r>
  </si>
  <si>
    <r>
      <rPr>
        <vertAlign val="superscript"/>
        <sz val="9"/>
        <rFont val="Times New Roman"/>
        <family val="1"/>
      </rPr>
      <t xml:space="preserve">1 </t>
    </r>
    <r>
      <rPr>
        <sz val="9"/>
        <rFont val="Times New Roman"/>
        <family val="1"/>
      </rPr>
      <t>This is not needed by institution, but only in total for the system.</t>
    </r>
  </si>
  <si>
    <t>2016-17</t>
  </si>
  <si>
    <t>Blue cells should be entered directly on this format, they will not "roll up" from another format</t>
  </si>
  <si>
    <t xml:space="preserve">               Actual Fiscal Year 2016-17</t>
  </si>
  <si>
    <t xml:space="preserve">               Estimate Fiscal Year 2017-18</t>
  </si>
  <si>
    <t>2017-18</t>
  </si>
  <si>
    <t>Format  413</t>
  </si>
  <si>
    <t>Marijuana Tax Fund Appropriation</t>
  </si>
  <si>
    <t>Date: October 09, 2017</t>
  </si>
  <si>
    <t>Non Education &amp; General Appropriated Revenues (Itemize below)</t>
  </si>
  <si>
    <t>Appropriated Non Education and General - Function Code 1900</t>
  </si>
  <si>
    <t>TOTAL APPROPRIATED Non Education and General Funds</t>
  </si>
  <si>
    <t>University of Colorado System</t>
  </si>
  <si>
    <t>Chad Marturano 303-860-5618</t>
  </si>
  <si>
    <t>Celina Duran       303-860-5612</t>
  </si>
  <si>
    <t xml:space="preserve">University of Colorado </t>
  </si>
  <si>
    <t>University of Colorado</t>
  </si>
  <si>
    <t>System Administration</t>
  </si>
  <si>
    <t>GFAA</t>
  </si>
  <si>
    <t>Nora Sandoval</t>
  </si>
  <si>
    <t>Fixed Asset Additions</t>
  </si>
  <si>
    <t>Boulder</t>
  </si>
  <si>
    <t>GFB</t>
  </si>
  <si>
    <t>Joy Vidalon (joy.vidalon@colorado.edu)</t>
  </si>
  <si>
    <t>*</t>
  </si>
  <si>
    <t>Colorado Springs</t>
  </si>
  <si>
    <t xml:space="preserve">Institution Code: </t>
  </si>
  <si>
    <t>GFC</t>
  </si>
  <si>
    <t>Phil Chappell pchappel@uccs.edu</t>
  </si>
  <si>
    <t>Institution No.:  GFC</t>
  </si>
  <si>
    <t>Science and Engineering Building</t>
  </si>
  <si>
    <t>Lane Center</t>
  </si>
  <si>
    <t>Academic Office Building</t>
  </si>
  <si>
    <t>Visual and Performing Arts Building</t>
  </si>
  <si>
    <t>TRW Purchase</t>
  </si>
  <si>
    <t>Capital Assets Addition</t>
  </si>
  <si>
    <t>Denver Campus</t>
  </si>
  <si>
    <t>p</t>
  </si>
  <si>
    <t>Anschutz Medical Campus</t>
  </si>
  <si>
    <t>Tobacco</t>
  </si>
  <si>
    <t>*Source: Fall 2016 AMC EOT Enrollment Reports.</t>
  </si>
  <si>
    <t xml:space="preserve">Data are headcount numbers.  Table 1B  </t>
  </si>
  <si>
    <t>NOTE:  *Graduate I  data includes Masters, Certificates and Non-Degree Students.</t>
  </si>
  <si>
    <t xml:space="preserve">                *Graduate II data includes doctorate and professional students.  </t>
  </si>
  <si>
    <t xml:space="preserve">Data are headcount numbers.  Table 9 &amp; 10  </t>
  </si>
  <si>
    <t xml:space="preserve">NOTE: Graduate I counts include UNC, CSU Public Health Students.  UNC Students = 28 (Masters = 21, Certificates = 7)  CSU students = 94 (All Masters)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</si>
</sst>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quot;$&quot;#,##0_);[Red]\(&quot;$&quot;#,##0\)"/>
    <numFmt numFmtId="41" formatCode="_(* #,##0_);_(* \(#,##0\);_(* &quot;-&quot;_);_(@_)"/>
    <numFmt numFmtId="44" formatCode="_(&quot;$&quot;* #,##0.00_);_(&quot;$&quot;* \(#,##0.00\);_(&quot;$&quot;* &quot;-&quot;??_);_(@_)"/>
    <numFmt numFmtId="43" formatCode="_(* #,##0.00_);_(* \(#,##0.00\);_(* &quot;-&quot;??_);_(@_)"/>
    <numFmt numFmtId="164" formatCode="#,##0.0"/>
    <numFmt numFmtId="165" formatCode="0_)"/>
    <numFmt numFmtId="166" formatCode="_(* #,##0_);_(* \(#,##0\);_(* &quot;-&quot;??_);_(@_)"/>
    <numFmt numFmtId="167" formatCode="_(* #,##0.00_);_(* \(#,##0.00\);_(* &quot;-&quot;_);_(@_)"/>
    <numFmt numFmtId="168" formatCode="#,##0.0_);\(#,##0.0\)"/>
    <numFmt numFmtId="169" formatCode="0.0_)"/>
    <numFmt numFmtId="170" formatCode="_(* #,##0.0_);_(* \(#,##0.0\);_(* &quot;-&quot;??_);_(@_)"/>
    <numFmt numFmtId="171" formatCode="_(* #,##0.000_);_(* \(#,##0.000\);_(* &quot;-&quot;??_);_(@_)"/>
    <numFmt numFmtId="172" formatCode="_(&quot;$&quot;* #,##0_);_(&quot;$&quot;* \(#,##0\);_(&quot;$&quot;* &quot;-&quot;??_);_(@_)"/>
  </numFmts>
  <fonts count="29">
    <font>
      <sz val="11"/>
      <color theme="1"/>
      <name val="Arial"/>
      <family val="2"/>
    </font>
    <font>
      <sz val="10"/>
      <name val="Courier"/>
      <family val="3"/>
    </font>
    <font>
      <sz val="9"/>
      <name val="Times New Roman"/>
      <family val="1"/>
    </font>
    <font>
      <b/>
      <sz val="9"/>
      <name val="Times New Roman"/>
      <family val="1"/>
    </font>
    <font>
      <b/>
      <sz val="8"/>
      <name val="Times New Roman"/>
      <family val="1"/>
    </font>
    <font>
      <b/>
      <u/>
      <sz val="36"/>
      <name val="Times New Roman"/>
      <family val="1"/>
    </font>
    <font>
      <b/>
      <sz val="26"/>
      <name val="Times New Roman"/>
      <family val="1"/>
    </font>
    <font>
      <sz val="26"/>
      <name val="Times New Roman"/>
      <family val="1"/>
    </font>
    <font>
      <b/>
      <i/>
      <sz val="9"/>
      <name val="Times New Roman"/>
      <family val="1"/>
    </font>
    <font>
      <b/>
      <sz val="22"/>
      <name val="Times New Roman"/>
      <family val="1"/>
    </font>
    <font>
      <sz val="10"/>
      <name val="Arial"/>
      <family val="2"/>
    </font>
    <font>
      <strike/>
      <sz val="9"/>
      <name val="Times New Roman"/>
      <family val="1"/>
    </font>
    <font>
      <sz val="9"/>
      <color rgb="FFFF0000"/>
      <name val="Times New Roman"/>
      <family val="1"/>
    </font>
    <font>
      <i/>
      <sz val="10"/>
      <name val="Times New Roman"/>
      <family val="1"/>
    </font>
    <font>
      <sz val="10"/>
      <name val="Times New Roman"/>
      <family val="1"/>
    </font>
    <font>
      <sz val="10"/>
      <name val="Courier"/>
      <family val="3"/>
    </font>
    <font>
      <sz val="9"/>
      <color indexed="10"/>
      <name val="Times New Roman"/>
      <family val="1"/>
    </font>
    <font>
      <sz val="12"/>
      <color rgb="FF000000"/>
      <name val="Times New Roman"/>
      <family val="1"/>
    </font>
    <font>
      <u/>
      <sz val="11"/>
      <color theme="10"/>
      <name val="Calibri"/>
      <family val="2"/>
    </font>
    <font>
      <sz val="12"/>
      <name val="Arial MT"/>
    </font>
    <font>
      <sz val="11"/>
      <color theme="1"/>
      <name val="Arial"/>
      <family val="2"/>
    </font>
    <font>
      <sz val="11"/>
      <color theme="1"/>
      <name val="Calibri"/>
      <family val="2"/>
    </font>
    <font>
      <b/>
      <sz val="24"/>
      <name val="Times New Roman"/>
      <family val="1"/>
    </font>
    <font>
      <vertAlign val="superscript"/>
      <sz val="9"/>
      <name val="Times New Roman"/>
      <family val="1"/>
    </font>
    <font>
      <b/>
      <vertAlign val="superscript"/>
      <sz val="9"/>
      <name val="Times New Roman"/>
      <family val="1"/>
    </font>
    <font>
      <sz val="9"/>
      <color theme="1"/>
      <name val="Times New Roman"/>
      <family val="1"/>
    </font>
    <font>
      <b/>
      <sz val="9"/>
      <color indexed="81"/>
      <name val="Tahoma"/>
      <family val="2"/>
    </font>
    <font>
      <sz val="9"/>
      <color indexed="81"/>
      <name val="Tahoma"/>
      <family val="2"/>
    </font>
    <font>
      <b/>
      <sz val="9"/>
      <color rgb="FFFF0000"/>
      <name val="Times New Roman"/>
      <family val="1"/>
    </font>
  </fonts>
  <fills count="12">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rgb="FFFFC000"/>
        <bgColor indexed="64"/>
      </patternFill>
    </fill>
  </fills>
  <borders count="2">
    <border>
      <left/>
      <right/>
      <top/>
      <bottom/>
      <diagonal/>
    </border>
    <border>
      <left/>
      <right/>
      <top/>
      <bottom style="medium">
        <color indexed="64"/>
      </bottom>
      <diagonal/>
    </border>
  </borders>
  <cellStyleXfs count="55">
    <xf numFmtId="0" fontId="0" fillId="0" borderId="0"/>
    <xf numFmtId="0" fontId="1" fillId="0" borderId="0"/>
    <xf numFmtId="43" fontId="10" fillId="0" borderId="0" applyFont="0" applyFill="0" applyBorder="0" applyAlignment="0" applyProtection="0"/>
    <xf numFmtId="0" fontId="15" fillId="0" borderId="0"/>
    <xf numFmtId="0" fontId="15"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8" fillId="0" borderId="0" applyNumberFormat="0" applyFill="0" applyBorder="0" applyAlignment="0" applyProtection="0">
      <alignment vertical="top"/>
      <protection locked="0"/>
    </xf>
    <xf numFmtId="0" fontId="19" fillId="0" borderId="0"/>
    <xf numFmtId="0" fontId="15" fillId="0" borderId="0"/>
    <xf numFmtId="9" fontId="10" fillId="0" borderId="0" applyFont="0" applyFill="0" applyBorder="0" applyAlignment="0" applyProtection="0"/>
    <xf numFmtId="44" fontId="15" fillId="0" borderId="0" applyFont="0" applyFill="0" applyBorder="0" applyAlignment="0" applyProtection="0"/>
    <xf numFmtId="43" fontId="20"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4" fontId="20" fillId="0" borderId="0" applyFont="0" applyFill="0" applyBorder="0" applyAlignment="0" applyProtection="0"/>
  </cellStyleXfs>
  <cellXfs count="233">
    <xf numFmtId="0" fontId="0" fillId="0" borderId="0" xfId="0"/>
    <xf numFmtId="0" fontId="2" fillId="0" borderId="0" xfId="1" applyFont="1" applyFill="1"/>
    <xf numFmtId="164" fontId="2" fillId="0" borderId="0" xfId="1" applyNumberFormat="1" applyFont="1" applyFill="1"/>
    <xf numFmtId="3" fontId="2" fillId="0" borderId="0" xfId="1" applyNumberFormat="1" applyFont="1" applyFill="1"/>
    <xf numFmtId="3" fontId="3" fillId="0" borderId="0" xfId="1" applyNumberFormat="1" applyFont="1" applyFill="1" applyAlignment="1">
      <alignment horizontal="right"/>
    </xf>
    <xf numFmtId="3" fontId="4" fillId="0" borderId="0" xfId="1" applyNumberFormat="1" applyFont="1" applyFill="1"/>
    <xf numFmtId="0" fontId="7" fillId="0" borderId="0" xfId="1" applyFont="1" applyFill="1"/>
    <xf numFmtId="0" fontId="8" fillId="0" borderId="0" xfId="1" applyFont="1" applyFill="1" applyAlignment="1"/>
    <xf numFmtId="0" fontId="2" fillId="0" borderId="0" xfId="1" applyFont="1" applyFill="1" applyProtection="1"/>
    <xf numFmtId="0" fontId="2" fillId="0" borderId="0" xfId="1" applyFont="1" applyFill="1" applyAlignment="1" applyProtection="1">
      <alignment horizontal="left"/>
    </xf>
    <xf numFmtId="0" fontId="2" fillId="0" borderId="0" xfId="1" applyFont="1" applyFill="1" applyProtection="1">
      <protection locked="0"/>
    </xf>
    <xf numFmtId="164" fontId="2" fillId="0" borderId="0" xfId="1" applyNumberFormat="1" applyFont="1" applyFill="1" applyProtection="1">
      <protection locked="0"/>
    </xf>
    <xf numFmtId="3" fontId="2" fillId="0" borderId="0" xfId="1" applyNumberFormat="1" applyFont="1" applyFill="1" applyProtection="1">
      <protection locked="0"/>
    </xf>
    <xf numFmtId="0" fontId="2" fillId="0" borderId="0" xfId="1" applyFont="1" applyFill="1" applyAlignment="1" applyProtection="1">
      <alignment horizontal="left"/>
      <protection locked="0"/>
    </xf>
    <xf numFmtId="164" fontId="2" fillId="0" borderId="0" xfId="1" applyNumberFormat="1" applyFont="1" applyFill="1" applyProtection="1"/>
    <xf numFmtId="3" fontId="3" fillId="0" borderId="0" xfId="1" applyNumberFormat="1" applyFont="1" applyFill="1" applyAlignment="1" applyProtection="1">
      <alignment horizontal="right"/>
    </xf>
    <xf numFmtId="0" fontId="3" fillId="0" borderId="0" xfId="1" applyFont="1" applyFill="1" applyAlignment="1" applyProtection="1">
      <alignment horizontal="left"/>
      <protection locked="0"/>
    </xf>
    <xf numFmtId="39" fontId="2" fillId="0" borderId="0" xfId="1" applyNumberFormat="1" applyFont="1" applyFill="1" applyProtection="1"/>
    <xf numFmtId="3" fontId="4" fillId="0" borderId="0" xfId="1" applyNumberFormat="1" applyFont="1" applyFill="1" applyAlignment="1" applyProtection="1">
      <alignment horizontal="left"/>
      <protection locked="0"/>
    </xf>
    <xf numFmtId="0" fontId="2" fillId="0" borderId="0" xfId="1" applyFont="1" applyFill="1" applyAlignment="1" applyProtection="1">
      <alignment horizontal="fill"/>
    </xf>
    <xf numFmtId="164" fontId="2" fillId="0" borderId="0" xfId="1" applyNumberFormat="1" applyFont="1" applyFill="1" applyAlignment="1" applyProtection="1">
      <alignment horizontal="fill"/>
    </xf>
    <xf numFmtId="3" fontId="2" fillId="0" borderId="0" xfId="1" applyNumberFormat="1" applyFont="1" applyFill="1" applyAlignment="1" applyProtection="1">
      <alignment horizontal="fill"/>
    </xf>
    <xf numFmtId="165" fontId="2" fillId="0" borderId="0" xfId="1" applyNumberFormat="1" applyFont="1" applyFill="1" applyAlignment="1" applyProtection="1">
      <alignment horizontal="center"/>
    </xf>
    <xf numFmtId="0" fontId="2" fillId="0" borderId="0" xfId="1" applyFont="1" applyFill="1" applyAlignment="1">
      <alignment horizontal="center"/>
    </xf>
    <xf numFmtId="164" fontId="2" fillId="0" borderId="0" xfId="1" applyNumberFormat="1" applyFont="1" applyFill="1" applyAlignment="1" applyProtection="1">
      <alignment horizontal="center"/>
    </xf>
    <xf numFmtId="3" fontId="2" fillId="0" borderId="0" xfId="1" applyNumberFormat="1" applyFont="1" applyFill="1" applyAlignment="1" applyProtection="1">
      <alignment horizontal="center"/>
    </xf>
    <xf numFmtId="0" fontId="2" fillId="0" borderId="0" xfId="1" applyFont="1" applyFill="1" applyAlignment="1" applyProtection="1">
      <alignment horizontal="center"/>
    </xf>
    <xf numFmtId="0" fontId="2" fillId="0" borderId="0" xfId="1" applyFont="1" applyFill="1" applyAlignment="1" applyProtection="1">
      <alignment horizontal="right"/>
    </xf>
    <xf numFmtId="39" fontId="2" fillId="0" borderId="0" xfId="1" applyNumberFormat="1" applyFont="1" applyFill="1" applyAlignment="1" applyProtection="1">
      <alignment horizontal="fill"/>
    </xf>
    <xf numFmtId="2" fontId="2" fillId="0" borderId="0" xfId="1" applyNumberFormat="1" applyFont="1" applyFill="1" applyAlignment="1" applyProtection="1">
      <alignment horizontal="center"/>
    </xf>
    <xf numFmtId="2" fontId="2" fillId="0" borderId="0" xfId="1" applyNumberFormat="1" applyFont="1" applyFill="1" applyAlignment="1">
      <alignment horizontal="center"/>
    </xf>
    <xf numFmtId="0" fontId="3" fillId="0" borderId="0" xfId="1" applyFont="1" applyFill="1" applyAlignment="1" applyProtection="1">
      <alignment horizontal="left"/>
    </xf>
    <xf numFmtId="0" fontId="11" fillId="0" borderId="0" xfId="1" applyFont="1" applyFill="1" applyAlignment="1" applyProtection="1">
      <alignment horizontal="left"/>
    </xf>
    <xf numFmtId="0" fontId="2" fillId="3" borderId="0" xfId="1" applyFont="1" applyFill="1"/>
    <xf numFmtId="3" fontId="2" fillId="3" borderId="0" xfId="1" applyNumberFormat="1" applyFont="1" applyFill="1" applyAlignment="1" applyProtection="1">
      <alignment horizontal="fill"/>
    </xf>
    <xf numFmtId="165" fontId="2" fillId="0" borderId="0" xfId="1" applyNumberFormat="1" applyFont="1" applyFill="1" applyProtection="1"/>
    <xf numFmtId="0" fontId="3" fillId="0" borderId="0" xfId="1" applyFont="1" applyFill="1"/>
    <xf numFmtId="165" fontId="3" fillId="0" borderId="0" xfId="1" applyNumberFormat="1" applyFont="1" applyFill="1" applyProtection="1"/>
    <xf numFmtId="164" fontId="3" fillId="0" borderId="0" xfId="1" applyNumberFormat="1" applyFont="1" applyFill="1" applyProtection="1"/>
    <xf numFmtId="3" fontId="3" fillId="0" borderId="0" xfId="1" applyNumberFormat="1" applyFont="1" applyFill="1" applyProtection="1"/>
    <xf numFmtId="3" fontId="2" fillId="0" borderId="0" xfId="1" applyNumberFormat="1" applyFont="1" applyFill="1" applyProtection="1"/>
    <xf numFmtId="0" fontId="2" fillId="0" borderId="0" xfId="1" applyFont="1" applyFill="1" applyAlignment="1">
      <alignment vertical="center"/>
    </xf>
    <xf numFmtId="0" fontId="12" fillId="0" borderId="0" xfId="1" applyFont="1" applyFill="1"/>
    <xf numFmtId="164" fontId="12" fillId="0" borderId="0" xfId="1" applyNumberFormat="1" applyFont="1" applyFill="1"/>
    <xf numFmtId="3" fontId="12" fillId="0" borderId="0" xfId="1" applyNumberFormat="1" applyFont="1" applyFill="1"/>
    <xf numFmtId="0" fontId="13" fillId="0" borderId="0" xfId="1" applyFont="1" applyFill="1"/>
    <xf numFmtId="0" fontId="14" fillId="0" borderId="0" xfId="1" applyFont="1" applyFill="1"/>
    <xf numFmtId="6" fontId="14" fillId="0" borderId="0" xfId="1" applyNumberFormat="1" applyFont="1" applyFill="1"/>
    <xf numFmtId="41" fontId="2" fillId="0" borderId="0" xfId="1" applyNumberFormat="1" applyFont="1" applyFill="1" applyAlignment="1">
      <alignment horizontal="center"/>
    </xf>
    <xf numFmtId="41" fontId="2" fillId="0" borderId="0" xfId="1" applyNumberFormat="1" applyFont="1" applyFill="1" applyAlignment="1" applyProtection="1">
      <alignment horizontal="fill"/>
    </xf>
    <xf numFmtId="167" fontId="2" fillId="0" borderId="0" xfId="1" applyNumberFormat="1" applyFont="1" applyFill="1" applyAlignment="1">
      <alignment horizontal="center"/>
    </xf>
    <xf numFmtId="167" fontId="2" fillId="0" borderId="0" xfId="1" applyNumberFormat="1" applyFont="1" applyFill="1" applyAlignment="1">
      <alignment horizontal="left"/>
    </xf>
    <xf numFmtId="39" fontId="2" fillId="4" borderId="0" xfId="1" applyNumberFormat="1" applyFont="1" applyFill="1" applyProtection="1"/>
    <xf numFmtId="2" fontId="2" fillId="4" borderId="0" xfId="1" applyNumberFormat="1" applyFont="1" applyFill="1" applyAlignment="1" applyProtection="1">
      <alignment horizontal="center"/>
    </xf>
    <xf numFmtId="164" fontId="2" fillId="4" borderId="0" xfId="1" applyNumberFormat="1" applyFont="1" applyFill="1"/>
    <xf numFmtId="2" fontId="2" fillId="4" borderId="0" xfId="1" applyNumberFormat="1" applyFont="1" applyFill="1" applyAlignment="1" applyProtection="1">
      <alignment horizontal="right"/>
    </xf>
    <xf numFmtId="168" fontId="2" fillId="3" borderId="0" xfId="1" applyNumberFormat="1" applyFont="1" applyFill="1" applyAlignment="1" applyProtection="1">
      <alignment horizontal="center"/>
    </xf>
    <xf numFmtId="37" fontId="2" fillId="0" borderId="0" xfId="1" applyNumberFormat="1" applyFont="1" applyFill="1" applyProtection="1"/>
    <xf numFmtId="39" fontId="3" fillId="0" borderId="0" xfId="1" applyNumberFormat="1" applyFont="1" applyFill="1" applyProtection="1"/>
    <xf numFmtId="37" fontId="3" fillId="0" borderId="0" xfId="1" applyNumberFormat="1" applyFont="1" applyFill="1" applyProtection="1"/>
    <xf numFmtId="169" fontId="2" fillId="0" borderId="0" xfId="1" applyNumberFormat="1" applyFont="1" applyFill="1" applyProtection="1"/>
    <xf numFmtId="168" fontId="2" fillId="0" borderId="0" xfId="1" applyNumberFormat="1" applyFont="1" applyFill="1" applyProtection="1"/>
    <xf numFmtId="164" fontId="3" fillId="0" borderId="0" xfId="1" applyNumberFormat="1" applyFont="1" applyFill="1"/>
    <xf numFmtId="0" fontId="3" fillId="0" borderId="0" xfId="1" quotePrefix="1" applyFont="1" applyFill="1" applyAlignment="1" applyProtection="1">
      <alignment horizontal="left"/>
    </xf>
    <xf numFmtId="2" fontId="2" fillId="0" borderId="0" xfId="1" applyNumberFormat="1" applyFont="1" applyFill="1"/>
    <xf numFmtId="43" fontId="2" fillId="0" borderId="0" xfId="1" applyNumberFormat="1" applyFont="1" applyFill="1" applyAlignment="1">
      <alignment horizontal="right"/>
    </xf>
    <xf numFmtId="164" fontId="11" fillId="0" borderId="0" xfId="1" applyNumberFormat="1" applyFont="1" applyFill="1"/>
    <xf numFmtId="3" fontId="11" fillId="0" borderId="0" xfId="1" applyNumberFormat="1" applyFont="1" applyFill="1" applyProtection="1"/>
    <xf numFmtId="0" fontId="2" fillId="0" borderId="0" xfId="1" applyFont="1" applyFill="1" applyAlignment="1">
      <alignment horizontal="right" wrapText="1"/>
    </xf>
    <xf numFmtId="37" fontId="2" fillId="0" borderId="0" xfId="1" applyNumberFormat="1" applyFont="1" applyFill="1" applyProtection="1">
      <protection locked="0"/>
    </xf>
    <xf numFmtId="168" fontId="2" fillId="0" borderId="0" xfId="1" applyNumberFormat="1" applyFont="1" applyFill="1" applyAlignment="1" applyProtection="1">
      <alignment horizontal="fill"/>
    </xf>
    <xf numFmtId="3" fontId="3" fillId="0" borderId="0" xfId="1" applyNumberFormat="1" applyFont="1" applyFill="1" applyAlignment="1" applyProtection="1">
      <alignment horizontal="left"/>
    </xf>
    <xf numFmtId="0" fontId="11" fillId="0" borderId="0" xfId="1" applyFont="1" applyFill="1"/>
    <xf numFmtId="1" fontId="2" fillId="0" borderId="0" xfId="1" applyNumberFormat="1" applyFont="1" applyFill="1" applyProtection="1"/>
    <xf numFmtId="0" fontId="2" fillId="0" borderId="0" xfId="1" applyFont="1" applyFill="1" applyBorder="1" applyAlignment="1" applyProtection="1">
      <alignment horizontal="left"/>
    </xf>
    <xf numFmtId="0" fontId="2" fillId="0" borderId="0" xfId="1" applyFont="1" applyFill="1" applyBorder="1"/>
    <xf numFmtId="1" fontId="2" fillId="0" borderId="0" xfId="1" applyNumberFormat="1" applyFont="1" applyFill="1"/>
    <xf numFmtId="0" fontId="2" fillId="5" borderId="0" xfId="1" applyFont="1" applyFill="1" applyAlignment="1" applyProtection="1">
      <alignment horizontal="left"/>
    </xf>
    <xf numFmtId="1" fontId="2" fillId="0" borderId="0" xfId="1" applyNumberFormat="1" applyFont="1" applyFill="1" applyAlignment="1" applyProtection="1">
      <alignment horizontal="right"/>
    </xf>
    <xf numFmtId="1" fontId="2" fillId="0" borderId="0" xfId="1" applyNumberFormat="1" applyFont="1" applyFill="1" applyAlignment="1">
      <alignment horizontal="right"/>
    </xf>
    <xf numFmtId="164" fontId="11" fillId="0" borderId="0" xfId="1" applyNumberFormat="1" applyFont="1" applyFill="1" applyAlignment="1" applyProtection="1">
      <alignment horizontal="left"/>
    </xf>
    <xf numFmtId="0" fontId="2" fillId="0" borderId="0" xfId="1" applyFont="1" applyFill="1" applyAlignment="1" applyProtection="1">
      <alignment horizontal="left" wrapText="1"/>
    </xf>
    <xf numFmtId="0" fontId="2" fillId="2" borderId="0" xfId="1" applyFont="1" applyFill="1"/>
    <xf numFmtId="43" fontId="2" fillId="0" borderId="0" xfId="1" applyNumberFormat="1" applyFont="1" applyFill="1" applyAlignment="1" applyProtection="1">
      <alignment horizontal="fill"/>
    </xf>
    <xf numFmtId="0" fontId="17" fillId="0" borderId="0" xfId="1" applyFont="1" applyAlignment="1">
      <alignment horizontal="justify"/>
    </xf>
    <xf numFmtId="2" fontId="2" fillId="0" borderId="0" xfId="1" applyNumberFormat="1" applyFont="1" applyFill="1" applyAlignment="1" applyProtection="1">
      <alignment horizontal="center"/>
      <protection locked="0"/>
    </xf>
    <xf numFmtId="2" fontId="2" fillId="0" borderId="0" xfId="1" applyNumberFormat="1" applyFont="1" applyFill="1" applyAlignment="1" applyProtection="1">
      <alignment horizontal="fill"/>
    </xf>
    <xf numFmtId="0" fontId="2" fillId="0" borderId="0" xfId="1" applyFont="1" applyFill="1" applyAlignment="1">
      <alignment horizontal="right"/>
    </xf>
    <xf numFmtId="3" fontId="11" fillId="0" borderId="0" xfId="1" applyNumberFormat="1" applyFont="1" applyFill="1" applyAlignment="1" applyProtection="1">
      <alignment horizontal="left"/>
    </xf>
    <xf numFmtId="0" fontId="2" fillId="0" borderId="0" xfId="1" applyFont="1" applyFill="1" applyBorder="1" applyProtection="1">
      <protection locked="0"/>
    </xf>
    <xf numFmtId="2" fontId="2" fillId="0" borderId="0" xfId="1" applyNumberFormat="1" applyFont="1" applyFill="1" applyAlignment="1" applyProtection="1">
      <alignment horizontal="right"/>
    </xf>
    <xf numFmtId="0" fontId="2" fillId="5" borderId="0" xfId="1" applyFont="1" applyFill="1"/>
    <xf numFmtId="167" fontId="2" fillId="0" borderId="0" xfId="1" applyNumberFormat="1" applyFont="1" applyFill="1" applyAlignment="1" applyProtection="1">
      <alignment horizontal="center"/>
    </xf>
    <xf numFmtId="41" fontId="2" fillId="0" borderId="0" xfId="1" applyNumberFormat="1" applyFont="1" applyFill="1" applyAlignment="1" applyProtection="1">
      <alignment horizontal="center"/>
    </xf>
    <xf numFmtId="166" fontId="2" fillId="0" borderId="0" xfId="5" applyNumberFormat="1" applyFont="1" applyFill="1"/>
    <xf numFmtId="166" fontId="2" fillId="0" borderId="0" xfId="5" applyNumberFormat="1" applyFont="1" applyFill="1" applyAlignment="1">
      <alignment vertical="center"/>
    </xf>
    <xf numFmtId="166" fontId="2" fillId="0" borderId="0" xfId="5" applyNumberFormat="1" applyFont="1" applyFill="1" applyAlignment="1" applyProtection="1">
      <alignment horizontal="right"/>
    </xf>
    <xf numFmtId="43" fontId="2" fillId="0" borderId="0" xfId="5" applyNumberFormat="1" applyFont="1" applyFill="1" applyAlignment="1" applyProtection="1">
      <alignment horizontal="right"/>
    </xf>
    <xf numFmtId="4" fontId="2" fillId="0" borderId="0" xfId="1" applyNumberFormat="1" applyFont="1" applyFill="1"/>
    <xf numFmtId="43" fontId="2" fillId="0" borderId="0" xfId="5" applyNumberFormat="1" applyFont="1" applyFill="1" applyAlignment="1">
      <alignment horizontal="right"/>
    </xf>
    <xf numFmtId="166" fontId="2" fillId="0" borderId="0" xfId="5" applyNumberFormat="1" applyFont="1" applyFill="1" applyAlignment="1">
      <alignment horizontal="right"/>
    </xf>
    <xf numFmtId="43" fontId="16" fillId="0" borderId="0" xfId="5" applyNumberFormat="1" applyFont="1" applyFill="1" applyAlignment="1">
      <alignment horizontal="right"/>
    </xf>
    <xf numFmtId="166" fontId="2" fillId="0" borderId="0" xfId="5" applyNumberFormat="1" applyFont="1" applyFill="1" applyAlignment="1">
      <alignment horizontal="left"/>
    </xf>
    <xf numFmtId="166" fontId="2" fillId="0" borderId="0" xfId="5" applyNumberFormat="1" applyFont="1" applyFill="1" applyAlignment="1" applyProtection="1">
      <alignment horizontal="right"/>
      <protection locked="0"/>
    </xf>
    <xf numFmtId="43" fontId="2" fillId="0" borderId="0" xfId="5" applyNumberFormat="1" applyFont="1" applyFill="1" applyAlignment="1" applyProtection="1">
      <alignment horizontal="right"/>
      <protection locked="0"/>
    </xf>
    <xf numFmtId="170" fontId="2" fillId="0" borderId="0" xfId="5" applyNumberFormat="1" applyFont="1" applyFill="1" applyAlignment="1">
      <alignment horizontal="right"/>
    </xf>
    <xf numFmtId="166" fontId="2" fillId="0" borderId="0" xfId="5" applyNumberFormat="1" applyFont="1" applyFill="1" applyProtection="1">
      <protection locked="0"/>
    </xf>
    <xf numFmtId="166" fontId="2" fillId="0" borderId="0" xfId="5" applyNumberFormat="1" applyFont="1" applyFill="1" applyAlignment="1" applyProtection="1">
      <alignment horizontal="center"/>
    </xf>
    <xf numFmtId="166" fontId="2" fillId="0" borderId="0" xfId="5" applyNumberFormat="1" applyFont="1" applyFill="1" applyAlignment="1">
      <alignment horizontal="center"/>
    </xf>
    <xf numFmtId="43" fontId="2" fillId="0" borderId="0" xfId="5" applyNumberFormat="1" applyFont="1" applyFill="1" applyAlignment="1" applyProtection="1">
      <alignment horizontal="center"/>
      <protection locked="0"/>
    </xf>
    <xf numFmtId="166" fontId="2" fillId="0" borderId="0" xfId="5" applyNumberFormat="1" applyFont="1" applyFill="1" applyAlignment="1" applyProtection="1">
      <alignment horizontal="center"/>
      <protection locked="0"/>
    </xf>
    <xf numFmtId="43" fontId="2" fillId="0" borderId="0" xfId="5" applyNumberFormat="1" applyFont="1" applyFill="1" applyAlignment="1" applyProtection="1">
      <alignment horizontal="center"/>
    </xf>
    <xf numFmtId="43" fontId="2" fillId="0" borderId="0" xfId="5" applyNumberFormat="1" applyFont="1" applyFill="1" applyAlignment="1">
      <alignment horizontal="center"/>
    </xf>
    <xf numFmtId="170" fontId="2" fillId="0" borderId="0" xfId="5" applyNumberFormat="1" applyFont="1" applyFill="1" applyAlignment="1">
      <alignment horizontal="center"/>
    </xf>
    <xf numFmtId="171" fontId="2" fillId="0" borderId="0" xfId="5" applyNumberFormat="1" applyFont="1" applyFill="1" applyAlignment="1" applyProtection="1">
      <alignment horizontal="right"/>
      <protection locked="0"/>
    </xf>
    <xf numFmtId="171" fontId="2" fillId="0" borderId="0" xfId="5" applyNumberFormat="1" applyFont="1" applyFill="1" applyAlignment="1">
      <alignment horizontal="right"/>
    </xf>
    <xf numFmtId="41" fontId="2" fillId="2" borderId="0" xfId="1" applyNumberFormat="1" applyFont="1" applyFill="1" applyAlignment="1">
      <alignment horizontal="center"/>
    </xf>
    <xf numFmtId="0" fontId="2" fillId="7" borderId="0" xfId="1" applyFont="1" applyFill="1" applyProtection="1"/>
    <xf numFmtId="0" fontId="2" fillId="7" borderId="0" xfId="1" applyFont="1" applyFill="1"/>
    <xf numFmtId="0" fontId="2" fillId="7" borderId="0" xfId="1" applyFont="1" applyFill="1" applyProtection="1">
      <protection locked="0"/>
    </xf>
    <xf numFmtId="171" fontId="2" fillId="7" borderId="0" xfId="5" applyNumberFormat="1" applyFont="1" applyFill="1" applyAlignment="1" applyProtection="1">
      <alignment horizontal="right"/>
      <protection locked="0"/>
    </xf>
    <xf numFmtId="166" fontId="2" fillId="7" borderId="0" xfId="5" applyNumberFormat="1" applyFont="1" applyFill="1" applyAlignment="1" applyProtection="1">
      <alignment horizontal="right"/>
      <protection locked="0"/>
    </xf>
    <xf numFmtId="2" fontId="2" fillId="7" borderId="0" xfId="1" applyNumberFormat="1" applyFont="1" applyFill="1" applyAlignment="1" applyProtection="1">
      <alignment horizontal="center"/>
      <protection locked="0"/>
    </xf>
    <xf numFmtId="43" fontId="2" fillId="7" borderId="0" xfId="5" applyNumberFormat="1" applyFont="1" applyFill="1" applyAlignment="1" applyProtection="1">
      <alignment horizontal="right"/>
      <protection locked="0"/>
    </xf>
    <xf numFmtId="166" fontId="2" fillId="7" borderId="0" xfId="5" applyNumberFormat="1" applyFont="1" applyFill="1" applyAlignment="1" applyProtection="1">
      <alignment horizontal="center"/>
      <protection locked="0"/>
    </xf>
    <xf numFmtId="2" fontId="2" fillId="7" borderId="0" xfId="1" applyNumberFormat="1" applyFont="1" applyFill="1" applyAlignment="1">
      <alignment horizontal="center"/>
    </xf>
    <xf numFmtId="0" fontId="2" fillId="7" borderId="0" xfId="1" applyFont="1" applyFill="1" applyAlignment="1" applyProtection="1">
      <alignment horizontal="fill"/>
    </xf>
    <xf numFmtId="164" fontId="2" fillId="7" borderId="0" xfId="1" applyNumberFormat="1" applyFont="1" applyFill="1" applyAlignment="1" applyProtection="1">
      <alignment horizontal="fill"/>
    </xf>
    <xf numFmtId="3" fontId="2" fillId="7" borderId="0" xfId="1" applyNumberFormat="1" applyFont="1" applyFill="1" applyAlignment="1" applyProtection="1">
      <alignment horizontal="fill"/>
    </xf>
    <xf numFmtId="43" fontId="2" fillId="7" borderId="0" xfId="5" applyNumberFormat="1" applyFont="1" applyFill="1" applyAlignment="1" applyProtection="1">
      <alignment horizontal="center"/>
      <protection locked="0"/>
    </xf>
    <xf numFmtId="164" fontId="2" fillId="7" borderId="0" xfId="1" applyNumberFormat="1" applyFont="1" applyFill="1"/>
    <xf numFmtId="3" fontId="2" fillId="7" borderId="0" xfId="1" applyNumberFormat="1" applyFont="1" applyFill="1"/>
    <xf numFmtId="0" fontId="3" fillId="0" borderId="0" xfId="1" applyFont="1" applyFill="1" applyAlignment="1">
      <alignment horizontal="right"/>
    </xf>
    <xf numFmtId="0" fontId="2" fillId="2" borderId="1" xfId="1" applyFont="1" applyFill="1" applyBorder="1"/>
    <xf numFmtId="0" fontId="8" fillId="2" borderId="1" xfId="1" applyFont="1" applyFill="1" applyBorder="1" applyAlignment="1"/>
    <xf numFmtId="0" fontId="2" fillId="0" borderId="0" xfId="5" applyNumberFormat="1" applyFont="1" applyFill="1" applyAlignment="1">
      <alignment horizontal="right"/>
    </xf>
    <xf numFmtId="166" fontId="21" fillId="0" borderId="0" xfId="49" applyNumberFormat="1" applyFont="1" applyAlignment="1">
      <alignment vertical="center"/>
    </xf>
    <xf numFmtId="0" fontId="2" fillId="0" borderId="0" xfId="1" applyFont="1" applyFill="1"/>
    <xf numFmtId="41" fontId="2" fillId="8" borderId="0" xfId="1" applyNumberFormat="1" applyFont="1" applyFill="1" applyAlignment="1">
      <alignment horizontal="center"/>
    </xf>
    <xf numFmtId="166" fontId="2" fillId="8" borderId="0" xfId="5" applyNumberFormat="1" applyFont="1" applyFill="1" applyAlignment="1">
      <alignment vertical="center"/>
    </xf>
    <xf numFmtId="166" fontId="2" fillId="8" borderId="0" xfId="5" applyNumberFormat="1" applyFont="1" applyFill="1"/>
    <xf numFmtId="43" fontId="2" fillId="8" borderId="0" xfId="5" applyNumberFormat="1" applyFont="1" applyFill="1" applyAlignment="1" applyProtection="1">
      <alignment horizontal="right"/>
    </xf>
    <xf numFmtId="170" fontId="2" fillId="8" borderId="0" xfId="5" applyNumberFormat="1" applyFont="1" applyFill="1" applyAlignment="1">
      <alignment horizontal="right"/>
    </xf>
    <xf numFmtId="43" fontId="2" fillId="8" borderId="0" xfId="5" applyNumberFormat="1" applyFont="1" applyFill="1" applyAlignment="1">
      <alignment horizontal="right"/>
    </xf>
    <xf numFmtId="43" fontId="2" fillId="8" borderId="0" xfId="5" applyNumberFormat="1" applyFont="1" applyFill="1" applyAlignment="1" applyProtection="1">
      <alignment horizontal="right"/>
      <protection locked="0"/>
    </xf>
    <xf numFmtId="166" fontId="2" fillId="8" borderId="0" xfId="5" applyNumberFormat="1" applyFont="1" applyFill="1" applyAlignment="1" applyProtection="1">
      <alignment horizontal="right"/>
      <protection locked="0"/>
    </xf>
    <xf numFmtId="166" fontId="2" fillId="8" borderId="0" xfId="5" applyNumberFormat="1" applyFont="1" applyFill="1" applyAlignment="1">
      <alignment horizontal="right"/>
    </xf>
    <xf numFmtId="3" fontId="2" fillId="8" borderId="0" xfId="1" applyNumberFormat="1" applyFont="1" applyFill="1" applyProtection="1"/>
    <xf numFmtId="166" fontId="2" fillId="8" borderId="0" xfId="5" applyNumberFormat="1" applyFont="1" applyFill="1" applyAlignment="1" applyProtection="1">
      <alignment horizontal="right"/>
    </xf>
    <xf numFmtId="3" fontId="2" fillId="8" borderId="0" xfId="1" applyNumberFormat="1" applyFont="1" applyFill="1" applyAlignment="1" applyProtection="1">
      <alignment horizontal="fill"/>
    </xf>
    <xf numFmtId="3" fontId="2" fillId="8" borderId="0" xfId="1" applyNumberFormat="1" applyFont="1" applyFill="1"/>
    <xf numFmtId="166" fontId="2" fillId="8" borderId="0" xfId="5" applyNumberFormat="1" applyFont="1" applyFill="1" applyProtection="1">
      <protection locked="0"/>
    </xf>
    <xf numFmtId="3" fontId="2" fillId="8" borderId="0" xfId="1" applyNumberFormat="1" applyFont="1" applyFill="1" applyProtection="1">
      <protection locked="0"/>
    </xf>
    <xf numFmtId="43" fontId="2" fillId="8" borderId="0" xfId="5" applyNumberFormat="1" applyFont="1" applyFill="1" applyAlignment="1" applyProtection="1">
      <alignment horizontal="center"/>
      <protection locked="0"/>
    </xf>
    <xf numFmtId="43" fontId="3" fillId="8" borderId="0" xfId="5" applyNumberFormat="1" applyFont="1" applyFill="1" applyAlignment="1" applyProtection="1">
      <alignment horizontal="center"/>
      <protection locked="0"/>
    </xf>
    <xf numFmtId="43" fontId="2" fillId="8" borderId="0" xfId="5" applyFont="1" applyFill="1" applyAlignment="1" applyProtection="1">
      <alignment horizontal="fill"/>
    </xf>
    <xf numFmtId="166" fontId="2" fillId="8" borderId="0" xfId="5" applyNumberFormat="1" applyFont="1" applyFill="1" applyAlignment="1" applyProtection="1">
      <alignment horizontal="center"/>
      <protection locked="0"/>
    </xf>
    <xf numFmtId="171" fontId="2" fillId="8" borderId="0" xfId="5" applyNumberFormat="1" applyFont="1" applyFill="1" applyAlignment="1" applyProtection="1">
      <alignment horizontal="right"/>
      <protection locked="0"/>
    </xf>
    <xf numFmtId="37" fontId="3" fillId="0" borderId="0" xfId="1" applyNumberFormat="1" applyFont="1" applyFill="1" applyAlignment="1" applyProtection="1">
      <alignment horizontal="center"/>
    </xf>
    <xf numFmtId="0" fontId="3" fillId="0" borderId="0" xfId="1" applyFont="1" applyFill="1" applyAlignment="1">
      <alignment horizontal="right"/>
    </xf>
    <xf numFmtId="166" fontId="2" fillId="0" borderId="0" xfId="49" applyNumberFormat="1" applyFont="1" applyFill="1" applyAlignment="1">
      <alignment horizontal="center"/>
    </xf>
    <xf numFmtId="166" fontId="2" fillId="2" borderId="0" xfId="49" applyNumberFormat="1" applyFont="1" applyFill="1" applyAlignment="1">
      <alignment horizontal="center"/>
    </xf>
    <xf numFmtId="166" fontId="2" fillId="8" borderId="0" xfId="49" applyNumberFormat="1" applyFont="1" applyFill="1" applyProtection="1">
      <protection locked="0"/>
    </xf>
    <xf numFmtId="166" fontId="2" fillId="8" borderId="0" xfId="49" applyNumberFormat="1" applyFont="1" applyFill="1" applyAlignment="1">
      <alignment horizontal="center"/>
    </xf>
    <xf numFmtId="166" fontId="2" fillId="9" borderId="0" xfId="49" applyNumberFormat="1" applyFont="1" applyFill="1" applyAlignment="1">
      <alignment horizontal="center"/>
    </xf>
    <xf numFmtId="166" fontId="2" fillId="8" borderId="0" xfId="49" applyNumberFormat="1" applyFont="1" applyFill="1" applyAlignment="1" applyProtection="1">
      <alignment horizontal="right"/>
    </xf>
    <xf numFmtId="166" fontId="2" fillId="0" borderId="0" xfId="49" applyNumberFormat="1" applyFont="1" applyFill="1"/>
    <xf numFmtId="166" fontId="2" fillId="0" borderId="0" xfId="49" applyNumberFormat="1" applyFont="1" applyFill="1" applyAlignment="1" applyProtection="1">
      <alignment horizontal="right"/>
    </xf>
    <xf numFmtId="166" fontId="2" fillId="0" borderId="0" xfId="49" applyNumberFormat="1" applyFont="1" applyFill="1" applyAlignment="1">
      <alignment horizontal="right"/>
    </xf>
    <xf numFmtId="166" fontId="16" fillId="0" borderId="0" xfId="49" applyNumberFormat="1" applyFont="1" applyFill="1" applyAlignment="1">
      <alignment horizontal="right"/>
    </xf>
    <xf numFmtId="166" fontId="2" fillId="5" borderId="0" xfId="49" applyNumberFormat="1" applyFont="1" applyFill="1" applyAlignment="1">
      <alignment horizontal="right"/>
    </xf>
    <xf numFmtId="166" fontId="2" fillId="0" borderId="0" xfId="1" applyNumberFormat="1" applyFont="1" applyFill="1"/>
    <xf numFmtId="43" fontId="2" fillId="0" borderId="0" xfId="1" applyNumberFormat="1" applyFont="1" applyFill="1"/>
    <xf numFmtId="166" fontId="2" fillId="8" borderId="0" xfId="49" applyNumberFormat="1" applyFont="1" applyFill="1" applyAlignment="1">
      <alignment horizontal="right"/>
    </xf>
    <xf numFmtId="166" fontId="2" fillId="8" borderId="0" xfId="49" applyNumberFormat="1" applyFont="1" applyFill="1" applyAlignment="1" applyProtection="1">
      <alignment horizontal="center"/>
      <protection locked="0"/>
    </xf>
    <xf numFmtId="166" fontId="2" fillId="0" borderId="0" xfId="49" applyNumberFormat="1" applyFont="1" applyFill="1" applyAlignment="1" applyProtection="1">
      <alignment horizontal="fill"/>
    </xf>
    <xf numFmtId="166" fontId="2" fillId="0" borderId="0" xfId="49" applyNumberFormat="1" applyFont="1" applyFill="1" applyAlignment="1" applyProtection="1">
      <alignment horizontal="center"/>
      <protection locked="0"/>
    </xf>
    <xf numFmtId="166" fontId="2" fillId="0" borderId="0" xfId="49" applyNumberFormat="1" applyFont="1" applyFill="1" applyAlignment="1" applyProtection="1">
      <alignment horizontal="center"/>
    </xf>
    <xf numFmtId="166" fontId="2" fillId="8" borderId="0" xfId="49" applyNumberFormat="1" applyFont="1" applyFill="1" applyAlignment="1" applyProtection="1">
      <alignment horizontal="right"/>
      <protection locked="0"/>
    </xf>
    <xf numFmtId="166" fontId="2" fillId="0" borderId="0" xfId="49" applyNumberFormat="1" applyFont="1" applyFill="1" applyAlignment="1" applyProtection="1">
      <alignment horizontal="right"/>
      <protection locked="0"/>
    </xf>
    <xf numFmtId="166" fontId="2" fillId="7" borderId="0" xfId="49" applyNumberFormat="1" applyFont="1" applyFill="1" applyAlignment="1" applyProtection="1">
      <alignment horizontal="right"/>
      <protection locked="0"/>
    </xf>
    <xf numFmtId="0" fontId="8" fillId="2" borderId="1" xfId="1" applyFont="1" applyFill="1" applyBorder="1" applyAlignment="1" applyProtection="1">
      <protection locked="0"/>
    </xf>
    <xf numFmtId="0" fontId="2" fillId="2" borderId="1" xfId="1" applyFont="1" applyFill="1" applyBorder="1" applyProtection="1">
      <protection locked="0"/>
    </xf>
    <xf numFmtId="166" fontId="25" fillId="0" borderId="0" xfId="49" applyNumberFormat="1" applyFont="1" applyAlignment="1">
      <alignment vertical="center"/>
    </xf>
    <xf numFmtId="4" fontId="2" fillId="0" borderId="0" xfId="1" applyNumberFormat="1" applyFont="1" applyFill="1" applyAlignment="1" applyProtection="1">
      <alignment horizontal="right"/>
    </xf>
    <xf numFmtId="166" fontId="2" fillId="8" borderId="0" xfId="5" applyNumberFormat="1" applyFont="1" applyFill="1" applyAlignment="1" applyProtection="1">
      <alignment horizontal="fill"/>
    </xf>
    <xf numFmtId="167" fontId="2" fillId="0" borderId="0" xfId="1" applyNumberFormat="1" applyFont="1" applyFill="1" applyBorder="1" applyAlignment="1">
      <alignment horizontal="center"/>
    </xf>
    <xf numFmtId="41" fontId="2" fillId="0" borderId="0" xfId="1" applyNumberFormat="1" applyFont="1" applyFill="1" applyBorder="1" applyAlignment="1">
      <alignment horizontal="center"/>
    </xf>
    <xf numFmtId="41" fontId="2" fillId="2" borderId="0" xfId="1" applyNumberFormat="1" applyFont="1" applyFill="1" applyBorder="1" applyAlignment="1">
      <alignment horizontal="center"/>
    </xf>
    <xf numFmtId="41" fontId="2" fillId="8" borderId="0" xfId="1" applyNumberFormat="1" applyFont="1" applyFill="1" applyBorder="1" applyAlignment="1">
      <alignment horizontal="center"/>
    </xf>
    <xf numFmtId="44" fontId="2" fillId="0" borderId="0" xfId="54" applyFont="1" applyFill="1" applyAlignment="1">
      <alignment horizontal="center"/>
    </xf>
    <xf numFmtId="43" fontId="2" fillId="8" borderId="0" xfId="49" applyFont="1" applyFill="1" applyAlignment="1" applyProtection="1">
      <alignment horizontal="right"/>
    </xf>
    <xf numFmtId="172" fontId="2" fillId="0" borderId="0" xfId="54" applyNumberFormat="1" applyFont="1" applyFill="1" applyAlignment="1">
      <alignment horizontal="right"/>
    </xf>
    <xf numFmtId="43" fontId="2" fillId="0" borderId="0" xfId="49" applyFont="1" applyFill="1" applyAlignment="1" applyProtection="1">
      <alignment horizontal="right"/>
    </xf>
    <xf numFmtId="166" fontId="2" fillId="10" borderId="0" xfId="5" applyNumberFormat="1" applyFont="1" applyFill="1" applyAlignment="1" applyProtection="1">
      <alignment horizontal="center"/>
      <protection locked="0"/>
    </xf>
    <xf numFmtId="44" fontId="0" fillId="0" borderId="0" xfId="0" applyNumberFormat="1"/>
    <xf numFmtId="166" fontId="25" fillId="8" borderId="0" xfId="5" applyNumberFormat="1" applyFont="1" applyFill="1" applyAlignment="1">
      <alignment horizontal="right"/>
    </xf>
    <xf numFmtId="44" fontId="2" fillId="0" borderId="0" xfId="54" applyFont="1" applyFill="1" applyAlignment="1" applyProtection="1">
      <alignment horizontal="center"/>
    </xf>
    <xf numFmtId="43" fontId="2" fillId="0" borderId="0" xfId="49" applyFont="1" applyFill="1" applyAlignment="1">
      <alignment horizontal="right"/>
    </xf>
    <xf numFmtId="43" fontId="16" fillId="0" borderId="0" xfId="49" applyFont="1" applyFill="1" applyAlignment="1">
      <alignment horizontal="right"/>
    </xf>
    <xf numFmtId="43" fontId="2" fillId="8" borderId="0" xfId="49" applyFont="1" applyFill="1" applyAlignment="1">
      <alignment horizontal="right"/>
    </xf>
    <xf numFmtId="43" fontId="2" fillId="0" borderId="0" xfId="49" applyFont="1" applyFill="1" applyAlignment="1" applyProtection="1">
      <alignment horizontal="right"/>
      <protection locked="0"/>
    </xf>
    <xf numFmtId="0" fontId="28" fillId="10" borderId="0" xfId="0" applyFont="1" applyFill="1" applyAlignment="1">
      <alignment horizontal="left"/>
    </xf>
    <xf numFmtId="3" fontId="3" fillId="10" borderId="0" xfId="1" applyNumberFormat="1" applyFont="1" applyFill="1" applyProtection="1"/>
    <xf numFmtId="0" fontId="2" fillId="10" borderId="0" xfId="1" applyFont="1" applyFill="1"/>
    <xf numFmtId="3" fontId="2" fillId="10" borderId="0" xfId="1" applyNumberFormat="1" applyFont="1" applyFill="1" applyProtection="1"/>
    <xf numFmtId="0" fontId="28" fillId="10" borderId="0" xfId="0" applyFont="1" applyFill="1"/>
    <xf numFmtId="0" fontId="2" fillId="10" borderId="0" xfId="50" applyFont="1" applyFill="1"/>
    <xf numFmtId="164" fontId="2" fillId="10" borderId="0" xfId="50" applyNumberFormat="1" applyFont="1" applyFill="1"/>
    <xf numFmtId="164" fontId="2" fillId="10" borderId="0" xfId="1" applyNumberFormat="1" applyFont="1" applyFill="1"/>
    <xf numFmtId="43" fontId="2" fillId="0" borderId="0" xfId="49" applyFont="1" applyFill="1" applyAlignment="1">
      <alignment horizontal="center"/>
    </xf>
    <xf numFmtId="43" fontId="2" fillId="0" borderId="0" xfId="49" applyFont="1" applyFill="1" applyAlignment="1" applyProtection="1">
      <alignment horizontal="fill"/>
    </xf>
    <xf numFmtId="166" fontId="2" fillId="0" borderId="0" xfId="1" applyNumberFormat="1" applyFont="1" applyFill="1" applyAlignment="1" applyProtection="1">
      <alignment horizontal="fill"/>
    </xf>
    <xf numFmtId="44" fontId="2" fillId="0" borderId="0" xfId="54" applyFont="1" applyFill="1" applyAlignment="1" applyProtection="1">
      <alignment horizontal="center"/>
      <protection locked="0"/>
    </xf>
    <xf numFmtId="43" fontId="2" fillId="8" borderId="0" xfId="49" applyNumberFormat="1" applyFont="1" applyFill="1" applyAlignment="1" applyProtection="1">
      <alignment horizontal="right"/>
      <protection locked="0"/>
    </xf>
    <xf numFmtId="166" fontId="2" fillId="8" borderId="0" xfId="49" applyNumberFormat="1" applyFont="1" applyFill="1"/>
    <xf numFmtId="164" fontId="2" fillId="5" borderId="0" xfId="1" applyNumberFormat="1" applyFont="1" applyFill="1"/>
    <xf numFmtId="41" fontId="2" fillId="5" borderId="0" xfId="1" applyNumberFormat="1" applyFont="1" applyFill="1" applyAlignment="1" applyProtection="1">
      <alignment horizontal="center"/>
    </xf>
    <xf numFmtId="41" fontId="2" fillId="5" borderId="0" xfId="1" applyNumberFormat="1" applyFont="1" applyFill="1" applyAlignment="1">
      <alignment horizontal="center"/>
    </xf>
    <xf numFmtId="166" fontId="2" fillId="11" borderId="0" xfId="49" applyNumberFormat="1" applyFont="1" applyFill="1" applyAlignment="1" applyProtection="1">
      <alignment horizontal="center"/>
    </xf>
    <xf numFmtId="41" fontId="2" fillId="11" borderId="0" xfId="1" applyNumberFormat="1" applyFont="1" applyFill="1" applyAlignment="1">
      <alignment horizontal="center"/>
    </xf>
    <xf numFmtId="0" fontId="2" fillId="3" borderId="0" xfId="1" applyFont="1" applyFill="1" applyAlignment="1">
      <alignment horizontal="left" wrapText="1"/>
    </xf>
    <xf numFmtId="37" fontId="3" fillId="0" borderId="0" xfId="1" applyNumberFormat="1" applyFont="1" applyFill="1" applyAlignment="1" applyProtection="1">
      <alignment horizontal="center"/>
    </xf>
    <xf numFmtId="0" fontId="2" fillId="0" borderId="0" xfId="1" applyFont="1" applyFill="1" applyAlignment="1">
      <alignment horizontal="left" vertical="center" wrapText="1"/>
    </xf>
    <xf numFmtId="39" fontId="3" fillId="0" borderId="0" xfId="1" applyNumberFormat="1" applyFont="1" applyFill="1" applyAlignment="1" applyProtection="1">
      <alignment horizontal="center"/>
    </xf>
    <xf numFmtId="0" fontId="5" fillId="0" borderId="0" xfId="1" applyFont="1" applyFill="1" applyAlignment="1">
      <alignment horizontal="left"/>
    </xf>
    <xf numFmtId="0" fontId="6" fillId="0" borderId="0" xfId="1" applyFont="1" applyFill="1" applyAlignment="1">
      <alignment horizontal="left"/>
    </xf>
    <xf numFmtId="0" fontId="3" fillId="0" borderId="0" xfId="1" applyFont="1" applyFill="1" applyAlignment="1">
      <alignment horizontal="right"/>
    </xf>
    <xf numFmtId="0" fontId="9" fillId="0" borderId="0" xfId="1" applyFont="1" applyFill="1" applyAlignment="1">
      <alignment horizontal="left"/>
    </xf>
    <xf numFmtId="165" fontId="3" fillId="0" borderId="0" xfId="1" applyNumberFormat="1" applyFont="1" applyFill="1" applyAlignment="1" applyProtection="1">
      <alignment horizontal="center"/>
    </xf>
    <xf numFmtId="0" fontId="3" fillId="0" borderId="0" xfId="1" applyFont="1" applyFill="1" applyAlignment="1">
      <alignment horizontal="center"/>
    </xf>
    <xf numFmtId="0" fontId="2" fillId="6" borderId="0" xfId="1" applyFont="1" applyFill="1" applyAlignment="1">
      <alignment horizontal="left" wrapText="1"/>
    </xf>
    <xf numFmtId="168" fontId="3" fillId="0" borderId="0" xfId="1" applyNumberFormat="1" applyFont="1" applyFill="1" applyAlignment="1" applyProtection="1">
      <alignment horizontal="center"/>
    </xf>
  </cellXfs>
  <cellStyles count="55">
    <cellStyle name="Comma" xfId="49" builtinId="3"/>
    <cellStyle name="Comma 10" xfId="5"/>
    <cellStyle name="Comma 10 2" xfId="6"/>
    <cellStyle name="Comma 10 3" xfId="7"/>
    <cellStyle name="Comma 11" xfId="8"/>
    <cellStyle name="Comma 11 2" xfId="9"/>
    <cellStyle name="Comma 11 3" xfId="10"/>
    <cellStyle name="Comma 12" xfId="11"/>
    <cellStyle name="Comma 12 2" xfId="12"/>
    <cellStyle name="Comma 12 3" xfId="13"/>
    <cellStyle name="Comma 13 2" xfId="14"/>
    <cellStyle name="Comma 13 3" xfId="15"/>
    <cellStyle name="Comma 17" xfId="16"/>
    <cellStyle name="Comma 17 2" xfId="17"/>
    <cellStyle name="Comma 17 3" xfId="18"/>
    <cellStyle name="Comma 18" xfId="19"/>
    <cellStyle name="Comma 18 2" xfId="20"/>
    <cellStyle name="Comma 18 3" xfId="21"/>
    <cellStyle name="Comma 2" xfId="2"/>
    <cellStyle name="Comma 23" xfId="22"/>
    <cellStyle name="Comma 23 2" xfId="23"/>
    <cellStyle name="Comma 23 3" xfId="24"/>
    <cellStyle name="Comma 3 2" xfId="25"/>
    <cellStyle name="Comma 3 3" xfId="26"/>
    <cellStyle name="Comma 4" xfId="27"/>
    <cellStyle name="Comma 4 2" xfId="28"/>
    <cellStyle name="Comma 4 3" xfId="29"/>
    <cellStyle name="Comma 5 2" xfId="30"/>
    <cellStyle name="Comma 5 3" xfId="31"/>
    <cellStyle name="Comma 6" xfId="32"/>
    <cellStyle name="Comma 6 2" xfId="33"/>
    <cellStyle name="Comma 6 3" xfId="34"/>
    <cellStyle name="Comma 7" xfId="35"/>
    <cellStyle name="Comma 7 2" xfId="36"/>
    <cellStyle name="Comma 7 3" xfId="37"/>
    <cellStyle name="Comma 8" xfId="38"/>
    <cellStyle name="Comma 8 2" xfId="39"/>
    <cellStyle name="Comma 8 3" xfId="40"/>
    <cellStyle name="Comma 9" xfId="41"/>
    <cellStyle name="Comma 9 2" xfId="42"/>
    <cellStyle name="Comma 9 3" xfId="43"/>
    <cellStyle name="Currency" xfId="54" builtinId="4"/>
    <cellStyle name="Currency 2" xfId="48"/>
    <cellStyle name="Currency 2 2" xfId="53"/>
    <cellStyle name="Hyperlink 2" xfId="44"/>
    <cellStyle name="Normal" xfId="0" builtinId="0"/>
    <cellStyle name="Normal 2" xfId="1"/>
    <cellStyle name="Normal 2 2" xfId="3"/>
    <cellStyle name="Normal 2 2 2" xfId="50"/>
    <cellStyle name="Normal 3" xfId="4"/>
    <cellStyle name="Normal 3 2" xfId="51"/>
    <cellStyle name="Normal 4" xfId="45"/>
    <cellStyle name="Normal 5" xfId="46"/>
    <cellStyle name="Normal 5 2" xfId="52"/>
    <cellStyle name="Percent 2" xfId="47"/>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REQUEST%20BUDGET\RB%2018-19\FY17-ID%20Revenu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 Revenue by Nacubo"/>
    </sheetNames>
    <sheetDataSet>
      <sheetData sheetId="0">
        <row r="43">
          <cell r="K43">
            <v>-6438981.7600000007</v>
          </cell>
        </row>
        <row r="56">
          <cell r="L56">
            <v>-74069.168999999994</v>
          </cell>
        </row>
        <row r="60">
          <cell r="L60">
            <v>-1672</v>
          </cell>
        </row>
        <row r="61">
          <cell r="L61">
            <v>-937131.43699999992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abColor theme="3" tint="0.39997558519241921"/>
  </sheetPr>
  <dimension ref="A2:IT130"/>
  <sheetViews>
    <sheetView showGridLines="0" tabSelected="1" view="pageBreakPreview" zoomScale="75" zoomScaleNormal="75" zoomScaleSheetLayoutView="75" workbookViewId="0">
      <selection activeCell="A2" sqref="A2"/>
    </sheetView>
  </sheetViews>
  <sheetFormatPr defaultColWidth="9.625" defaultRowHeight="12"/>
  <cols>
    <col min="1" max="1" width="4.625" style="1" customWidth="1"/>
    <col min="2" max="2" width="1.875" style="1" customWidth="1"/>
    <col min="3" max="3" width="30.625" style="1" customWidth="1"/>
    <col min="4" max="4" width="28.625" style="1" customWidth="1"/>
    <col min="5" max="5" width="8.125" style="1" customWidth="1"/>
    <col min="6" max="6" width="7.5" style="1" customWidth="1"/>
    <col min="7" max="7" width="14.875" style="2" customWidth="1"/>
    <col min="8" max="8" width="14.875" style="3" customWidth="1"/>
    <col min="9" max="9" width="6.625" style="1" customWidth="1"/>
    <col min="10" max="10" width="13.25" style="2" customWidth="1"/>
    <col min="11" max="11" width="19.875" style="3" customWidth="1"/>
    <col min="12" max="256" width="9.625" style="1"/>
    <col min="257" max="257" width="4.625" style="1" customWidth="1"/>
    <col min="258" max="258" width="1.875" style="1" customWidth="1"/>
    <col min="259" max="259" width="30.625" style="1" customWidth="1"/>
    <col min="260" max="260" width="28.625" style="1" customWidth="1"/>
    <col min="261" max="261" width="8.125" style="1" customWidth="1"/>
    <col min="262" max="262" width="7.5" style="1" customWidth="1"/>
    <col min="263" max="264" width="14.875" style="1" customWidth="1"/>
    <col min="265" max="265" width="6.625" style="1" customWidth="1"/>
    <col min="266" max="266" width="13.25" style="1" customWidth="1"/>
    <col min="267" max="267" width="17" style="1" customWidth="1"/>
    <col min="268" max="512" width="9.625" style="1"/>
    <col min="513" max="513" width="4.625" style="1" customWidth="1"/>
    <col min="514" max="514" width="1.875" style="1" customWidth="1"/>
    <col min="515" max="515" width="30.625" style="1" customWidth="1"/>
    <col min="516" max="516" width="28.625" style="1" customWidth="1"/>
    <col min="517" max="517" width="8.125" style="1" customWidth="1"/>
    <col min="518" max="518" width="7.5" style="1" customWidth="1"/>
    <col min="519" max="520" width="14.875" style="1" customWidth="1"/>
    <col min="521" max="521" width="6.625" style="1" customWidth="1"/>
    <col min="522" max="522" width="13.25" style="1" customWidth="1"/>
    <col min="523" max="523" width="17" style="1" customWidth="1"/>
    <col min="524" max="768" width="9.625" style="1"/>
    <col min="769" max="769" width="4.625" style="1" customWidth="1"/>
    <col min="770" max="770" width="1.875" style="1" customWidth="1"/>
    <col min="771" max="771" width="30.625" style="1" customWidth="1"/>
    <col min="772" max="772" width="28.625" style="1" customWidth="1"/>
    <col min="773" max="773" width="8.125" style="1" customWidth="1"/>
    <col min="774" max="774" width="7.5" style="1" customWidth="1"/>
    <col min="775" max="776" width="14.875" style="1" customWidth="1"/>
    <col min="777" max="777" width="6.625" style="1" customWidth="1"/>
    <col min="778" max="778" width="13.25" style="1" customWidth="1"/>
    <col min="779" max="779" width="17" style="1" customWidth="1"/>
    <col min="780" max="1024" width="9.625" style="1"/>
    <col min="1025" max="1025" width="4.625" style="1" customWidth="1"/>
    <col min="1026" max="1026" width="1.875" style="1" customWidth="1"/>
    <col min="1027" max="1027" width="30.625" style="1" customWidth="1"/>
    <col min="1028" max="1028" width="28.625" style="1" customWidth="1"/>
    <col min="1029" max="1029" width="8.125" style="1" customWidth="1"/>
    <col min="1030" max="1030" width="7.5" style="1" customWidth="1"/>
    <col min="1031" max="1032" width="14.875" style="1" customWidth="1"/>
    <col min="1033" max="1033" width="6.625" style="1" customWidth="1"/>
    <col min="1034" max="1034" width="13.25" style="1" customWidth="1"/>
    <col min="1035" max="1035" width="17" style="1" customWidth="1"/>
    <col min="1036" max="1280" width="9.625" style="1"/>
    <col min="1281" max="1281" width="4.625" style="1" customWidth="1"/>
    <col min="1282" max="1282" width="1.875" style="1" customWidth="1"/>
    <col min="1283" max="1283" width="30.625" style="1" customWidth="1"/>
    <col min="1284" max="1284" width="28.625" style="1" customWidth="1"/>
    <col min="1285" max="1285" width="8.125" style="1" customWidth="1"/>
    <col min="1286" max="1286" width="7.5" style="1" customWidth="1"/>
    <col min="1287" max="1288" width="14.875" style="1" customWidth="1"/>
    <col min="1289" max="1289" width="6.625" style="1" customWidth="1"/>
    <col min="1290" max="1290" width="13.25" style="1" customWidth="1"/>
    <col min="1291" max="1291" width="17" style="1" customWidth="1"/>
    <col min="1292" max="1536" width="9.625" style="1"/>
    <col min="1537" max="1537" width="4.625" style="1" customWidth="1"/>
    <col min="1538" max="1538" width="1.875" style="1" customWidth="1"/>
    <col min="1539" max="1539" width="30.625" style="1" customWidth="1"/>
    <col min="1540" max="1540" width="28.625" style="1" customWidth="1"/>
    <col min="1541" max="1541" width="8.125" style="1" customWidth="1"/>
    <col min="1542" max="1542" width="7.5" style="1" customWidth="1"/>
    <col min="1543" max="1544" width="14.875" style="1" customWidth="1"/>
    <col min="1545" max="1545" width="6.625" style="1" customWidth="1"/>
    <col min="1546" max="1546" width="13.25" style="1" customWidth="1"/>
    <col min="1547" max="1547" width="17" style="1" customWidth="1"/>
    <col min="1548" max="1792" width="9.625" style="1"/>
    <col min="1793" max="1793" width="4.625" style="1" customWidth="1"/>
    <col min="1794" max="1794" width="1.875" style="1" customWidth="1"/>
    <col min="1795" max="1795" width="30.625" style="1" customWidth="1"/>
    <col min="1796" max="1796" width="28.625" style="1" customWidth="1"/>
    <col min="1797" max="1797" width="8.125" style="1" customWidth="1"/>
    <col min="1798" max="1798" width="7.5" style="1" customWidth="1"/>
    <col min="1799" max="1800" width="14.875" style="1" customWidth="1"/>
    <col min="1801" max="1801" width="6.625" style="1" customWidth="1"/>
    <col min="1802" max="1802" width="13.25" style="1" customWidth="1"/>
    <col min="1803" max="1803" width="17" style="1" customWidth="1"/>
    <col min="1804" max="2048" width="9.625" style="1"/>
    <col min="2049" max="2049" width="4.625" style="1" customWidth="1"/>
    <col min="2050" max="2050" width="1.875" style="1" customWidth="1"/>
    <col min="2051" max="2051" width="30.625" style="1" customWidth="1"/>
    <col min="2052" max="2052" width="28.625" style="1" customWidth="1"/>
    <col min="2053" max="2053" width="8.125" style="1" customWidth="1"/>
    <col min="2054" max="2054" width="7.5" style="1" customWidth="1"/>
    <col min="2055" max="2056" width="14.875" style="1" customWidth="1"/>
    <col min="2057" max="2057" width="6.625" style="1" customWidth="1"/>
    <col min="2058" max="2058" width="13.25" style="1" customWidth="1"/>
    <col min="2059" max="2059" width="17" style="1" customWidth="1"/>
    <col min="2060" max="2304" width="9.625" style="1"/>
    <col min="2305" max="2305" width="4.625" style="1" customWidth="1"/>
    <col min="2306" max="2306" width="1.875" style="1" customWidth="1"/>
    <col min="2307" max="2307" width="30.625" style="1" customWidth="1"/>
    <col min="2308" max="2308" width="28.625" style="1" customWidth="1"/>
    <col min="2309" max="2309" width="8.125" style="1" customWidth="1"/>
    <col min="2310" max="2310" width="7.5" style="1" customWidth="1"/>
    <col min="2311" max="2312" width="14.875" style="1" customWidth="1"/>
    <col min="2313" max="2313" width="6.625" style="1" customWidth="1"/>
    <col min="2314" max="2314" width="13.25" style="1" customWidth="1"/>
    <col min="2315" max="2315" width="17" style="1" customWidth="1"/>
    <col min="2316" max="2560" width="9.625" style="1"/>
    <col min="2561" max="2561" width="4.625" style="1" customWidth="1"/>
    <col min="2562" max="2562" width="1.875" style="1" customWidth="1"/>
    <col min="2563" max="2563" width="30.625" style="1" customWidth="1"/>
    <col min="2564" max="2564" width="28.625" style="1" customWidth="1"/>
    <col min="2565" max="2565" width="8.125" style="1" customWidth="1"/>
    <col min="2566" max="2566" width="7.5" style="1" customWidth="1"/>
    <col min="2567" max="2568" width="14.875" style="1" customWidth="1"/>
    <col min="2569" max="2569" width="6.625" style="1" customWidth="1"/>
    <col min="2570" max="2570" width="13.25" style="1" customWidth="1"/>
    <col min="2571" max="2571" width="17" style="1" customWidth="1"/>
    <col min="2572" max="2816" width="9.625" style="1"/>
    <col min="2817" max="2817" width="4.625" style="1" customWidth="1"/>
    <col min="2818" max="2818" width="1.875" style="1" customWidth="1"/>
    <col min="2819" max="2819" width="30.625" style="1" customWidth="1"/>
    <col min="2820" max="2820" width="28.625" style="1" customWidth="1"/>
    <col min="2821" max="2821" width="8.125" style="1" customWidth="1"/>
    <col min="2822" max="2822" width="7.5" style="1" customWidth="1"/>
    <col min="2823" max="2824" width="14.875" style="1" customWidth="1"/>
    <col min="2825" max="2825" width="6.625" style="1" customWidth="1"/>
    <col min="2826" max="2826" width="13.25" style="1" customWidth="1"/>
    <col min="2827" max="2827" width="17" style="1" customWidth="1"/>
    <col min="2828" max="3072" width="9.625" style="1"/>
    <col min="3073" max="3073" width="4.625" style="1" customWidth="1"/>
    <col min="3074" max="3074" width="1.875" style="1" customWidth="1"/>
    <col min="3075" max="3075" width="30.625" style="1" customWidth="1"/>
    <col min="3076" max="3076" width="28.625" style="1" customWidth="1"/>
    <col min="3077" max="3077" width="8.125" style="1" customWidth="1"/>
    <col min="3078" max="3078" width="7.5" style="1" customWidth="1"/>
    <col min="3079" max="3080" width="14.875" style="1" customWidth="1"/>
    <col min="3081" max="3081" width="6.625" style="1" customWidth="1"/>
    <col min="3082" max="3082" width="13.25" style="1" customWidth="1"/>
    <col min="3083" max="3083" width="17" style="1" customWidth="1"/>
    <col min="3084" max="3328" width="9.625" style="1"/>
    <col min="3329" max="3329" width="4.625" style="1" customWidth="1"/>
    <col min="3330" max="3330" width="1.875" style="1" customWidth="1"/>
    <col min="3331" max="3331" width="30.625" style="1" customWidth="1"/>
    <col min="3332" max="3332" width="28.625" style="1" customWidth="1"/>
    <col min="3333" max="3333" width="8.125" style="1" customWidth="1"/>
    <col min="3334" max="3334" width="7.5" style="1" customWidth="1"/>
    <col min="3335" max="3336" width="14.875" style="1" customWidth="1"/>
    <col min="3337" max="3337" width="6.625" style="1" customWidth="1"/>
    <col min="3338" max="3338" width="13.25" style="1" customWidth="1"/>
    <col min="3339" max="3339" width="17" style="1" customWidth="1"/>
    <col min="3340" max="3584" width="9.625" style="1"/>
    <col min="3585" max="3585" width="4.625" style="1" customWidth="1"/>
    <col min="3586" max="3586" width="1.875" style="1" customWidth="1"/>
    <col min="3587" max="3587" width="30.625" style="1" customWidth="1"/>
    <col min="3588" max="3588" width="28.625" style="1" customWidth="1"/>
    <col min="3589" max="3589" width="8.125" style="1" customWidth="1"/>
    <col min="3590" max="3590" width="7.5" style="1" customWidth="1"/>
    <col min="3591" max="3592" width="14.875" style="1" customWidth="1"/>
    <col min="3593" max="3593" width="6.625" style="1" customWidth="1"/>
    <col min="3594" max="3594" width="13.25" style="1" customWidth="1"/>
    <col min="3595" max="3595" width="17" style="1" customWidth="1"/>
    <col min="3596" max="3840" width="9.625" style="1"/>
    <col min="3841" max="3841" width="4.625" style="1" customWidth="1"/>
    <col min="3842" max="3842" width="1.875" style="1" customWidth="1"/>
    <col min="3843" max="3843" width="30.625" style="1" customWidth="1"/>
    <col min="3844" max="3844" width="28.625" style="1" customWidth="1"/>
    <col min="3845" max="3845" width="8.125" style="1" customWidth="1"/>
    <col min="3846" max="3846" width="7.5" style="1" customWidth="1"/>
    <col min="3847" max="3848" width="14.875" style="1" customWidth="1"/>
    <col min="3849" max="3849" width="6.625" style="1" customWidth="1"/>
    <col min="3850" max="3850" width="13.25" style="1" customWidth="1"/>
    <col min="3851" max="3851" width="17" style="1" customWidth="1"/>
    <col min="3852" max="4096" width="9.625" style="1"/>
    <col min="4097" max="4097" width="4.625" style="1" customWidth="1"/>
    <col min="4098" max="4098" width="1.875" style="1" customWidth="1"/>
    <col min="4099" max="4099" width="30.625" style="1" customWidth="1"/>
    <col min="4100" max="4100" width="28.625" style="1" customWidth="1"/>
    <col min="4101" max="4101" width="8.125" style="1" customWidth="1"/>
    <col min="4102" max="4102" width="7.5" style="1" customWidth="1"/>
    <col min="4103" max="4104" width="14.875" style="1" customWidth="1"/>
    <col min="4105" max="4105" width="6.625" style="1" customWidth="1"/>
    <col min="4106" max="4106" width="13.25" style="1" customWidth="1"/>
    <col min="4107" max="4107" width="17" style="1" customWidth="1"/>
    <col min="4108" max="4352" width="9.625" style="1"/>
    <col min="4353" max="4353" width="4.625" style="1" customWidth="1"/>
    <col min="4354" max="4354" width="1.875" style="1" customWidth="1"/>
    <col min="4355" max="4355" width="30.625" style="1" customWidth="1"/>
    <col min="4356" max="4356" width="28.625" style="1" customWidth="1"/>
    <col min="4357" max="4357" width="8.125" style="1" customWidth="1"/>
    <col min="4358" max="4358" width="7.5" style="1" customWidth="1"/>
    <col min="4359" max="4360" width="14.875" style="1" customWidth="1"/>
    <col min="4361" max="4361" width="6.625" style="1" customWidth="1"/>
    <col min="4362" max="4362" width="13.25" style="1" customWidth="1"/>
    <col min="4363" max="4363" width="17" style="1" customWidth="1"/>
    <col min="4364" max="4608" width="9.625" style="1"/>
    <col min="4609" max="4609" width="4.625" style="1" customWidth="1"/>
    <col min="4610" max="4610" width="1.875" style="1" customWidth="1"/>
    <col min="4611" max="4611" width="30.625" style="1" customWidth="1"/>
    <col min="4612" max="4612" width="28.625" style="1" customWidth="1"/>
    <col min="4613" max="4613" width="8.125" style="1" customWidth="1"/>
    <col min="4614" max="4614" width="7.5" style="1" customWidth="1"/>
    <col min="4615" max="4616" width="14.875" style="1" customWidth="1"/>
    <col min="4617" max="4617" width="6.625" style="1" customWidth="1"/>
    <col min="4618" max="4618" width="13.25" style="1" customWidth="1"/>
    <col min="4619" max="4619" width="17" style="1" customWidth="1"/>
    <col min="4620" max="4864" width="9.625" style="1"/>
    <col min="4865" max="4865" width="4.625" style="1" customWidth="1"/>
    <col min="4866" max="4866" width="1.875" style="1" customWidth="1"/>
    <col min="4867" max="4867" width="30.625" style="1" customWidth="1"/>
    <col min="4868" max="4868" width="28.625" style="1" customWidth="1"/>
    <col min="4869" max="4869" width="8.125" style="1" customWidth="1"/>
    <col min="4870" max="4870" width="7.5" style="1" customWidth="1"/>
    <col min="4871" max="4872" width="14.875" style="1" customWidth="1"/>
    <col min="4873" max="4873" width="6.625" style="1" customWidth="1"/>
    <col min="4874" max="4874" width="13.25" style="1" customWidth="1"/>
    <col min="4875" max="4875" width="17" style="1" customWidth="1"/>
    <col min="4876" max="5120" width="9.625" style="1"/>
    <col min="5121" max="5121" width="4.625" style="1" customWidth="1"/>
    <col min="5122" max="5122" width="1.875" style="1" customWidth="1"/>
    <col min="5123" max="5123" width="30.625" style="1" customWidth="1"/>
    <col min="5124" max="5124" width="28.625" style="1" customWidth="1"/>
    <col min="5125" max="5125" width="8.125" style="1" customWidth="1"/>
    <col min="5126" max="5126" width="7.5" style="1" customWidth="1"/>
    <col min="5127" max="5128" width="14.875" style="1" customWidth="1"/>
    <col min="5129" max="5129" width="6.625" style="1" customWidth="1"/>
    <col min="5130" max="5130" width="13.25" style="1" customWidth="1"/>
    <col min="5131" max="5131" width="17" style="1" customWidth="1"/>
    <col min="5132" max="5376" width="9.625" style="1"/>
    <col min="5377" max="5377" width="4.625" style="1" customWidth="1"/>
    <col min="5378" max="5378" width="1.875" style="1" customWidth="1"/>
    <col min="5379" max="5379" width="30.625" style="1" customWidth="1"/>
    <col min="5380" max="5380" width="28.625" style="1" customWidth="1"/>
    <col min="5381" max="5381" width="8.125" style="1" customWidth="1"/>
    <col min="5382" max="5382" width="7.5" style="1" customWidth="1"/>
    <col min="5383" max="5384" width="14.875" style="1" customWidth="1"/>
    <col min="5385" max="5385" width="6.625" style="1" customWidth="1"/>
    <col min="5386" max="5386" width="13.25" style="1" customWidth="1"/>
    <col min="5387" max="5387" width="17" style="1" customWidth="1"/>
    <col min="5388" max="5632" width="9.625" style="1"/>
    <col min="5633" max="5633" width="4.625" style="1" customWidth="1"/>
    <col min="5634" max="5634" width="1.875" style="1" customWidth="1"/>
    <col min="5635" max="5635" width="30.625" style="1" customWidth="1"/>
    <col min="5636" max="5636" width="28.625" style="1" customWidth="1"/>
    <col min="5637" max="5637" width="8.125" style="1" customWidth="1"/>
    <col min="5638" max="5638" width="7.5" style="1" customWidth="1"/>
    <col min="5639" max="5640" width="14.875" style="1" customWidth="1"/>
    <col min="5641" max="5641" width="6.625" style="1" customWidth="1"/>
    <col min="5642" max="5642" width="13.25" style="1" customWidth="1"/>
    <col min="5643" max="5643" width="17" style="1" customWidth="1"/>
    <col min="5644" max="5888" width="9.625" style="1"/>
    <col min="5889" max="5889" width="4.625" style="1" customWidth="1"/>
    <col min="5890" max="5890" width="1.875" style="1" customWidth="1"/>
    <col min="5891" max="5891" width="30.625" style="1" customWidth="1"/>
    <col min="5892" max="5892" width="28.625" style="1" customWidth="1"/>
    <col min="5893" max="5893" width="8.125" style="1" customWidth="1"/>
    <col min="5894" max="5894" width="7.5" style="1" customWidth="1"/>
    <col min="5895" max="5896" width="14.875" style="1" customWidth="1"/>
    <col min="5897" max="5897" width="6.625" style="1" customWidth="1"/>
    <col min="5898" max="5898" width="13.25" style="1" customWidth="1"/>
    <col min="5899" max="5899" width="17" style="1" customWidth="1"/>
    <col min="5900" max="6144" width="9.625" style="1"/>
    <col min="6145" max="6145" width="4.625" style="1" customWidth="1"/>
    <col min="6146" max="6146" width="1.875" style="1" customWidth="1"/>
    <col min="6147" max="6147" width="30.625" style="1" customWidth="1"/>
    <col min="6148" max="6148" width="28.625" style="1" customWidth="1"/>
    <col min="6149" max="6149" width="8.125" style="1" customWidth="1"/>
    <col min="6150" max="6150" width="7.5" style="1" customWidth="1"/>
    <col min="6151" max="6152" width="14.875" style="1" customWidth="1"/>
    <col min="6153" max="6153" width="6.625" style="1" customWidth="1"/>
    <col min="6154" max="6154" width="13.25" style="1" customWidth="1"/>
    <col min="6155" max="6155" width="17" style="1" customWidth="1"/>
    <col min="6156" max="6400" width="9.625" style="1"/>
    <col min="6401" max="6401" width="4.625" style="1" customWidth="1"/>
    <col min="6402" max="6402" width="1.875" style="1" customWidth="1"/>
    <col min="6403" max="6403" width="30.625" style="1" customWidth="1"/>
    <col min="6404" max="6404" width="28.625" style="1" customWidth="1"/>
    <col min="6405" max="6405" width="8.125" style="1" customWidth="1"/>
    <col min="6406" max="6406" width="7.5" style="1" customWidth="1"/>
    <col min="6407" max="6408" width="14.875" style="1" customWidth="1"/>
    <col min="6409" max="6409" width="6.625" style="1" customWidth="1"/>
    <col min="6410" max="6410" width="13.25" style="1" customWidth="1"/>
    <col min="6411" max="6411" width="17" style="1" customWidth="1"/>
    <col min="6412" max="6656" width="9.625" style="1"/>
    <col min="6657" max="6657" width="4.625" style="1" customWidth="1"/>
    <col min="6658" max="6658" width="1.875" style="1" customWidth="1"/>
    <col min="6659" max="6659" width="30.625" style="1" customWidth="1"/>
    <col min="6660" max="6660" width="28.625" style="1" customWidth="1"/>
    <col min="6661" max="6661" width="8.125" style="1" customWidth="1"/>
    <col min="6662" max="6662" width="7.5" style="1" customWidth="1"/>
    <col min="6663" max="6664" width="14.875" style="1" customWidth="1"/>
    <col min="6665" max="6665" width="6.625" style="1" customWidth="1"/>
    <col min="6666" max="6666" width="13.25" style="1" customWidth="1"/>
    <col min="6667" max="6667" width="17" style="1" customWidth="1"/>
    <col min="6668" max="6912" width="9.625" style="1"/>
    <col min="6913" max="6913" width="4.625" style="1" customWidth="1"/>
    <col min="6914" max="6914" width="1.875" style="1" customWidth="1"/>
    <col min="6915" max="6915" width="30.625" style="1" customWidth="1"/>
    <col min="6916" max="6916" width="28.625" style="1" customWidth="1"/>
    <col min="6917" max="6917" width="8.125" style="1" customWidth="1"/>
    <col min="6918" max="6918" width="7.5" style="1" customWidth="1"/>
    <col min="6919" max="6920" width="14.875" style="1" customWidth="1"/>
    <col min="6921" max="6921" width="6.625" style="1" customWidth="1"/>
    <col min="6922" max="6922" width="13.25" style="1" customWidth="1"/>
    <col min="6923" max="6923" width="17" style="1" customWidth="1"/>
    <col min="6924" max="7168" width="9.625" style="1"/>
    <col min="7169" max="7169" width="4.625" style="1" customWidth="1"/>
    <col min="7170" max="7170" width="1.875" style="1" customWidth="1"/>
    <col min="7171" max="7171" width="30.625" style="1" customWidth="1"/>
    <col min="7172" max="7172" width="28.625" style="1" customWidth="1"/>
    <col min="7173" max="7173" width="8.125" style="1" customWidth="1"/>
    <col min="7174" max="7174" width="7.5" style="1" customWidth="1"/>
    <col min="7175" max="7176" width="14.875" style="1" customWidth="1"/>
    <col min="7177" max="7177" width="6.625" style="1" customWidth="1"/>
    <col min="7178" max="7178" width="13.25" style="1" customWidth="1"/>
    <col min="7179" max="7179" width="17" style="1" customWidth="1"/>
    <col min="7180" max="7424" width="9.625" style="1"/>
    <col min="7425" max="7425" width="4.625" style="1" customWidth="1"/>
    <col min="7426" max="7426" width="1.875" style="1" customWidth="1"/>
    <col min="7427" max="7427" width="30.625" style="1" customWidth="1"/>
    <col min="7428" max="7428" width="28.625" style="1" customWidth="1"/>
    <col min="7429" max="7429" width="8.125" style="1" customWidth="1"/>
    <col min="7430" max="7430" width="7.5" style="1" customWidth="1"/>
    <col min="7431" max="7432" width="14.875" style="1" customWidth="1"/>
    <col min="7433" max="7433" width="6.625" style="1" customWidth="1"/>
    <col min="7434" max="7434" width="13.25" style="1" customWidth="1"/>
    <col min="7435" max="7435" width="17" style="1" customWidth="1"/>
    <col min="7436" max="7680" width="9.625" style="1"/>
    <col min="7681" max="7681" width="4.625" style="1" customWidth="1"/>
    <col min="7682" max="7682" width="1.875" style="1" customWidth="1"/>
    <col min="7683" max="7683" width="30.625" style="1" customWidth="1"/>
    <col min="7684" max="7684" width="28.625" style="1" customWidth="1"/>
    <col min="7685" max="7685" width="8.125" style="1" customWidth="1"/>
    <col min="7686" max="7686" width="7.5" style="1" customWidth="1"/>
    <col min="7687" max="7688" width="14.875" style="1" customWidth="1"/>
    <col min="7689" max="7689" width="6.625" style="1" customWidth="1"/>
    <col min="7690" max="7690" width="13.25" style="1" customWidth="1"/>
    <col min="7691" max="7691" width="17" style="1" customWidth="1"/>
    <col min="7692" max="7936" width="9.625" style="1"/>
    <col min="7937" max="7937" width="4.625" style="1" customWidth="1"/>
    <col min="7938" max="7938" width="1.875" style="1" customWidth="1"/>
    <col min="7939" max="7939" width="30.625" style="1" customWidth="1"/>
    <col min="7940" max="7940" width="28.625" style="1" customWidth="1"/>
    <col min="7941" max="7941" width="8.125" style="1" customWidth="1"/>
    <col min="7942" max="7942" width="7.5" style="1" customWidth="1"/>
    <col min="7943" max="7944" width="14.875" style="1" customWidth="1"/>
    <col min="7945" max="7945" width="6.625" style="1" customWidth="1"/>
    <col min="7946" max="7946" width="13.25" style="1" customWidth="1"/>
    <col min="7947" max="7947" width="17" style="1" customWidth="1"/>
    <col min="7948" max="8192" width="9.625" style="1"/>
    <col min="8193" max="8193" width="4.625" style="1" customWidth="1"/>
    <col min="8194" max="8194" width="1.875" style="1" customWidth="1"/>
    <col min="8195" max="8195" width="30.625" style="1" customWidth="1"/>
    <col min="8196" max="8196" width="28.625" style="1" customWidth="1"/>
    <col min="8197" max="8197" width="8.125" style="1" customWidth="1"/>
    <col min="8198" max="8198" width="7.5" style="1" customWidth="1"/>
    <col min="8199" max="8200" width="14.875" style="1" customWidth="1"/>
    <col min="8201" max="8201" width="6.625" style="1" customWidth="1"/>
    <col min="8202" max="8202" width="13.25" style="1" customWidth="1"/>
    <col min="8203" max="8203" width="17" style="1" customWidth="1"/>
    <col min="8204" max="8448" width="9.625" style="1"/>
    <col min="8449" max="8449" width="4.625" style="1" customWidth="1"/>
    <col min="8450" max="8450" width="1.875" style="1" customWidth="1"/>
    <col min="8451" max="8451" width="30.625" style="1" customWidth="1"/>
    <col min="8452" max="8452" width="28.625" style="1" customWidth="1"/>
    <col min="8453" max="8453" width="8.125" style="1" customWidth="1"/>
    <col min="8454" max="8454" width="7.5" style="1" customWidth="1"/>
    <col min="8455" max="8456" width="14.875" style="1" customWidth="1"/>
    <col min="8457" max="8457" width="6.625" style="1" customWidth="1"/>
    <col min="8458" max="8458" width="13.25" style="1" customWidth="1"/>
    <col min="8459" max="8459" width="17" style="1" customWidth="1"/>
    <col min="8460" max="8704" width="9.625" style="1"/>
    <col min="8705" max="8705" width="4.625" style="1" customWidth="1"/>
    <col min="8706" max="8706" width="1.875" style="1" customWidth="1"/>
    <col min="8707" max="8707" width="30.625" style="1" customWidth="1"/>
    <col min="8708" max="8708" width="28.625" style="1" customWidth="1"/>
    <col min="8709" max="8709" width="8.125" style="1" customWidth="1"/>
    <col min="8710" max="8710" width="7.5" style="1" customWidth="1"/>
    <col min="8711" max="8712" width="14.875" style="1" customWidth="1"/>
    <col min="8713" max="8713" width="6.625" style="1" customWidth="1"/>
    <col min="8714" max="8714" width="13.25" style="1" customWidth="1"/>
    <col min="8715" max="8715" width="17" style="1" customWidth="1"/>
    <col min="8716" max="8960" width="9.625" style="1"/>
    <col min="8961" max="8961" width="4.625" style="1" customWidth="1"/>
    <col min="8962" max="8962" width="1.875" style="1" customWidth="1"/>
    <col min="8963" max="8963" width="30.625" style="1" customWidth="1"/>
    <col min="8964" max="8964" width="28.625" style="1" customWidth="1"/>
    <col min="8965" max="8965" width="8.125" style="1" customWidth="1"/>
    <col min="8966" max="8966" width="7.5" style="1" customWidth="1"/>
    <col min="8967" max="8968" width="14.875" style="1" customWidth="1"/>
    <col min="8969" max="8969" width="6.625" style="1" customWidth="1"/>
    <col min="8970" max="8970" width="13.25" style="1" customWidth="1"/>
    <col min="8971" max="8971" width="17" style="1" customWidth="1"/>
    <col min="8972" max="9216" width="9.625" style="1"/>
    <col min="9217" max="9217" width="4.625" style="1" customWidth="1"/>
    <col min="9218" max="9218" width="1.875" style="1" customWidth="1"/>
    <col min="9219" max="9219" width="30.625" style="1" customWidth="1"/>
    <col min="9220" max="9220" width="28.625" style="1" customWidth="1"/>
    <col min="9221" max="9221" width="8.125" style="1" customWidth="1"/>
    <col min="9222" max="9222" width="7.5" style="1" customWidth="1"/>
    <col min="9223" max="9224" width="14.875" style="1" customWidth="1"/>
    <col min="9225" max="9225" width="6.625" style="1" customWidth="1"/>
    <col min="9226" max="9226" width="13.25" style="1" customWidth="1"/>
    <col min="9227" max="9227" width="17" style="1" customWidth="1"/>
    <col min="9228" max="9472" width="9.625" style="1"/>
    <col min="9473" max="9473" width="4.625" style="1" customWidth="1"/>
    <col min="9474" max="9474" width="1.875" style="1" customWidth="1"/>
    <col min="9475" max="9475" width="30.625" style="1" customWidth="1"/>
    <col min="9476" max="9476" width="28.625" style="1" customWidth="1"/>
    <col min="9477" max="9477" width="8.125" style="1" customWidth="1"/>
    <col min="9478" max="9478" width="7.5" style="1" customWidth="1"/>
    <col min="9479" max="9480" width="14.875" style="1" customWidth="1"/>
    <col min="9481" max="9481" width="6.625" style="1" customWidth="1"/>
    <col min="9482" max="9482" width="13.25" style="1" customWidth="1"/>
    <col min="9483" max="9483" width="17" style="1" customWidth="1"/>
    <col min="9484" max="9728" width="9.625" style="1"/>
    <col min="9729" max="9729" width="4.625" style="1" customWidth="1"/>
    <col min="9730" max="9730" width="1.875" style="1" customWidth="1"/>
    <col min="9731" max="9731" width="30.625" style="1" customWidth="1"/>
    <col min="9732" max="9732" width="28.625" style="1" customWidth="1"/>
    <col min="9733" max="9733" width="8.125" style="1" customWidth="1"/>
    <col min="9734" max="9734" width="7.5" style="1" customWidth="1"/>
    <col min="9735" max="9736" width="14.875" style="1" customWidth="1"/>
    <col min="9737" max="9737" width="6.625" style="1" customWidth="1"/>
    <col min="9738" max="9738" width="13.25" style="1" customWidth="1"/>
    <col min="9739" max="9739" width="17" style="1" customWidth="1"/>
    <col min="9740" max="9984" width="9.625" style="1"/>
    <col min="9985" max="9985" width="4.625" style="1" customWidth="1"/>
    <col min="9986" max="9986" width="1.875" style="1" customWidth="1"/>
    <col min="9987" max="9987" width="30.625" style="1" customWidth="1"/>
    <col min="9988" max="9988" width="28.625" style="1" customWidth="1"/>
    <col min="9989" max="9989" width="8.125" style="1" customWidth="1"/>
    <col min="9990" max="9990" width="7.5" style="1" customWidth="1"/>
    <col min="9991" max="9992" width="14.875" style="1" customWidth="1"/>
    <col min="9993" max="9993" width="6.625" style="1" customWidth="1"/>
    <col min="9994" max="9994" width="13.25" style="1" customWidth="1"/>
    <col min="9995" max="9995" width="17" style="1" customWidth="1"/>
    <col min="9996" max="10240" width="9.625" style="1"/>
    <col min="10241" max="10241" width="4.625" style="1" customWidth="1"/>
    <col min="10242" max="10242" width="1.875" style="1" customWidth="1"/>
    <col min="10243" max="10243" width="30.625" style="1" customWidth="1"/>
    <col min="10244" max="10244" width="28.625" style="1" customWidth="1"/>
    <col min="10245" max="10245" width="8.125" style="1" customWidth="1"/>
    <col min="10246" max="10246" width="7.5" style="1" customWidth="1"/>
    <col min="10247" max="10248" width="14.875" style="1" customWidth="1"/>
    <col min="10249" max="10249" width="6.625" style="1" customWidth="1"/>
    <col min="10250" max="10250" width="13.25" style="1" customWidth="1"/>
    <col min="10251" max="10251" width="17" style="1" customWidth="1"/>
    <col min="10252" max="10496" width="9.625" style="1"/>
    <col min="10497" max="10497" width="4.625" style="1" customWidth="1"/>
    <col min="10498" max="10498" width="1.875" style="1" customWidth="1"/>
    <col min="10499" max="10499" width="30.625" style="1" customWidth="1"/>
    <col min="10500" max="10500" width="28.625" style="1" customWidth="1"/>
    <col min="10501" max="10501" width="8.125" style="1" customWidth="1"/>
    <col min="10502" max="10502" width="7.5" style="1" customWidth="1"/>
    <col min="10503" max="10504" width="14.875" style="1" customWidth="1"/>
    <col min="10505" max="10505" width="6.625" style="1" customWidth="1"/>
    <col min="10506" max="10506" width="13.25" style="1" customWidth="1"/>
    <col min="10507" max="10507" width="17" style="1" customWidth="1"/>
    <col min="10508" max="10752" width="9.625" style="1"/>
    <col min="10753" max="10753" width="4.625" style="1" customWidth="1"/>
    <col min="10754" max="10754" width="1.875" style="1" customWidth="1"/>
    <col min="10755" max="10755" width="30.625" style="1" customWidth="1"/>
    <col min="10756" max="10756" width="28.625" style="1" customWidth="1"/>
    <col min="10757" max="10757" width="8.125" style="1" customWidth="1"/>
    <col min="10758" max="10758" width="7.5" style="1" customWidth="1"/>
    <col min="10759" max="10760" width="14.875" style="1" customWidth="1"/>
    <col min="10761" max="10761" width="6.625" style="1" customWidth="1"/>
    <col min="10762" max="10762" width="13.25" style="1" customWidth="1"/>
    <col min="10763" max="10763" width="17" style="1" customWidth="1"/>
    <col min="10764" max="11008" width="9.625" style="1"/>
    <col min="11009" max="11009" width="4.625" style="1" customWidth="1"/>
    <col min="11010" max="11010" width="1.875" style="1" customWidth="1"/>
    <col min="11011" max="11011" width="30.625" style="1" customWidth="1"/>
    <col min="11012" max="11012" width="28.625" style="1" customWidth="1"/>
    <col min="11013" max="11013" width="8.125" style="1" customWidth="1"/>
    <col min="11014" max="11014" width="7.5" style="1" customWidth="1"/>
    <col min="11015" max="11016" width="14.875" style="1" customWidth="1"/>
    <col min="11017" max="11017" width="6.625" style="1" customWidth="1"/>
    <col min="11018" max="11018" width="13.25" style="1" customWidth="1"/>
    <col min="11019" max="11019" width="17" style="1" customWidth="1"/>
    <col min="11020" max="11264" width="9.625" style="1"/>
    <col min="11265" max="11265" width="4.625" style="1" customWidth="1"/>
    <col min="11266" max="11266" width="1.875" style="1" customWidth="1"/>
    <col min="11267" max="11267" width="30.625" style="1" customWidth="1"/>
    <col min="11268" max="11268" width="28.625" style="1" customWidth="1"/>
    <col min="11269" max="11269" width="8.125" style="1" customWidth="1"/>
    <col min="11270" max="11270" width="7.5" style="1" customWidth="1"/>
    <col min="11271" max="11272" width="14.875" style="1" customWidth="1"/>
    <col min="11273" max="11273" width="6.625" style="1" customWidth="1"/>
    <col min="11274" max="11274" width="13.25" style="1" customWidth="1"/>
    <col min="11275" max="11275" width="17" style="1" customWidth="1"/>
    <col min="11276" max="11520" width="9.625" style="1"/>
    <col min="11521" max="11521" width="4.625" style="1" customWidth="1"/>
    <col min="11522" max="11522" width="1.875" style="1" customWidth="1"/>
    <col min="11523" max="11523" width="30.625" style="1" customWidth="1"/>
    <col min="11524" max="11524" width="28.625" style="1" customWidth="1"/>
    <col min="11525" max="11525" width="8.125" style="1" customWidth="1"/>
    <col min="11526" max="11526" width="7.5" style="1" customWidth="1"/>
    <col min="11527" max="11528" width="14.875" style="1" customWidth="1"/>
    <col min="11529" max="11529" width="6.625" style="1" customWidth="1"/>
    <col min="11530" max="11530" width="13.25" style="1" customWidth="1"/>
    <col min="11531" max="11531" width="17" style="1" customWidth="1"/>
    <col min="11532" max="11776" width="9.625" style="1"/>
    <col min="11777" max="11777" width="4.625" style="1" customWidth="1"/>
    <col min="11778" max="11778" width="1.875" style="1" customWidth="1"/>
    <col min="11779" max="11779" width="30.625" style="1" customWidth="1"/>
    <col min="11780" max="11780" width="28.625" style="1" customWidth="1"/>
    <col min="11781" max="11781" width="8.125" style="1" customWidth="1"/>
    <col min="11782" max="11782" width="7.5" style="1" customWidth="1"/>
    <col min="11783" max="11784" width="14.875" style="1" customWidth="1"/>
    <col min="11785" max="11785" width="6.625" style="1" customWidth="1"/>
    <col min="11786" max="11786" width="13.25" style="1" customWidth="1"/>
    <col min="11787" max="11787" width="17" style="1" customWidth="1"/>
    <col min="11788" max="12032" width="9.625" style="1"/>
    <col min="12033" max="12033" width="4.625" style="1" customWidth="1"/>
    <col min="12034" max="12034" width="1.875" style="1" customWidth="1"/>
    <col min="12035" max="12035" width="30.625" style="1" customWidth="1"/>
    <col min="12036" max="12036" width="28.625" style="1" customWidth="1"/>
    <col min="12037" max="12037" width="8.125" style="1" customWidth="1"/>
    <col min="12038" max="12038" width="7.5" style="1" customWidth="1"/>
    <col min="12039" max="12040" width="14.875" style="1" customWidth="1"/>
    <col min="12041" max="12041" width="6.625" style="1" customWidth="1"/>
    <col min="12042" max="12042" width="13.25" style="1" customWidth="1"/>
    <col min="12043" max="12043" width="17" style="1" customWidth="1"/>
    <col min="12044" max="12288" width="9.625" style="1"/>
    <col min="12289" max="12289" width="4.625" style="1" customWidth="1"/>
    <col min="12290" max="12290" width="1.875" style="1" customWidth="1"/>
    <col min="12291" max="12291" width="30.625" style="1" customWidth="1"/>
    <col min="12292" max="12292" width="28.625" style="1" customWidth="1"/>
    <col min="12293" max="12293" width="8.125" style="1" customWidth="1"/>
    <col min="12294" max="12294" width="7.5" style="1" customWidth="1"/>
    <col min="12295" max="12296" width="14.875" style="1" customWidth="1"/>
    <col min="12297" max="12297" width="6.625" style="1" customWidth="1"/>
    <col min="12298" max="12298" width="13.25" style="1" customWidth="1"/>
    <col min="12299" max="12299" width="17" style="1" customWidth="1"/>
    <col min="12300" max="12544" width="9.625" style="1"/>
    <col min="12545" max="12545" width="4.625" style="1" customWidth="1"/>
    <col min="12546" max="12546" width="1.875" style="1" customWidth="1"/>
    <col min="12547" max="12547" width="30.625" style="1" customWidth="1"/>
    <col min="12548" max="12548" width="28.625" style="1" customWidth="1"/>
    <col min="12549" max="12549" width="8.125" style="1" customWidth="1"/>
    <col min="12550" max="12550" width="7.5" style="1" customWidth="1"/>
    <col min="12551" max="12552" width="14.875" style="1" customWidth="1"/>
    <col min="12553" max="12553" width="6.625" style="1" customWidth="1"/>
    <col min="12554" max="12554" width="13.25" style="1" customWidth="1"/>
    <col min="12555" max="12555" width="17" style="1" customWidth="1"/>
    <col min="12556" max="12800" width="9.625" style="1"/>
    <col min="12801" max="12801" width="4.625" style="1" customWidth="1"/>
    <col min="12802" max="12802" width="1.875" style="1" customWidth="1"/>
    <col min="12803" max="12803" width="30.625" style="1" customWidth="1"/>
    <col min="12804" max="12804" width="28.625" style="1" customWidth="1"/>
    <col min="12805" max="12805" width="8.125" style="1" customWidth="1"/>
    <col min="12806" max="12806" width="7.5" style="1" customWidth="1"/>
    <col min="12807" max="12808" width="14.875" style="1" customWidth="1"/>
    <col min="12809" max="12809" width="6.625" style="1" customWidth="1"/>
    <col min="12810" max="12810" width="13.25" style="1" customWidth="1"/>
    <col min="12811" max="12811" width="17" style="1" customWidth="1"/>
    <col min="12812" max="13056" width="9.625" style="1"/>
    <col min="13057" max="13057" width="4.625" style="1" customWidth="1"/>
    <col min="13058" max="13058" width="1.875" style="1" customWidth="1"/>
    <col min="13059" max="13059" width="30.625" style="1" customWidth="1"/>
    <col min="13060" max="13060" width="28.625" style="1" customWidth="1"/>
    <col min="13061" max="13061" width="8.125" style="1" customWidth="1"/>
    <col min="13062" max="13062" width="7.5" style="1" customWidth="1"/>
    <col min="13063" max="13064" width="14.875" style="1" customWidth="1"/>
    <col min="13065" max="13065" width="6.625" style="1" customWidth="1"/>
    <col min="13066" max="13066" width="13.25" style="1" customWidth="1"/>
    <col min="13067" max="13067" width="17" style="1" customWidth="1"/>
    <col min="13068" max="13312" width="9.625" style="1"/>
    <col min="13313" max="13313" width="4.625" style="1" customWidth="1"/>
    <col min="13314" max="13314" width="1.875" style="1" customWidth="1"/>
    <col min="13315" max="13315" width="30.625" style="1" customWidth="1"/>
    <col min="13316" max="13316" width="28.625" style="1" customWidth="1"/>
    <col min="13317" max="13317" width="8.125" style="1" customWidth="1"/>
    <col min="13318" max="13318" width="7.5" style="1" customWidth="1"/>
    <col min="13319" max="13320" width="14.875" style="1" customWidth="1"/>
    <col min="13321" max="13321" width="6.625" style="1" customWidth="1"/>
    <col min="13322" max="13322" width="13.25" style="1" customWidth="1"/>
    <col min="13323" max="13323" width="17" style="1" customWidth="1"/>
    <col min="13324" max="13568" width="9.625" style="1"/>
    <col min="13569" max="13569" width="4.625" style="1" customWidth="1"/>
    <col min="13570" max="13570" width="1.875" style="1" customWidth="1"/>
    <col min="13571" max="13571" width="30.625" style="1" customWidth="1"/>
    <col min="13572" max="13572" width="28.625" style="1" customWidth="1"/>
    <col min="13573" max="13573" width="8.125" style="1" customWidth="1"/>
    <col min="13574" max="13574" width="7.5" style="1" customWidth="1"/>
    <col min="13575" max="13576" width="14.875" style="1" customWidth="1"/>
    <col min="13577" max="13577" width="6.625" style="1" customWidth="1"/>
    <col min="13578" max="13578" width="13.25" style="1" customWidth="1"/>
    <col min="13579" max="13579" width="17" style="1" customWidth="1"/>
    <col min="13580" max="13824" width="9.625" style="1"/>
    <col min="13825" max="13825" width="4.625" style="1" customWidth="1"/>
    <col min="13826" max="13826" width="1.875" style="1" customWidth="1"/>
    <col min="13827" max="13827" width="30.625" style="1" customWidth="1"/>
    <col min="13828" max="13828" width="28.625" style="1" customWidth="1"/>
    <col min="13829" max="13829" width="8.125" style="1" customWidth="1"/>
    <col min="13830" max="13830" width="7.5" style="1" customWidth="1"/>
    <col min="13831" max="13832" width="14.875" style="1" customWidth="1"/>
    <col min="13833" max="13833" width="6.625" style="1" customWidth="1"/>
    <col min="13834" max="13834" width="13.25" style="1" customWidth="1"/>
    <col min="13835" max="13835" width="17" style="1" customWidth="1"/>
    <col min="13836" max="14080" width="9.625" style="1"/>
    <col min="14081" max="14081" width="4.625" style="1" customWidth="1"/>
    <col min="14082" max="14082" width="1.875" style="1" customWidth="1"/>
    <col min="14083" max="14083" width="30.625" style="1" customWidth="1"/>
    <col min="14084" max="14084" width="28.625" style="1" customWidth="1"/>
    <col min="14085" max="14085" width="8.125" style="1" customWidth="1"/>
    <col min="14086" max="14086" width="7.5" style="1" customWidth="1"/>
    <col min="14087" max="14088" width="14.875" style="1" customWidth="1"/>
    <col min="14089" max="14089" width="6.625" style="1" customWidth="1"/>
    <col min="14090" max="14090" width="13.25" style="1" customWidth="1"/>
    <col min="14091" max="14091" width="17" style="1" customWidth="1"/>
    <col min="14092" max="14336" width="9.625" style="1"/>
    <col min="14337" max="14337" width="4.625" style="1" customWidth="1"/>
    <col min="14338" max="14338" width="1.875" style="1" customWidth="1"/>
    <col min="14339" max="14339" width="30.625" style="1" customWidth="1"/>
    <col min="14340" max="14340" width="28.625" style="1" customWidth="1"/>
    <col min="14341" max="14341" width="8.125" style="1" customWidth="1"/>
    <col min="14342" max="14342" width="7.5" style="1" customWidth="1"/>
    <col min="14343" max="14344" width="14.875" style="1" customWidth="1"/>
    <col min="14345" max="14345" width="6.625" style="1" customWidth="1"/>
    <col min="14346" max="14346" width="13.25" style="1" customWidth="1"/>
    <col min="14347" max="14347" width="17" style="1" customWidth="1"/>
    <col min="14348" max="14592" width="9.625" style="1"/>
    <col min="14593" max="14593" width="4.625" style="1" customWidth="1"/>
    <col min="14594" max="14594" width="1.875" style="1" customWidth="1"/>
    <col min="14595" max="14595" width="30.625" style="1" customWidth="1"/>
    <col min="14596" max="14596" width="28.625" style="1" customWidth="1"/>
    <col min="14597" max="14597" width="8.125" style="1" customWidth="1"/>
    <col min="14598" max="14598" width="7.5" style="1" customWidth="1"/>
    <col min="14599" max="14600" width="14.875" style="1" customWidth="1"/>
    <col min="14601" max="14601" width="6.625" style="1" customWidth="1"/>
    <col min="14602" max="14602" width="13.25" style="1" customWidth="1"/>
    <col min="14603" max="14603" width="17" style="1" customWidth="1"/>
    <col min="14604" max="14848" width="9.625" style="1"/>
    <col min="14849" max="14849" width="4.625" style="1" customWidth="1"/>
    <col min="14850" max="14850" width="1.875" style="1" customWidth="1"/>
    <col min="14851" max="14851" width="30.625" style="1" customWidth="1"/>
    <col min="14852" max="14852" width="28.625" style="1" customWidth="1"/>
    <col min="14853" max="14853" width="8.125" style="1" customWidth="1"/>
    <col min="14854" max="14854" width="7.5" style="1" customWidth="1"/>
    <col min="14855" max="14856" width="14.875" style="1" customWidth="1"/>
    <col min="14857" max="14857" width="6.625" style="1" customWidth="1"/>
    <col min="14858" max="14858" width="13.25" style="1" customWidth="1"/>
    <col min="14859" max="14859" width="17" style="1" customWidth="1"/>
    <col min="14860" max="15104" width="9.625" style="1"/>
    <col min="15105" max="15105" width="4.625" style="1" customWidth="1"/>
    <col min="15106" max="15106" width="1.875" style="1" customWidth="1"/>
    <col min="15107" max="15107" width="30.625" style="1" customWidth="1"/>
    <col min="15108" max="15108" width="28.625" style="1" customWidth="1"/>
    <col min="15109" max="15109" width="8.125" style="1" customWidth="1"/>
    <col min="15110" max="15110" width="7.5" style="1" customWidth="1"/>
    <col min="15111" max="15112" width="14.875" style="1" customWidth="1"/>
    <col min="15113" max="15113" width="6.625" style="1" customWidth="1"/>
    <col min="15114" max="15114" width="13.25" style="1" customWidth="1"/>
    <col min="15115" max="15115" width="17" style="1" customWidth="1"/>
    <col min="15116" max="15360" width="9.625" style="1"/>
    <col min="15361" max="15361" width="4.625" style="1" customWidth="1"/>
    <col min="15362" max="15362" width="1.875" style="1" customWidth="1"/>
    <col min="15363" max="15363" width="30.625" style="1" customWidth="1"/>
    <col min="15364" max="15364" width="28.625" style="1" customWidth="1"/>
    <col min="15365" max="15365" width="8.125" style="1" customWidth="1"/>
    <col min="15366" max="15366" width="7.5" style="1" customWidth="1"/>
    <col min="15367" max="15368" width="14.875" style="1" customWidth="1"/>
    <col min="15369" max="15369" width="6.625" style="1" customWidth="1"/>
    <col min="15370" max="15370" width="13.25" style="1" customWidth="1"/>
    <col min="15371" max="15371" width="17" style="1" customWidth="1"/>
    <col min="15372" max="15616" width="9.625" style="1"/>
    <col min="15617" max="15617" width="4.625" style="1" customWidth="1"/>
    <col min="15618" max="15618" width="1.875" style="1" customWidth="1"/>
    <col min="15619" max="15619" width="30.625" style="1" customWidth="1"/>
    <col min="15620" max="15620" width="28.625" style="1" customWidth="1"/>
    <col min="15621" max="15621" width="8.125" style="1" customWidth="1"/>
    <col min="15622" max="15622" width="7.5" style="1" customWidth="1"/>
    <col min="15623" max="15624" width="14.875" style="1" customWidth="1"/>
    <col min="15625" max="15625" width="6.625" style="1" customWidth="1"/>
    <col min="15626" max="15626" width="13.25" style="1" customWidth="1"/>
    <col min="15627" max="15627" width="17" style="1" customWidth="1"/>
    <col min="15628" max="15872" width="9.625" style="1"/>
    <col min="15873" max="15873" width="4.625" style="1" customWidth="1"/>
    <col min="15874" max="15874" width="1.875" style="1" customWidth="1"/>
    <col min="15875" max="15875" width="30.625" style="1" customWidth="1"/>
    <col min="15876" max="15876" width="28.625" style="1" customWidth="1"/>
    <col min="15877" max="15877" width="8.125" style="1" customWidth="1"/>
    <col min="15878" max="15878" width="7.5" style="1" customWidth="1"/>
    <col min="15879" max="15880" width="14.875" style="1" customWidth="1"/>
    <col min="15881" max="15881" width="6.625" style="1" customWidth="1"/>
    <col min="15882" max="15882" width="13.25" style="1" customWidth="1"/>
    <col min="15883" max="15883" width="17" style="1" customWidth="1"/>
    <col min="15884" max="16128" width="9.625" style="1"/>
    <col min="16129" max="16129" width="4.625" style="1" customWidth="1"/>
    <col min="16130" max="16130" width="1.875" style="1" customWidth="1"/>
    <col min="16131" max="16131" width="30.625" style="1" customWidth="1"/>
    <col min="16132" max="16132" width="28.625" style="1" customWidth="1"/>
    <col min="16133" max="16133" width="8.125" style="1" customWidth="1"/>
    <col min="16134" max="16134" width="7.5" style="1" customWidth="1"/>
    <col min="16135" max="16136" width="14.875" style="1" customWidth="1"/>
    <col min="16137" max="16137" width="6.625" style="1" customWidth="1"/>
    <col min="16138" max="16138" width="13.25" style="1" customWidth="1"/>
    <col min="16139" max="16139" width="17" style="1" customWidth="1"/>
    <col min="16140" max="16384" width="9.625" style="1"/>
  </cols>
  <sheetData>
    <row r="2" spans="1:11">
      <c r="K2" s="4" t="s">
        <v>0</v>
      </c>
    </row>
    <row r="3" spans="1:11">
      <c r="K3" s="5" t="s">
        <v>264</v>
      </c>
    </row>
    <row r="5" spans="1:11" ht="45">
      <c r="A5" s="225" t="s">
        <v>1</v>
      </c>
      <c r="B5" s="225"/>
      <c r="C5" s="225"/>
      <c r="D5" s="225"/>
      <c r="E5" s="225"/>
      <c r="F5" s="225"/>
      <c r="G5" s="225"/>
      <c r="H5" s="225"/>
      <c r="I5" s="225"/>
      <c r="J5" s="225"/>
      <c r="K5" s="225"/>
    </row>
    <row r="8" spans="1:11" s="6" customFormat="1" ht="33">
      <c r="A8" s="226" t="s">
        <v>259</v>
      </c>
      <c r="B8" s="226"/>
      <c r="C8" s="226"/>
      <c r="D8" s="226"/>
      <c r="E8" s="226"/>
      <c r="F8" s="226"/>
      <c r="G8" s="226"/>
      <c r="H8" s="226"/>
      <c r="I8" s="226"/>
      <c r="J8" s="226"/>
      <c r="K8" s="226"/>
    </row>
    <row r="9" spans="1:11" s="6" customFormat="1" ht="33">
      <c r="A9" s="226" t="s">
        <v>260</v>
      </c>
      <c r="B9" s="226"/>
      <c r="C9" s="226"/>
      <c r="D9" s="226"/>
      <c r="E9" s="226"/>
      <c r="F9" s="226"/>
      <c r="G9" s="226"/>
      <c r="H9" s="226"/>
      <c r="I9" s="226"/>
      <c r="J9" s="226"/>
      <c r="K9" s="226"/>
    </row>
    <row r="20" spans="1:11" ht="12.75" thickBot="1">
      <c r="A20" s="227" t="s">
        <v>228</v>
      </c>
      <c r="B20" s="227"/>
      <c r="C20" s="227"/>
      <c r="D20" s="134" t="s">
        <v>271</v>
      </c>
      <c r="E20" s="7"/>
      <c r="F20" s="7"/>
      <c r="G20" s="7"/>
      <c r="H20" s="7"/>
      <c r="I20" s="7"/>
      <c r="J20" s="7"/>
      <c r="K20" s="7"/>
    </row>
    <row r="21" spans="1:11" ht="12.75" thickBot="1">
      <c r="C21" s="132" t="s">
        <v>229</v>
      </c>
      <c r="D21" s="133" t="s">
        <v>268</v>
      </c>
    </row>
    <row r="22" spans="1:11" ht="12.75" thickBot="1">
      <c r="C22" s="132" t="s">
        <v>230</v>
      </c>
      <c r="D22" s="133"/>
    </row>
    <row r="23" spans="1:11" ht="12.75" thickBot="1">
      <c r="C23" s="132" t="s">
        <v>231</v>
      </c>
      <c r="D23" s="133" t="s">
        <v>269</v>
      </c>
    </row>
    <row r="24" spans="1:11">
      <c r="D24" s="137" t="s">
        <v>270</v>
      </c>
    </row>
    <row r="31" spans="1:11">
      <c r="C31" s="1" t="s">
        <v>2</v>
      </c>
    </row>
    <row r="36" spans="1:11" ht="30">
      <c r="A36" s="228" t="s">
        <v>237</v>
      </c>
      <c r="B36" s="228"/>
      <c r="C36" s="228"/>
      <c r="D36" s="228"/>
      <c r="E36" s="228"/>
      <c r="F36" s="228"/>
      <c r="G36" s="228"/>
      <c r="H36" s="228"/>
      <c r="I36" s="228"/>
      <c r="J36" s="228"/>
      <c r="K36" s="228"/>
    </row>
    <row r="39" spans="1:11">
      <c r="A39" s="8"/>
      <c r="C39" s="9"/>
      <c r="E39" s="8"/>
      <c r="F39" s="10"/>
      <c r="G39" s="11"/>
      <c r="H39" s="12"/>
      <c r="I39" s="10"/>
      <c r="J39" s="11"/>
      <c r="K39" s="12"/>
    </row>
    <row r="40" spans="1:11">
      <c r="A40" s="13"/>
      <c r="G40" s="14"/>
      <c r="K40" s="15" t="s">
        <v>3</v>
      </c>
    </row>
    <row r="41" spans="1:11">
      <c r="A41" s="224" t="s">
        <v>4</v>
      </c>
      <c r="B41" s="224"/>
      <c r="C41" s="224"/>
      <c r="D41" s="224"/>
      <c r="E41" s="224"/>
      <c r="F41" s="224"/>
      <c r="G41" s="224"/>
      <c r="H41" s="224"/>
      <c r="I41" s="224"/>
      <c r="J41" s="224"/>
      <c r="K41" s="224"/>
    </row>
    <row r="42" spans="1:11">
      <c r="A42" s="16" t="s">
        <v>5</v>
      </c>
      <c r="C42" s="1" t="str">
        <f>$D$20</f>
        <v xml:space="preserve">University of Colorado </v>
      </c>
      <c r="G42" s="14"/>
      <c r="I42" s="17"/>
      <c r="J42" s="14"/>
      <c r="K42" s="18" t="str">
        <f>$K$3</f>
        <v>Date: October 09, 2017</v>
      </c>
    </row>
    <row r="43" spans="1:11">
      <c r="A43" s="19" t="s">
        <v>6</v>
      </c>
      <c r="B43" s="19" t="s">
        <v>6</v>
      </c>
      <c r="C43" s="19" t="s">
        <v>6</v>
      </c>
      <c r="D43" s="19" t="s">
        <v>6</v>
      </c>
      <c r="E43" s="19" t="s">
        <v>6</v>
      </c>
      <c r="F43" s="19" t="s">
        <v>6</v>
      </c>
      <c r="G43" s="20" t="s">
        <v>6</v>
      </c>
      <c r="H43" s="21" t="s">
        <v>6</v>
      </c>
      <c r="I43" s="19" t="s">
        <v>6</v>
      </c>
      <c r="J43" s="20" t="s">
        <v>6</v>
      </c>
      <c r="K43" s="21" t="s">
        <v>6</v>
      </c>
    </row>
    <row r="44" spans="1:11">
      <c r="A44" s="22" t="s">
        <v>7</v>
      </c>
      <c r="C44" s="9" t="s">
        <v>8</v>
      </c>
      <c r="E44" s="22" t="s">
        <v>7</v>
      </c>
      <c r="F44" s="23"/>
      <c r="G44" s="24"/>
      <c r="H44" s="25" t="s">
        <v>257</v>
      </c>
      <c r="I44" s="23"/>
      <c r="J44" s="24"/>
      <c r="K44" s="25" t="s">
        <v>261</v>
      </c>
    </row>
    <row r="45" spans="1:11">
      <c r="A45" s="22" t="s">
        <v>9</v>
      </c>
      <c r="C45" s="26" t="s">
        <v>10</v>
      </c>
      <c r="E45" s="22" t="s">
        <v>9</v>
      </c>
      <c r="F45" s="23"/>
      <c r="G45" s="24" t="s">
        <v>11</v>
      </c>
      <c r="H45" s="25" t="s">
        <v>12</v>
      </c>
      <c r="I45" s="23"/>
      <c r="J45" s="24" t="s">
        <v>11</v>
      </c>
      <c r="K45" s="25" t="s">
        <v>13</v>
      </c>
    </row>
    <row r="46" spans="1:11">
      <c r="A46" s="19" t="s">
        <v>6</v>
      </c>
      <c r="B46" s="19" t="s">
        <v>6</v>
      </c>
      <c r="C46" s="19" t="s">
        <v>6</v>
      </c>
      <c r="D46" s="19" t="s">
        <v>6</v>
      </c>
      <c r="E46" s="19" t="s">
        <v>6</v>
      </c>
      <c r="F46" s="19" t="s">
        <v>6</v>
      </c>
      <c r="G46" s="20" t="s">
        <v>6</v>
      </c>
      <c r="H46" s="21" t="s">
        <v>6</v>
      </c>
      <c r="I46" s="19" t="s">
        <v>6</v>
      </c>
      <c r="J46" s="20" t="s">
        <v>6</v>
      </c>
      <c r="K46" s="175" t="s">
        <v>6</v>
      </c>
    </row>
    <row r="47" spans="1:11">
      <c r="A47" s="8">
        <v>1</v>
      </c>
      <c r="C47" s="9" t="s">
        <v>14</v>
      </c>
      <c r="D47" s="27" t="s">
        <v>15</v>
      </c>
      <c r="E47" s="8">
        <v>1</v>
      </c>
      <c r="G47" s="92">
        <f>' BDB Boulder'!G90+' BDB UCCS'!G90+' BDB Denver'!G90+'BDB Anschutz'!G90</f>
        <v>5397.9800000000005</v>
      </c>
      <c r="H47" s="93">
        <f>' BDB Boulder'!H90+' BDB UCCS'!H90+' BDB Denver'!H90+'BDB Anschutz'!H90</f>
        <v>656321694.74800003</v>
      </c>
      <c r="I47" s="92"/>
      <c r="J47" s="92">
        <f>' BDB Boulder'!J90+' BDB UCCS'!J90+' BDB Denver'!J90+'BDB Anschutz'!J90</f>
        <v>5520.2809881447629</v>
      </c>
      <c r="K47" s="177">
        <f>' BDB Boulder'!K90+' BDB UCCS'!K90+' BDB Denver'!K90+'BDB Anschutz'!K90</f>
        <v>675468773.64329064</v>
      </c>
    </row>
    <row r="48" spans="1:11">
      <c r="A48" s="8">
        <v>2</v>
      </c>
      <c r="C48" s="9" t="s">
        <v>16</v>
      </c>
      <c r="D48" s="27" t="s">
        <v>17</v>
      </c>
      <c r="E48" s="8">
        <v>2</v>
      </c>
      <c r="G48" s="92">
        <f>' BDB Boulder'!G91+' BDB UCCS'!G91+' BDB Denver'!G91+'BDB Anschutz'!G91</f>
        <v>112.03</v>
      </c>
      <c r="H48" s="93">
        <f>' BDB Boulder'!H91+' BDB UCCS'!H91+' BDB Denver'!H91+'BDB Anschutz'!H91</f>
        <v>21057681.440000001</v>
      </c>
      <c r="I48" s="30"/>
      <c r="J48" s="92">
        <f>' BDB Boulder'!J91+' BDB UCCS'!J91+' BDB Denver'!J91+'BDB Anschutz'!J91</f>
        <v>118.50714887294572</v>
      </c>
      <c r="K48" s="177">
        <f>' BDB Boulder'!K91+' BDB UCCS'!K91+' BDB Denver'!K91+'BDB Anschutz'!K91</f>
        <v>20925953.961472638</v>
      </c>
    </row>
    <row r="49" spans="1:15">
      <c r="A49" s="8">
        <v>3</v>
      </c>
      <c r="C49" s="9" t="s">
        <v>18</v>
      </c>
      <c r="D49" s="27" t="s">
        <v>19</v>
      </c>
      <c r="E49" s="8">
        <v>3</v>
      </c>
      <c r="G49" s="92">
        <f>' BDB Boulder'!G92+' BDB UCCS'!G92+' BDB Denver'!G92+'BDB Anschutz'!G92</f>
        <v>19.43</v>
      </c>
      <c r="H49" s="93">
        <f>' BDB Boulder'!H92+' BDB UCCS'!H92+' BDB Denver'!H92+'BDB Anschutz'!H92</f>
        <v>1364322</v>
      </c>
      <c r="I49" s="30"/>
      <c r="J49" s="92">
        <f>' BDB Boulder'!J92+' BDB UCCS'!J92+' BDB Denver'!J92+'BDB Anschutz'!J92</f>
        <v>20.433243483584643</v>
      </c>
      <c r="K49" s="177">
        <f>' BDB Boulder'!K92+' BDB UCCS'!K92+' BDB Denver'!K92+'BDB Anschutz'!K92</f>
        <v>1399776.9478383041</v>
      </c>
    </row>
    <row r="50" spans="1:15">
      <c r="A50" s="8">
        <v>4</v>
      </c>
      <c r="C50" s="9" t="s">
        <v>20</v>
      </c>
      <c r="D50" s="27" t="s">
        <v>21</v>
      </c>
      <c r="E50" s="8">
        <v>4</v>
      </c>
      <c r="G50" s="92">
        <f>' BDB Boulder'!G93+' BDB UCCS'!G93+' BDB Denver'!G93+'BDB Anschutz'!G93</f>
        <v>1209.54</v>
      </c>
      <c r="H50" s="93">
        <f>' BDB Boulder'!H93+' BDB UCCS'!H93+' BDB Denver'!H93+'BDB Anschutz'!H93</f>
        <v>169235354.56</v>
      </c>
      <c r="I50" s="30"/>
      <c r="J50" s="92">
        <f>' BDB Boulder'!J93+' BDB UCCS'!J93+' BDB Denver'!J93+'BDB Anschutz'!J93</f>
        <v>1247.1151620821392</v>
      </c>
      <c r="K50" s="177">
        <f>' BDB Boulder'!K93+' BDB UCCS'!K93+' BDB Denver'!K93+'BDB Anschutz'!K93</f>
        <v>175823447.3528344</v>
      </c>
    </row>
    <row r="51" spans="1:15">
      <c r="A51" s="8">
        <v>5</v>
      </c>
      <c r="C51" s="9" t="s">
        <v>22</v>
      </c>
      <c r="D51" s="27" t="s">
        <v>23</v>
      </c>
      <c r="E51" s="8">
        <v>5</v>
      </c>
      <c r="G51" s="92">
        <f>' BDB Boulder'!G94+' BDB UCCS'!G94+' BDB Denver'!G94+'BDB Anschutz'!G94</f>
        <v>578.16999999999996</v>
      </c>
      <c r="H51" s="93">
        <f>' BDB Boulder'!H94+' BDB UCCS'!H94+' BDB Denver'!H94+'BDB Anschutz'!H94</f>
        <v>58925221.992000006</v>
      </c>
      <c r="I51" s="30"/>
      <c r="J51" s="92">
        <f>' BDB Boulder'!J94+' BDB UCCS'!J94+' BDB Denver'!J94+'BDB Anschutz'!J94</f>
        <v>572.41782915651152</v>
      </c>
      <c r="K51" s="177">
        <f>' BDB Boulder'!K94+' BDB UCCS'!K94+' BDB Denver'!K94+'BDB Anschutz'!K94</f>
        <v>60376307.855923399</v>
      </c>
    </row>
    <row r="52" spans="1:15">
      <c r="A52" s="8">
        <v>6</v>
      </c>
      <c r="C52" s="9" t="s">
        <v>24</v>
      </c>
      <c r="D52" s="27" t="s">
        <v>25</v>
      </c>
      <c r="E52" s="8">
        <v>6</v>
      </c>
      <c r="G52" s="92">
        <f>' BDB Boulder'!G95+' BDB UCCS'!G95+' BDB Denver'!G95+'BDB Anschutz'!G95</f>
        <v>978.1</v>
      </c>
      <c r="H52" s="93">
        <f>' BDB Boulder'!H95+' BDB UCCS'!H95+' BDB Denver'!H95+'BDB Anschutz'!H95</f>
        <v>164480330.854</v>
      </c>
      <c r="I52" s="30"/>
      <c r="J52" s="92">
        <f>' BDB Boulder'!J95+' BDB UCCS'!J95+' BDB Denver'!J95+'BDB Anschutz'!J95</f>
        <v>1114.9090206480707</v>
      </c>
      <c r="K52" s="177">
        <f>' BDB Boulder'!K95+' BDB UCCS'!K95+' BDB Denver'!K95+'BDB Anschutz'!K95</f>
        <v>177795206.91787642</v>
      </c>
    </row>
    <row r="53" spans="1:15">
      <c r="A53" s="8">
        <v>7</v>
      </c>
      <c r="C53" s="9" t="s">
        <v>26</v>
      </c>
      <c r="D53" s="27" t="s">
        <v>27</v>
      </c>
      <c r="E53" s="8">
        <v>7</v>
      </c>
      <c r="G53" s="92">
        <f>' BDB Boulder'!G96+' BDB UCCS'!G96+' BDB Denver'!G96+'BDB Anschutz'!G96</f>
        <v>807.15</v>
      </c>
      <c r="H53" s="93">
        <f>' BDB Boulder'!H96+' BDB UCCS'!H96+' BDB Denver'!H96+'BDB Anschutz'!H96</f>
        <v>123857865.46605</v>
      </c>
      <c r="I53" s="30"/>
      <c r="J53" s="92">
        <f>' BDB Boulder'!J96+' BDB UCCS'!J96+' BDB Denver'!J96+'BDB Anschutz'!J96</f>
        <v>847.49918406751976</v>
      </c>
      <c r="K53" s="177">
        <f>' BDB Boulder'!K96+' BDB UCCS'!K96+' BDB Denver'!K96+'BDB Anschutz'!K96</f>
        <v>133575735.8738991</v>
      </c>
    </row>
    <row r="54" spans="1:15">
      <c r="A54" s="8">
        <v>8</v>
      </c>
      <c r="C54" s="9" t="s">
        <v>28</v>
      </c>
      <c r="D54" s="27" t="s">
        <v>29</v>
      </c>
      <c r="E54" s="8">
        <v>8</v>
      </c>
      <c r="G54" s="92">
        <f>' BDB Boulder'!G97+' BDB UCCS'!G97+' BDB Denver'!G97+'BDB Anschutz'!G97</f>
        <v>0</v>
      </c>
      <c r="H54" s="93">
        <f>' BDB Boulder'!H97+' BDB UCCS'!H97+' BDB Denver'!H97+'BDB Anschutz'!H97</f>
        <v>95760981.699999988</v>
      </c>
      <c r="I54" s="30"/>
      <c r="J54" s="92">
        <f>' BDB Boulder'!J97+' BDB UCCS'!J97+' BDB Denver'!J97+'BDB Anschutz'!J97</f>
        <v>0</v>
      </c>
      <c r="K54" s="177">
        <f>' BDB Boulder'!K97+' BDB UCCS'!K97+' BDB Denver'!K97+'BDB Anschutz'!K97</f>
        <v>101597163</v>
      </c>
    </row>
    <row r="55" spans="1:15">
      <c r="A55" s="8">
        <v>9</v>
      </c>
      <c r="C55" s="9" t="s">
        <v>30</v>
      </c>
      <c r="D55" s="27" t="s">
        <v>31</v>
      </c>
      <c r="E55" s="8">
        <v>9</v>
      </c>
      <c r="G55" s="92">
        <f>' BDB Boulder'!G98+' BDB UCCS'!G98+' BDB Denver'!G98+'BDB Anschutz'!G98</f>
        <v>31.67</v>
      </c>
      <c r="H55" s="93">
        <f>' BDB Boulder'!H98+' BDB UCCS'!H98+' BDB Denver'!H98+'BDB Anschutz'!H98</f>
        <v>11020209.030000001</v>
      </c>
      <c r="I55" s="30" t="s">
        <v>38</v>
      </c>
      <c r="J55" s="92">
        <f>' BDB Boulder'!J98+' BDB UCCS'!J98+' BDB Denver'!J98+'BDB Anschutz'!J98</f>
        <v>39.217056368922094</v>
      </c>
      <c r="K55" s="177">
        <f>' BDB Boulder'!K98+' BDB UCCS'!K98+' BDB Denver'!K98+'BDB Anschutz'!K98</f>
        <v>8799938</v>
      </c>
    </row>
    <row r="56" spans="1:15">
      <c r="A56" s="8">
        <v>10</v>
      </c>
      <c r="C56" s="9" t="s">
        <v>32</v>
      </c>
      <c r="D56" s="27" t="s">
        <v>33</v>
      </c>
      <c r="E56" s="8">
        <v>10</v>
      </c>
      <c r="G56" s="92">
        <f>' BDB Boulder'!G99+' BDB UCCS'!G99+' BDB Denver'!G99+'BDB Anschutz'!G99</f>
        <v>0</v>
      </c>
      <c r="H56" s="93">
        <f>' BDB Boulder'!H99+' BDB UCCS'!H99+' BDB Denver'!H99+'BDB Anschutz'!H99</f>
        <v>79592969.961300001</v>
      </c>
      <c r="I56" s="30"/>
      <c r="J56" s="92">
        <f>' BDB Boulder'!J99+' BDB UCCS'!J99+' BDB Denver'!J99+'BDB Anschutz'!J99</f>
        <v>0</v>
      </c>
      <c r="K56" s="177">
        <f>' BDB Boulder'!K99+' BDB UCCS'!K99+' BDB Denver'!K99+'BDB Anschutz'!K99</f>
        <v>93552142.169999987</v>
      </c>
    </row>
    <row r="57" spans="1:15">
      <c r="A57" s="8"/>
      <c r="C57" s="9"/>
      <c r="D57" s="27"/>
      <c r="E57" s="8"/>
      <c r="F57" s="19" t="s">
        <v>6</v>
      </c>
      <c r="G57" s="20" t="s">
        <v>6</v>
      </c>
      <c r="H57" s="49"/>
      <c r="I57" s="28"/>
      <c r="J57" s="20"/>
      <c r="K57" s="175"/>
    </row>
    <row r="58" spans="1:15" ht="15" customHeight="1">
      <c r="A58" s="1">
        <v>11</v>
      </c>
      <c r="C58" s="9" t="s">
        <v>34</v>
      </c>
      <c r="E58" s="1">
        <v>11</v>
      </c>
      <c r="G58" s="92">
        <f>SUM(G47:G56)</f>
        <v>9134.07</v>
      </c>
      <c r="H58" s="217">
        <f>SUM(H47:H56)</f>
        <v>1381616631.7513499</v>
      </c>
      <c r="I58" s="30"/>
      <c r="J58" s="92">
        <f t="shared" ref="J58:K58" si="0">SUM(J47:J56)</f>
        <v>9480.3796328244553</v>
      </c>
      <c r="K58" s="219">
        <f t="shared" si="0"/>
        <v>1449314445.723135</v>
      </c>
    </row>
    <row r="59" spans="1:15">
      <c r="A59" s="8"/>
      <c r="E59" s="8"/>
      <c r="F59" s="19" t="s">
        <v>6</v>
      </c>
      <c r="G59" s="20" t="s">
        <v>6</v>
      </c>
      <c r="H59" s="49"/>
      <c r="I59" s="28"/>
      <c r="J59" s="20"/>
      <c r="K59" s="175"/>
    </row>
    <row r="60" spans="1:15">
      <c r="A60" s="8"/>
      <c r="E60" s="8"/>
      <c r="F60" s="19"/>
      <c r="G60" s="14"/>
      <c r="H60" s="49"/>
      <c r="I60" s="28"/>
      <c r="J60" s="14"/>
      <c r="K60" s="21"/>
    </row>
    <row r="61" spans="1:15">
      <c r="A61" s="1">
        <v>12</v>
      </c>
      <c r="C61" s="9" t="s">
        <v>35</v>
      </c>
      <c r="E61" s="1">
        <v>12</v>
      </c>
      <c r="G61" s="29"/>
      <c r="H61" s="93"/>
      <c r="I61" s="30"/>
      <c r="J61" s="92"/>
      <c r="K61" s="29"/>
    </row>
    <row r="62" spans="1:15">
      <c r="A62" s="8">
        <v>13</v>
      </c>
      <c r="C62" s="9" t="s">
        <v>36</v>
      </c>
      <c r="D62" s="27" t="s">
        <v>37</v>
      </c>
      <c r="E62" s="8">
        <v>13</v>
      </c>
      <c r="G62" s="50"/>
      <c r="H62" s="93"/>
      <c r="I62" s="30"/>
      <c r="J62" s="50"/>
      <c r="K62" s="92"/>
      <c r="O62" s="1" t="s">
        <v>38</v>
      </c>
    </row>
    <row r="63" spans="1:15">
      <c r="A63" s="8">
        <v>14</v>
      </c>
      <c r="C63" s="9" t="s">
        <v>39</v>
      </c>
      <c r="D63" s="27" t="s">
        <v>40</v>
      </c>
      <c r="E63" s="8">
        <v>14</v>
      </c>
      <c r="G63" s="50"/>
      <c r="H63" s="93">
        <f>' BDB Boulder'!H106+' BDB UCCS'!H106+' BDB Denver'!H106+'BDB Anschutz'!H106</f>
        <v>121871701</v>
      </c>
      <c r="I63" s="30"/>
      <c r="J63" s="50"/>
      <c r="K63" s="92">
        <f>' BDB Boulder'!K106+' BDB UCCS'!K106+' BDB Denver'!K106+'BDB Anschutz'!K106</f>
        <v>129452364</v>
      </c>
    </row>
    <row r="64" spans="1:15">
      <c r="A64" s="8">
        <v>15</v>
      </c>
      <c r="C64" s="9" t="s">
        <v>41</v>
      </c>
      <c r="D64" s="27"/>
      <c r="E64" s="8">
        <v>15</v>
      </c>
      <c r="G64" s="92">
        <f>' BDB Boulder'!G107+' BDB UCCS'!G107+' BDB Denver'!G107+'BDB Anschutz'!G107</f>
        <v>29922.715555555555</v>
      </c>
      <c r="H64" s="93">
        <f>' BDB Boulder'!H107+' BDB UCCS'!H107+' BDB Denver'!H107+'BDB Anschutz'!H107</f>
        <v>64660985</v>
      </c>
      <c r="I64" s="92"/>
      <c r="J64" s="92">
        <f>' BDB Boulder'!J107+' BDB UCCS'!J107+' BDB Denver'!J107+'BDB Anschutz'!J107</f>
        <v>29770.733333333334</v>
      </c>
      <c r="K64" s="92">
        <f>' BDB Boulder'!K107+' BDB UCCS'!K107+' BDB Denver'!K107+'BDB Anschutz'!K107</f>
        <v>64865863</v>
      </c>
    </row>
    <row r="65" spans="1:254">
      <c r="A65" s="8">
        <v>16</v>
      </c>
      <c r="C65" s="9" t="s">
        <v>42</v>
      </c>
      <c r="D65" s="27"/>
      <c r="E65" s="8">
        <v>16</v>
      </c>
      <c r="G65" s="50"/>
      <c r="H65" s="93">
        <f>' BDB Boulder'!H108+' BDB UCCS'!H108+' BDB Denver'!H108+'BDB Anschutz'!H108</f>
        <v>325778757.76000005</v>
      </c>
      <c r="I65" s="30"/>
      <c r="J65" s="50"/>
      <c r="K65" s="92">
        <f>' BDB Boulder'!K108+' BDB UCCS'!K108+' BDB Denver'!K108+'BDB Anschutz'!K108</f>
        <v>342055626</v>
      </c>
    </row>
    <row r="66" spans="1:254">
      <c r="A66" s="27">
        <v>17</v>
      </c>
      <c r="B66" s="27"/>
      <c r="C66" s="31" t="s">
        <v>43</v>
      </c>
      <c r="D66" s="27"/>
      <c r="E66" s="27">
        <v>17</v>
      </c>
      <c r="F66" s="27"/>
      <c r="G66" s="92"/>
      <c r="H66" s="93">
        <f>' BDB Boulder'!H109+' BDB UCCS'!H109+' BDB Denver'!H109+'BDB Anschutz'!H109</f>
        <v>390439742.76000005</v>
      </c>
      <c r="I66" s="31"/>
      <c r="J66" s="92"/>
      <c r="K66" s="92">
        <f>' BDB Boulder'!K109+' BDB UCCS'!K109+' BDB Denver'!K109+'BDB Anschutz'!K109</f>
        <v>406921489</v>
      </c>
      <c r="L66" s="27"/>
      <c r="M66" s="31"/>
      <c r="N66" s="27"/>
      <c r="O66" s="31"/>
      <c r="P66" s="27"/>
      <c r="Q66" s="31"/>
      <c r="R66" s="27"/>
      <c r="S66" s="31"/>
      <c r="T66" s="27"/>
      <c r="U66" s="31"/>
      <c r="V66" s="27"/>
      <c r="W66" s="31"/>
      <c r="X66" s="27"/>
      <c r="Y66" s="31"/>
      <c r="Z66" s="27"/>
      <c r="AA66" s="31"/>
      <c r="AB66" s="27"/>
      <c r="AC66" s="31"/>
      <c r="AD66" s="27"/>
      <c r="AE66" s="31"/>
      <c r="AF66" s="27"/>
      <c r="AG66" s="31"/>
      <c r="AH66" s="27"/>
      <c r="AI66" s="31"/>
      <c r="AJ66" s="27"/>
      <c r="AK66" s="31"/>
      <c r="AL66" s="27"/>
      <c r="AM66" s="31"/>
      <c r="AN66" s="27"/>
      <c r="AO66" s="31"/>
      <c r="AP66" s="27"/>
      <c r="AQ66" s="31"/>
      <c r="AR66" s="27"/>
      <c r="AS66" s="31"/>
      <c r="AT66" s="27"/>
      <c r="AU66" s="31"/>
      <c r="AV66" s="27"/>
      <c r="AW66" s="31"/>
      <c r="AX66" s="27"/>
      <c r="AY66" s="31"/>
      <c r="AZ66" s="27"/>
      <c r="BA66" s="31"/>
      <c r="BB66" s="27"/>
      <c r="BC66" s="31"/>
      <c r="BD66" s="27"/>
      <c r="BE66" s="31"/>
      <c r="BF66" s="27"/>
      <c r="BG66" s="31"/>
      <c r="BH66" s="27"/>
      <c r="BI66" s="31"/>
      <c r="BJ66" s="27"/>
      <c r="BK66" s="31"/>
      <c r="BL66" s="27"/>
      <c r="BM66" s="31"/>
      <c r="BN66" s="27"/>
      <c r="BO66" s="31"/>
      <c r="BP66" s="27"/>
      <c r="BQ66" s="31"/>
      <c r="BR66" s="27"/>
      <c r="BS66" s="31"/>
      <c r="BT66" s="27"/>
      <c r="BU66" s="31"/>
      <c r="BV66" s="27"/>
      <c r="BW66" s="31"/>
      <c r="BX66" s="27"/>
      <c r="BY66" s="31"/>
      <c r="BZ66" s="27"/>
      <c r="CA66" s="31"/>
      <c r="CB66" s="27"/>
      <c r="CC66" s="31"/>
      <c r="CD66" s="27"/>
      <c r="CE66" s="31"/>
      <c r="CF66" s="27"/>
      <c r="CG66" s="31"/>
      <c r="CH66" s="27"/>
      <c r="CI66" s="31"/>
      <c r="CJ66" s="27"/>
      <c r="CK66" s="31"/>
      <c r="CL66" s="27"/>
      <c r="CM66" s="31"/>
      <c r="CN66" s="27"/>
      <c r="CO66" s="31"/>
      <c r="CP66" s="27"/>
      <c r="CQ66" s="31"/>
      <c r="CR66" s="27"/>
      <c r="CS66" s="31"/>
      <c r="CT66" s="27"/>
      <c r="CU66" s="31"/>
      <c r="CV66" s="27"/>
      <c r="CW66" s="31"/>
      <c r="CX66" s="27"/>
      <c r="CY66" s="31"/>
      <c r="CZ66" s="27"/>
      <c r="DA66" s="31"/>
      <c r="DB66" s="27"/>
      <c r="DC66" s="31"/>
      <c r="DD66" s="27"/>
      <c r="DE66" s="31"/>
      <c r="DF66" s="27"/>
      <c r="DG66" s="31"/>
      <c r="DH66" s="27"/>
      <c r="DI66" s="31"/>
      <c r="DJ66" s="27"/>
      <c r="DK66" s="31"/>
      <c r="DL66" s="27"/>
      <c r="DM66" s="31"/>
      <c r="DN66" s="27"/>
      <c r="DO66" s="31"/>
      <c r="DP66" s="27"/>
      <c r="DQ66" s="31"/>
      <c r="DR66" s="27"/>
      <c r="DS66" s="31"/>
      <c r="DT66" s="27"/>
      <c r="DU66" s="31"/>
      <c r="DV66" s="27"/>
      <c r="DW66" s="31"/>
      <c r="DX66" s="27"/>
      <c r="DY66" s="31"/>
      <c r="DZ66" s="27"/>
      <c r="EA66" s="31"/>
      <c r="EB66" s="27"/>
      <c r="EC66" s="31"/>
      <c r="ED66" s="27"/>
      <c r="EE66" s="31"/>
      <c r="EF66" s="27"/>
      <c r="EG66" s="31"/>
      <c r="EH66" s="27"/>
      <c r="EI66" s="31"/>
      <c r="EJ66" s="27"/>
      <c r="EK66" s="31"/>
      <c r="EL66" s="27"/>
      <c r="EM66" s="31"/>
      <c r="EN66" s="27"/>
      <c r="EO66" s="31"/>
      <c r="EP66" s="27"/>
      <c r="EQ66" s="31"/>
      <c r="ER66" s="27"/>
      <c r="ES66" s="31"/>
      <c r="ET66" s="27"/>
      <c r="EU66" s="31"/>
      <c r="EV66" s="27"/>
      <c r="EW66" s="31"/>
      <c r="EX66" s="27"/>
      <c r="EY66" s="31"/>
      <c r="EZ66" s="27"/>
      <c r="FA66" s="31"/>
      <c r="FB66" s="27"/>
      <c r="FC66" s="31"/>
      <c r="FD66" s="27"/>
      <c r="FE66" s="31"/>
      <c r="FF66" s="27"/>
      <c r="FG66" s="31"/>
      <c r="FH66" s="27"/>
      <c r="FI66" s="31"/>
      <c r="FJ66" s="27"/>
      <c r="FK66" s="31"/>
      <c r="FL66" s="27"/>
      <c r="FM66" s="31"/>
      <c r="FN66" s="27"/>
      <c r="FO66" s="31"/>
      <c r="FP66" s="27"/>
      <c r="FQ66" s="31"/>
      <c r="FR66" s="27"/>
      <c r="FS66" s="31"/>
      <c r="FT66" s="27"/>
      <c r="FU66" s="31"/>
      <c r="FV66" s="27"/>
      <c r="FW66" s="31"/>
      <c r="FX66" s="27"/>
      <c r="FY66" s="31"/>
      <c r="FZ66" s="27"/>
      <c r="GA66" s="31"/>
      <c r="GB66" s="27"/>
      <c r="GC66" s="31"/>
      <c r="GD66" s="27"/>
      <c r="GE66" s="31"/>
      <c r="GF66" s="27"/>
      <c r="GG66" s="31"/>
      <c r="GH66" s="27"/>
      <c r="GI66" s="31"/>
      <c r="GJ66" s="27"/>
      <c r="GK66" s="31"/>
      <c r="GL66" s="27"/>
      <c r="GM66" s="31"/>
      <c r="GN66" s="27"/>
      <c r="GO66" s="31"/>
      <c r="GP66" s="27"/>
      <c r="GQ66" s="31"/>
      <c r="GR66" s="27"/>
      <c r="GS66" s="31"/>
      <c r="GT66" s="27"/>
      <c r="GU66" s="31"/>
      <c r="GV66" s="27"/>
      <c r="GW66" s="31"/>
      <c r="GX66" s="27"/>
      <c r="GY66" s="31"/>
      <c r="GZ66" s="27"/>
      <c r="HA66" s="31"/>
      <c r="HB66" s="27"/>
      <c r="HC66" s="31"/>
      <c r="HD66" s="27"/>
      <c r="HE66" s="31"/>
      <c r="HF66" s="27"/>
      <c r="HG66" s="31"/>
      <c r="HH66" s="27"/>
      <c r="HI66" s="31"/>
      <c r="HJ66" s="27"/>
      <c r="HK66" s="31"/>
      <c r="HL66" s="27"/>
      <c r="HM66" s="31"/>
      <c r="HN66" s="27"/>
      <c r="HO66" s="31"/>
      <c r="HP66" s="27"/>
      <c r="HQ66" s="31"/>
      <c r="HR66" s="27"/>
      <c r="HS66" s="31"/>
      <c r="HT66" s="27"/>
      <c r="HU66" s="31"/>
      <c r="HV66" s="27"/>
      <c r="HW66" s="31"/>
      <c r="HX66" s="27"/>
      <c r="HY66" s="31"/>
      <c r="HZ66" s="27"/>
      <c r="IA66" s="31"/>
      <c r="IB66" s="27"/>
      <c r="IC66" s="31"/>
      <c r="ID66" s="27"/>
      <c r="IE66" s="31"/>
      <c r="IF66" s="27"/>
      <c r="IG66" s="31"/>
      <c r="IH66" s="27"/>
      <c r="II66" s="31"/>
      <c r="IJ66" s="27"/>
      <c r="IK66" s="31"/>
      <c r="IL66" s="27"/>
      <c r="IM66" s="31"/>
      <c r="IN66" s="27"/>
      <c r="IO66" s="31"/>
      <c r="IP66" s="27"/>
      <c r="IQ66" s="31"/>
      <c r="IR66" s="27"/>
      <c r="IS66" s="31"/>
      <c r="IT66" s="27"/>
    </row>
    <row r="67" spans="1:254">
      <c r="A67" s="8">
        <v>18</v>
      </c>
      <c r="C67" s="9" t="s">
        <v>44</v>
      </c>
      <c r="D67" s="27"/>
      <c r="E67" s="8">
        <v>18</v>
      </c>
      <c r="G67" s="50"/>
      <c r="H67" s="93">
        <f>' BDB Boulder'!H110+' BDB UCCS'!H110+' BDB Denver'!H110+'BDB Anschutz'!H110</f>
        <v>131890577.75</v>
      </c>
      <c r="I67" s="30"/>
      <c r="J67" s="50"/>
      <c r="K67" s="92">
        <f>' BDB Boulder'!K110+' BDB UCCS'!K110+' BDB Denver'!K110+'BDB Anschutz'!K110</f>
        <v>139153786</v>
      </c>
    </row>
    <row r="68" spans="1:254">
      <c r="A68" s="8">
        <v>19</v>
      </c>
      <c r="C68" s="9" t="s">
        <v>45</v>
      </c>
      <c r="D68" s="27"/>
      <c r="E68" s="8">
        <v>19</v>
      </c>
      <c r="G68" s="50"/>
      <c r="H68" s="93">
        <f>' BDB Boulder'!H111+' BDB UCCS'!H111+' BDB Denver'!H111+'BDB Anschutz'!H111</f>
        <v>497698002.81999999</v>
      </c>
      <c r="I68" s="30"/>
      <c r="J68" s="50"/>
      <c r="K68" s="92">
        <f>' BDB Boulder'!K111+' BDB UCCS'!K111+' BDB Denver'!K111+'BDB Anschutz'!K111</f>
        <v>531789146</v>
      </c>
    </row>
    <row r="69" spans="1:254">
      <c r="A69" s="8">
        <v>20</v>
      </c>
      <c r="C69" s="9" t="s">
        <v>46</v>
      </c>
      <c r="D69" s="27"/>
      <c r="E69" s="8">
        <v>20</v>
      </c>
      <c r="G69" s="50"/>
      <c r="H69" s="93">
        <f>' BDB Boulder'!H112+' BDB UCCS'!H112+' BDB Denver'!H112+'BDB Anschutz'!H112</f>
        <v>1020028323.33</v>
      </c>
      <c r="I69" s="30"/>
      <c r="J69" s="50"/>
      <c r="K69" s="92">
        <f>' BDB Boulder'!K112+' BDB UCCS'!K112+' BDB Denver'!K112+'BDB Anschutz'!K112</f>
        <v>1077864421</v>
      </c>
    </row>
    <row r="70" spans="1:254">
      <c r="A70" s="27">
        <v>21</v>
      </c>
      <c r="C70" s="9" t="s">
        <v>47</v>
      </c>
      <c r="D70" s="27"/>
      <c r="E70" s="8">
        <v>21</v>
      </c>
      <c r="G70" s="50"/>
      <c r="H70" s="93">
        <f>' BDB Boulder'!H113+' BDB UCCS'!H113+' BDB Denver'!H113+'BDB Anschutz'!H113</f>
        <v>15325373</v>
      </c>
      <c r="I70" s="30"/>
      <c r="J70" s="50"/>
      <c r="K70" s="92">
        <f>' BDB Boulder'!K113+' BDB UCCS'!K113+' BDB Denver'!K113+'BDB Anschutz'!K113</f>
        <v>15465812</v>
      </c>
    </row>
    <row r="71" spans="1:254">
      <c r="A71" s="27">
        <v>22</v>
      </c>
      <c r="C71" s="9"/>
      <c r="D71" s="27"/>
      <c r="E71" s="8">
        <v>22</v>
      </c>
      <c r="G71" s="50"/>
      <c r="H71" s="93">
        <f>' BDB Boulder'!H114+' BDB UCCS'!H114+' BDB Denver'!H114+'BDB Anschutz'!H114</f>
        <v>0</v>
      </c>
      <c r="I71" s="30" t="s">
        <v>38</v>
      </c>
      <c r="J71" s="50"/>
      <c r="K71" s="48">
        <v>0</v>
      </c>
    </row>
    <row r="72" spans="1:254">
      <c r="A72" s="8">
        <v>23</v>
      </c>
      <c r="C72" s="32"/>
      <c r="E72" s="8">
        <v>23</v>
      </c>
      <c r="F72" s="19" t="s">
        <v>6</v>
      </c>
      <c r="G72" s="20"/>
      <c r="H72" s="49"/>
      <c r="I72" s="28"/>
      <c r="J72" s="20"/>
      <c r="K72" s="21"/>
    </row>
    <row r="73" spans="1:254">
      <c r="A73" s="8">
        <v>24</v>
      </c>
      <c r="C73" s="32"/>
      <c r="D73" s="9"/>
      <c r="E73" s="8">
        <v>24</v>
      </c>
    </row>
    <row r="74" spans="1:254">
      <c r="A74" s="8">
        <v>25</v>
      </c>
      <c r="C74" s="9" t="s">
        <v>239</v>
      </c>
      <c r="D74" s="27"/>
      <c r="E74" s="8">
        <v>25</v>
      </c>
      <c r="G74" s="50"/>
      <c r="H74" s="48">
        <f>' BDB Boulder'!H117+' BDB UCCS'!H117+' BDB Denver'!H117+'BDB Anschutz'!H117</f>
        <v>224391234.29863998</v>
      </c>
      <c r="I74" s="48"/>
      <c r="J74" s="48"/>
      <c r="K74" s="48">
        <f>' BDB Boulder'!K117+' BDB UCCS'!K117+' BDB Denver'!K117+'BDB Anschutz'!K117</f>
        <v>226531849</v>
      </c>
    </row>
    <row r="75" spans="1:254">
      <c r="A75" s="1">
        <v>26</v>
      </c>
      <c r="E75" s="1">
        <v>26</v>
      </c>
      <c r="F75" s="19" t="s">
        <v>6</v>
      </c>
      <c r="G75" s="20"/>
      <c r="H75" s="21"/>
      <c r="I75" s="28"/>
      <c r="J75" s="20"/>
      <c r="K75" s="21"/>
    </row>
    <row r="76" spans="1:254" ht="15" customHeight="1">
      <c r="A76" s="8">
        <v>27</v>
      </c>
      <c r="C76" s="9" t="s">
        <v>48</v>
      </c>
      <c r="E76" s="8">
        <v>27</v>
      </c>
      <c r="F76" s="17"/>
      <c r="G76" s="92"/>
      <c r="H76" s="218">
        <f>' BDB Boulder'!H119+' BDB UCCS'!H119+' BDB Denver'!H119+'BDB Anschutz'!H119</f>
        <v>1381616631.6286402</v>
      </c>
      <c r="I76" s="29"/>
      <c r="J76" s="92"/>
      <c r="K76" s="220">
        <f>' BDB Boulder'!K119+' BDB UCCS'!K119+' BDB Denver'!K119+'BDB Anschutz'!K119</f>
        <v>1449314446</v>
      </c>
    </row>
    <row r="77" spans="1:254">
      <c r="F77" s="19"/>
      <c r="G77" s="20"/>
      <c r="H77" s="21"/>
      <c r="I77" s="28"/>
      <c r="J77" s="20"/>
      <c r="K77" s="21"/>
    </row>
    <row r="78" spans="1:254" ht="14.25">
      <c r="F78"/>
      <c r="G78"/>
      <c r="H78"/>
      <c r="I78"/>
      <c r="J78"/>
      <c r="K78"/>
    </row>
    <row r="79" spans="1:254" ht="30.75" customHeight="1">
      <c r="A79" s="33"/>
      <c r="B79" s="33"/>
      <c r="C79" s="221" t="s">
        <v>233</v>
      </c>
      <c r="D79" s="221"/>
      <c r="E79" s="221"/>
      <c r="F79" s="221"/>
      <c r="G79" s="221"/>
      <c r="H79" s="221"/>
      <c r="I79" s="221"/>
      <c r="J79" s="221"/>
      <c r="K79" s="34"/>
    </row>
    <row r="80" spans="1:254">
      <c r="D80" s="27"/>
      <c r="F80" s="19"/>
      <c r="G80" s="20"/>
      <c r="I80" s="28"/>
      <c r="J80" s="20"/>
      <c r="K80" s="21"/>
    </row>
    <row r="81" spans="1:11">
      <c r="C81" s="1" t="s">
        <v>49</v>
      </c>
      <c r="D81" s="27"/>
      <c r="F81" s="19"/>
      <c r="G81" s="20"/>
      <c r="I81" s="28"/>
      <c r="J81" s="20"/>
      <c r="K81" s="21"/>
    </row>
    <row r="82" spans="1:11" ht="11.25" customHeight="1">
      <c r="A82" s="8"/>
      <c r="C82" s="9"/>
      <c r="E82" s="8"/>
      <c r="F82" s="10"/>
      <c r="G82" s="11"/>
      <c r="H82" s="12"/>
      <c r="I82" s="10"/>
      <c r="J82" s="11"/>
      <c r="K82" s="12"/>
    </row>
    <row r="83" spans="1:11">
      <c r="E83" s="35"/>
    </row>
    <row r="84" spans="1:11">
      <c r="A84" s="36" t="s">
        <v>234</v>
      </c>
    </row>
    <row r="85" spans="1:11">
      <c r="A85" s="16" t="e">
        <f>#REF!</f>
        <v>#REF!</v>
      </c>
      <c r="B85" s="36"/>
      <c r="C85" s="36"/>
      <c r="D85" s="36"/>
      <c r="E85" s="37"/>
      <c r="F85" s="36"/>
      <c r="G85" s="38"/>
      <c r="H85" s="39"/>
      <c r="I85" s="36"/>
      <c r="J85" s="38"/>
      <c r="K85" s="15" t="s">
        <v>50</v>
      </c>
    </row>
    <row r="86" spans="1:11" ht="14.25">
      <c r="A86" s="222" t="s">
        <v>249</v>
      </c>
      <c r="B86" s="222"/>
      <c r="C86" s="222"/>
      <c r="D86" s="222"/>
      <c r="E86" s="222"/>
      <c r="F86" s="222"/>
      <c r="G86" s="222"/>
      <c r="H86" s="222"/>
      <c r="I86" s="222"/>
      <c r="J86" s="222"/>
      <c r="K86" s="222"/>
    </row>
    <row r="87" spans="1:11">
      <c r="A87" s="16" t="str">
        <f>$A$42</f>
        <v xml:space="preserve">NAME: </v>
      </c>
      <c r="C87" s="1" t="str">
        <f>$D$20</f>
        <v xml:space="preserve">University of Colorado </v>
      </c>
      <c r="H87" s="40"/>
      <c r="J87" s="14"/>
      <c r="K87" s="18" t="str">
        <f>$K$3</f>
        <v>Date: October 09, 2017</v>
      </c>
    </row>
    <row r="88" spans="1:11">
      <c r="A88" s="19" t="s">
        <v>6</v>
      </c>
      <c r="B88" s="19" t="s">
        <v>6</v>
      </c>
      <c r="C88" s="19" t="s">
        <v>6</v>
      </c>
      <c r="D88" s="19" t="s">
        <v>6</v>
      </c>
      <c r="E88" s="19" t="s">
        <v>6</v>
      </c>
      <c r="F88" s="19" t="s">
        <v>6</v>
      </c>
      <c r="G88" s="20" t="s">
        <v>6</v>
      </c>
      <c r="H88" s="21" t="s">
        <v>6</v>
      </c>
      <c r="I88" s="19" t="s">
        <v>6</v>
      </c>
      <c r="J88" s="20" t="s">
        <v>6</v>
      </c>
      <c r="K88" s="21" t="s">
        <v>6</v>
      </c>
    </row>
    <row r="89" spans="1:11">
      <c r="A89" s="22" t="s">
        <v>7</v>
      </c>
      <c r="E89" s="22" t="s">
        <v>7</v>
      </c>
      <c r="F89" s="23"/>
      <c r="G89" s="24"/>
      <c r="H89" s="25" t="str">
        <f>'ALL CU'!H44</f>
        <v>2016-17</v>
      </c>
      <c r="I89" s="23"/>
      <c r="J89" s="24"/>
      <c r="K89" s="25" t="str">
        <f>K44</f>
        <v>2017-18</v>
      </c>
    </row>
    <row r="90" spans="1:11">
      <c r="A90" s="22" t="s">
        <v>9</v>
      </c>
      <c r="C90" s="26" t="s">
        <v>51</v>
      </c>
      <c r="E90" s="22" t="s">
        <v>9</v>
      </c>
      <c r="F90" s="23"/>
      <c r="G90" s="24"/>
      <c r="H90" s="25" t="s">
        <v>12</v>
      </c>
      <c r="I90" s="23"/>
      <c r="J90" s="24"/>
      <c r="K90" s="25" t="s">
        <v>13</v>
      </c>
    </row>
    <row r="91" spans="1:11">
      <c r="A91" s="19" t="s">
        <v>6</v>
      </c>
      <c r="B91" s="19" t="s">
        <v>6</v>
      </c>
      <c r="C91" s="19" t="s">
        <v>6</v>
      </c>
      <c r="D91" s="19" t="s">
        <v>6</v>
      </c>
      <c r="E91" s="19" t="s">
        <v>6</v>
      </c>
      <c r="F91" s="19" t="s">
        <v>6</v>
      </c>
      <c r="G91" s="20" t="s">
        <v>6</v>
      </c>
      <c r="H91" s="21" t="s">
        <v>6</v>
      </c>
      <c r="I91" s="19" t="s">
        <v>6</v>
      </c>
      <c r="J91" s="20" t="s">
        <v>6</v>
      </c>
      <c r="K91" s="21" t="s">
        <v>6</v>
      </c>
    </row>
    <row r="92" spans="1:11">
      <c r="A92" s="1">
        <v>1</v>
      </c>
      <c r="C92" s="1" t="s">
        <v>52</v>
      </c>
      <c r="E92" s="1">
        <v>1</v>
      </c>
    </row>
    <row r="93" spans="1:11" ht="33.75" customHeight="1">
      <c r="A93" s="41">
        <v>2</v>
      </c>
      <c r="C93" s="223" t="s">
        <v>66</v>
      </c>
      <c r="D93" s="223"/>
      <c r="E93" s="41">
        <v>2</v>
      </c>
      <c r="G93" s="94"/>
      <c r="H93" s="139">
        <v>0</v>
      </c>
      <c r="I93" s="95"/>
      <c r="J93" s="95"/>
      <c r="K93" s="139">
        <v>0</v>
      </c>
    </row>
    <row r="94" spans="1:11" ht="15.75" customHeight="1">
      <c r="A94" s="1">
        <v>3</v>
      </c>
      <c r="C94" s="1" t="s">
        <v>53</v>
      </c>
      <c r="E94" s="1">
        <v>3</v>
      </c>
      <c r="G94" s="94"/>
      <c r="H94" s="140">
        <v>0</v>
      </c>
      <c r="I94" s="94"/>
      <c r="J94" s="94"/>
      <c r="K94" s="140">
        <v>0</v>
      </c>
    </row>
    <row r="95" spans="1:11">
      <c r="A95" s="1">
        <v>4</v>
      </c>
      <c r="C95" s="1" t="s">
        <v>54</v>
      </c>
      <c r="E95" s="1">
        <v>4</v>
      </c>
      <c r="G95" s="94"/>
      <c r="H95" s="140">
        <f>H63-H97</f>
        <v>59049591.5</v>
      </c>
      <c r="I95" s="94"/>
      <c r="J95" s="94"/>
      <c r="K95" s="140">
        <f>K63-K97</f>
        <v>65277294</v>
      </c>
    </row>
    <row r="96" spans="1:11">
      <c r="A96" s="1">
        <v>5</v>
      </c>
      <c r="C96" s="1" t="s">
        <v>55</v>
      </c>
      <c r="E96" s="1">
        <v>5</v>
      </c>
      <c r="G96" s="94"/>
      <c r="H96" s="140">
        <v>0</v>
      </c>
      <c r="I96" s="94"/>
      <c r="J96" s="94"/>
      <c r="K96" s="140">
        <v>0</v>
      </c>
    </row>
    <row r="97" spans="1:11" ht="47.25" customHeight="1">
      <c r="A97" s="41">
        <v>6</v>
      </c>
      <c r="C97" s="223" t="s">
        <v>56</v>
      </c>
      <c r="D97" s="223"/>
      <c r="E97" s="41">
        <v>6</v>
      </c>
      <c r="G97" s="94"/>
      <c r="H97" s="139">
        <f>'BDB Anschutz'!H106</f>
        <v>62822109.5</v>
      </c>
      <c r="I97" s="95"/>
      <c r="J97" s="95"/>
      <c r="K97" s="139">
        <f>'BDB Anschutz'!K106</f>
        <v>64175070</v>
      </c>
    </row>
    <row r="98" spans="1:11">
      <c r="A98" s="1">
        <v>7</v>
      </c>
      <c r="E98" s="1">
        <v>7</v>
      </c>
      <c r="G98" s="94"/>
      <c r="H98" s="94"/>
      <c r="I98" s="94"/>
      <c r="J98" s="94"/>
      <c r="K98" s="94"/>
    </row>
    <row r="99" spans="1:11">
      <c r="A99" s="1">
        <v>8</v>
      </c>
      <c r="E99" s="1">
        <v>8</v>
      </c>
      <c r="G99" s="94"/>
      <c r="H99" s="94"/>
      <c r="I99" s="94"/>
      <c r="J99" s="94"/>
      <c r="K99" s="94"/>
    </row>
    <row r="100" spans="1:11">
      <c r="A100" s="1">
        <v>9</v>
      </c>
      <c r="E100" s="1">
        <v>9</v>
      </c>
      <c r="G100" s="94"/>
      <c r="H100" s="94"/>
      <c r="I100" s="94"/>
      <c r="J100" s="94"/>
      <c r="K100" s="94"/>
    </row>
    <row r="101" spans="1:11">
      <c r="A101" s="1">
        <v>10</v>
      </c>
      <c r="E101" s="1">
        <v>10</v>
      </c>
      <c r="G101" s="94"/>
      <c r="H101" s="94"/>
      <c r="I101" s="94"/>
      <c r="J101" s="94"/>
      <c r="K101" s="94"/>
    </row>
    <row r="102" spans="1:11">
      <c r="A102" s="1">
        <v>11</v>
      </c>
      <c r="E102" s="1">
        <v>11</v>
      </c>
      <c r="G102" s="94"/>
      <c r="H102" s="94"/>
      <c r="I102" s="94"/>
      <c r="J102" s="94"/>
      <c r="K102" s="94"/>
    </row>
    <row r="103" spans="1:11">
      <c r="A103" s="1">
        <v>12</v>
      </c>
      <c r="C103" s="1" t="s">
        <v>57</v>
      </c>
      <c r="E103" s="1">
        <v>12</v>
      </c>
      <c r="G103" s="94"/>
      <c r="H103" s="94">
        <f>SUM(H93:H102)</f>
        <v>121871701</v>
      </c>
      <c r="I103" s="94"/>
      <c r="J103" s="94"/>
      <c r="K103" s="94">
        <f>SUM(K93:K102)</f>
        <v>129452364</v>
      </c>
    </row>
    <row r="104" spans="1:11">
      <c r="E104" s="35"/>
    </row>
    <row r="105" spans="1:11">
      <c r="E105" s="35"/>
    </row>
    <row r="106" spans="1:11">
      <c r="E106" s="35"/>
      <c r="H106" s="166">
        <f>H103+H64</f>
        <v>186532686</v>
      </c>
      <c r="I106" s="137"/>
      <c r="K106" s="3">
        <f>K103+K64</f>
        <v>194318227</v>
      </c>
    </row>
    <row r="107" spans="1:11">
      <c r="E107" s="35"/>
      <c r="I107" s="137"/>
    </row>
    <row r="108" spans="1:11">
      <c r="E108" s="35"/>
    </row>
    <row r="109" spans="1:11">
      <c r="E109" s="35"/>
    </row>
    <row r="110" spans="1:11">
      <c r="E110" s="35"/>
    </row>
    <row r="112" spans="1:11">
      <c r="D112" s="42"/>
      <c r="F112" s="42"/>
      <c r="G112" s="43"/>
      <c r="H112" s="44"/>
    </row>
    <row r="113" spans="2:10">
      <c r="E113" s="35"/>
    </row>
    <row r="114" spans="2:10">
      <c r="E114" s="35"/>
    </row>
    <row r="115" spans="2:10">
      <c r="E115" s="35"/>
    </row>
    <row r="116" spans="2:10" ht="13.5">
      <c r="C116" s="1" t="s">
        <v>256</v>
      </c>
      <c r="E116" s="35"/>
    </row>
    <row r="117" spans="2:10">
      <c r="E117" s="35"/>
    </row>
    <row r="118" spans="2:10" ht="12.75">
      <c r="B118" s="45"/>
      <c r="C118" s="46"/>
      <c r="D118" s="47"/>
      <c r="E118" s="47"/>
      <c r="F118" s="47"/>
    </row>
    <row r="119" spans="2:10" ht="12.75">
      <c r="B119" s="45"/>
      <c r="C119" s="46"/>
      <c r="D119" s="47"/>
      <c r="E119" s="47"/>
      <c r="F119" s="47"/>
    </row>
    <row r="120" spans="2:10">
      <c r="E120" s="35"/>
      <c r="J120" s="216"/>
    </row>
    <row r="121" spans="2:10">
      <c r="E121" s="35"/>
    </row>
    <row r="122" spans="2:10">
      <c r="E122" s="35"/>
    </row>
    <row r="123" spans="2:10" ht="12.75" customHeight="1">
      <c r="E123" s="35"/>
    </row>
    <row r="124" spans="2:10">
      <c r="E124" s="35"/>
    </row>
    <row r="125" spans="2:10">
      <c r="E125" s="35"/>
    </row>
    <row r="126" spans="2:10">
      <c r="E126" s="35"/>
    </row>
    <row r="127" spans="2:10">
      <c r="E127" s="35"/>
    </row>
    <row r="128" spans="2:10">
      <c r="E128" s="35"/>
    </row>
    <row r="129" spans="5:5">
      <c r="E129" s="35"/>
    </row>
    <row r="130" spans="5:5">
      <c r="E130" s="35"/>
    </row>
  </sheetData>
  <mergeCells count="10">
    <mergeCell ref="A5:K5"/>
    <mergeCell ref="A8:K8"/>
    <mergeCell ref="A9:K9"/>
    <mergeCell ref="A20:C20"/>
    <mergeCell ref="A36:K36"/>
    <mergeCell ref="C79:J79"/>
    <mergeCell ref="A86:K86"/>
    <mergeCell ref="C93:D93"/>
    <mergeCell ref="C97:D97"/>
    <mergeCell ref="A41:K41"/>
  </mergeCells>
  <printOptions horizontalCentered="1"/>
  <pageMargins left="0.17" right="0.17" top="0.47" bottom="0.53" header="0.5" footer="0.24"/>
  <pageSetup scale="70" fitToHeight="47" orientation="landscape" r:id="rId1"/>
  <headerFooter alignWithMargins="0"/>
  <rowBreaks count="2" manualBreakCount="2">
    <brk id="39" max="10" man="1"/>
    <brk id="82"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abColor theme="3" tint="0.39997558519241921"/>
  </sheetPr>
  <dimension ref="A2:IT934"/>
  <sheetViews>
    <sheetView showGridLines="0" view="pageBreakPreview" zoomScale="75" zoomScaleNormal="75" zoomScaleSheetLayoutView="75" workbookViewId="0">
      <selection activeCell="A868" sqref="A868:XFD868"/>
    </sheetView>
  </sheetViews>
  <sheetFormatPr defaultColWidth="9.625" defaultRowHeight="12"/>
  <cols>
    <col min="1" max="1" width="4.625" style="137" customWidth="1"/>
    <col min="2" max="2" width="1.875" style="137" customWidth="1"/>
    <col min="3" max="3" width="30.625" style="137" customWidth="1"/>
    <col min="4" max="4" width="28.625" style="137" customWidth="1"/>
    <col min="5" max="5" width="8.125" style="137" customWidth="1"/>
    <col min="6" max="6" width="7.5" style="137" customWidth="1"/>
    <col min="7" max="7" width="14.875" style="2" customWidth="1"/>
    <col min="8" max="8" width="14.875" style="3" customWidth="1"/>
    <col min="9" max="9" width="6.625" style="137" customWidth="1"/>
    <col min="10" max="10" width="13.25" style="2" customWidth="1"/>
    <col min="11" max="11" width="19.875" style="3" customWidth="1"/>
    <col min="12" max="256" width="9.625" style="137"/>
    <col min="257" max="257" width="4.625" style="137" customWidth="1"/>
    <col min="258" max="258" width="1.875" style="137" customWidth="1"/>
    <col min="259" max="259" width="30.625" style="137" customWidth="1"/>
    <col min="260" max="260" width="28.625" style="137" customWidth="1"/>
    <col min="261" max="261" width="8.125" style="137" customWidth="1"/>
    <col min="262" max="262" width="7.5" style="137" customWidth="1"/>
    <col min="263" max="264" width="14.875" style="137" customWidth="1"/>
    <col min="265" max="265" width="6.625" style="137" customWidth="1"/>
    <col min="266" max="266" width="13.25" style="137" customWidth="1"/>
    <col min="267" max="267" width="17" style="137" customWidth="1"/>
    <col min="268" max="512" width="9.625" style="137"/>
    <col min="513" max="513" width="4.625" style="137" customWidth="1"/>
    <col min="514" max="514" width="1.875" style="137" customWidth="1"/>
    <col min="515" max="515" width="30.625" style="137" customWidth="1"/>
    <col min="516" max="516" width="28.625" style="137" customWidth="1"/>
    <col min="517" max="517" width="8.125" style="137" customWidth="1"/>
    <col min="518" max="518" width="7.5" style="137" customWidth="1"/>
    <col min="519" max="520" width="14.875" style="137" customWidth="1"/>
    <col min="521" max="521" width="6.625" style="137" customWidth="1"/>
    <col min="522" max="522" width="13.25" style="137" customWidth="1"/>
    <col min="523" max="523" width="17" style="137" customWidth="1"/>
    <col min="524" max="768" width="9.625" style="137"/>
    <col min="769" max="769" width="4.625" style="137" customWidth="1"/>
    <col min="770" max="770" width="1.875" style="137" customWidth="1"/>
    <col min="771" max="771" width="30.625" style="137" customWidth="1"/>
    <col min="772" max="772" width="28.625" style="137" customWidth="1"/>
    <col min="773" max="773" width="8.125" style="137" customWidth="1"/>
    <col min="774" max="774" width="7.5" style="137" customWidth="1"/>
    <col min="775" max="776" width="14.875" style="137" customWidth="1"/>
    <col min="777" max="777" width="6.625" style="137" customWidth="1"/>
    <col min="778" max="778" width="13.25" style="137" customWidth="1"/>
    <col min="779" max="779" width="17" style="137" customWidth="1"/>
    <col min="780" max="1024" width="9.625" style="137"/>
    <col min="1025" max="1025" width="4.625" style="137" customWidth="1"/>
    <col min="1026" max="1026" width="1.875" style="137" customWidth="1"/>
    <col min="1027" max="1027" width="30.625" style="137" customWidth="1"/>
    <col min="1028" max="1028" width="28.625" style="137" customWidth="1"/>
    <col min="1029" max="1029" width="8.125" style="137" customWidth="1"/>
    <col min="1030" max="1030" width="7.5" style="137" customWidth="1"/>
    <col min="1031" max="1032" width="14.875" style="137" customWidth="1"/>
    <col min="1033" max="1033" width="6.625" style="137" customWidth="1"/>
    <col min="1034" max="1034" width="13.25" style="137" customWidth="1"/>
    <col min="1035" max="1035" width="17" style="137" customWidth="1"/>
    <col min="1036" max="1280" width="9.625" style="137"/>
    <col min="1281" max="1281" width="4.625" style="137" customWidth="1"/>
    <col min="1282" max="1282" width="1.875" style="137" customWidth="1"/>
    <col min="1283" max="1283" width="30.625" style="137" customWidth="1"/>
    <col min="1284" max="1284" width="28.625" style="137" customWidth="1"/>
    <col min="1285" max="1285" width="8.125" style="137" customWidth="1"/>
    <col min="1286" max="1286" width="7.5" style="137" customWidth="1"/>
    <col min="1287" max="1288" width="14.875" style="137" customWidth="1"/>
    <col min="1289" max="1289" width="6.625" style="137" customWidth="1"/>
    <col min="1290" max="1290" width="13.25" style="137" customWidth="1"/>
    <col min="1291" max="1291" width="17" style="137" customWidth="1"/>
    <col min="1292" max="1536" width="9.625" style="137"/>
    <col min="1537" max="1537" width="4.625" style="137" customWidth="1"/>
    <col min="1538" max="1538" width="1.875" style="137" customWidth="1"/>
    <col min="1539" max="1539" width="30.625" style="137" customWidth="1"/>
    <col min="1540" max="1540" width="28.625" style="137" customWidth="1"/>
    <col min="1541" max="1541" width="8.125" style="137" customWidth="1"/>
    <col min="1542" max="1542" width="7.5" style="137" customWidth="1"/>
    <col min="1543" max="1544" width="14.875" style="137" customWidth="1"/>
    <col min="1545" max="1545" width="6.625" style="137" customWidth="1"/>
    <col min="1546" max="1546" width="13.25" style="137" customWidth="1"/>
    <col min="1547" max="1547" width="17" style="137" customWidth="1"/>
    <col min="1548" max="1792" width="9.625" style="137"/>
    <col min="1793" max="1793" width="4.625" style="137" customWidth="1"/>
    <col min="1794" max="1794" width="1.875" style="137" customWidth="1"/>
    <col min="1795" max="1795" width="30.625" style="137" customWidth="1"/>
    <col min="1796" max="1796" width="28.625" style="137" customWidth="1"/>
    <col min="1797" max="1797" width="8.125" style="137" customWidth="1"/>
    <col min="1798" max="1798" width="7.5" style="137" customWidth="1"/>
    <col min="1799" max="1800" width="14.875" style="137" customWidth="1"/>
    <col min="1801" max="1801" width="6.625" style="137" customWidth="1"/>
    <col min="1802" max="1802" width="13.25" style="137" customWidth="1"/>
    <col min="1803" max="1803" width="17" style="137" customWidth="1"/>
    <col min="1804" max="2048" width="9.625" style="137"/>
    <col min="2049" max="2049" width="4.625" style="137" customWidth="1"/>
    <col min="2050" max="2050" width="1.875" style="137" customWidth="1"/>
    <col min="2051" max="2051" width="30.625" style="137" customWidth="1"/>
    <col min="2052" max="2052" width="28.625" style="137" customWidth="1"/>
    <col min="2053" max="2053" width="8.125" style="137" customWidth="1"/>
    <col min="2054" max="2054" width="7.5" style="137" customWidth="1"/>
    <col min="2055" max="2056" width="14.875" style="137" customWidth="1"/>
    <col min="2057" max="2057" width="6.625" style="137" customWidth="1"/>
    <col min="2058" max="2058" width="13.25" style="137" customWidth="1"/>
    <col min="2059" max="2059" width="17" style="137" customWidth="1"/>
    <col min="2060" max="2304" width="9.625" style="137"/>
    <col min="2305" max="2305" width="4.625" style="137" customWidth="1"/>
    <col min="2306" max="2306" width="1.875" style="137" customWidth="1"/>
    <col min="2307" max="2307" width="30.625" style="137" customWidth="1"/>
    <col min="2308" max="2308" width="28.625" style="137" customWidth="1"/>
    <col min="2309" max="2309" width="8.125" style="137" customWidth="1"/>
    <col min="2310" max="2310" width="7.5" style="137" customWidth="1"/>
    <col min="2311" max="2312" width="14.875" style="137" customWidth="1"/>
    <col min="2313" max="2313" width="6.625" style="137" customWidth="1"/>
    <col min="2314" max="2314" width="13.25" style="137" customWidth="1"/>
    <col min="2315" max="2315" width="17" style="137" customWidth="1"/>
    <col min="2316" max="2560" width="9.625" style="137"/>
    <col min="2561" max="2561" width="4.625" style="137" customWidth="1"/>
    <col min="2562" max="2562" width="1.875" style="137" customWidth="1"/>
    <col min="2563" max="2563" width="30.625" style="137" customWidth="1"/>
    <col min="2564" max="2564" width="28.625" style="137" customWidth="1"/>
    <col min="2565" max="2565" width="8.125" style="137" customWidth="1"/>
    <col min="2566" max="2566" width="7.5" style="137" customWidth="1"/>
    <col min="2567" max="2568" width="14.875" style="137" customWidth="1"/>
    <col min="2569" max="2569" width="6.625" style="137" customWidth="1"/>
    <col min="2570" max="2570" width="13.25" style="137" customWidth="1"/>
    <col min="2571" max="2571" width="17" style="137" customWidth="1"/>
    <col min="2572" max="2816" width="9.625" style="137"/>
    <col min="2817" max="2817" width="4.625" style="137" customWidth="1"/>
    <col min="2818" max="2818" width="1.875" style="137" customWidth="1"/>
    <col min="2819" max="2819" width="30.625" style="137" customWidth="1"/>
    <col min="2820" max="2820" width="28.625" style="137" customWidth="1"/>
    <col min="2821" max="2821" width="8.125" style="137" customWidth="1"/>
    <col min="2822" max="2822" width="7.5" style="137" customWidth="1"/>
    <col min="2823" max="2824" width="14.875" style="137" customWidth="1"/>
    <col min="2825" max="2825" width="6.625" style="137" customWidth="1"/>
    <col min="2826" max="2826" width="13.25" style="137" customWidth="1"/>
    <col min="2827" max="2827" width="17" style="137" customWidth="1"/>
    <col min="2828" max="3072" width="9.625" style="137"/>
    <col min="3073" max="3073" width="4.625" style="137" customWidth="1"/>
    <col min="3074" max="3074" width="1.875" style="137" customWidth="1"/>
    <col min="3075" max="3075" width="30.625" style="137" customWidth="1"/>
    <col min="3076" max="3076" width="28.625" style="137" customWidth="1"/>
    <col min="3077" max="3077" width="8.125" style="137" customWidth="1"/>
    <col min="3078" max="3078" width="7.5" style="137" customWidth="1"/>
    <col min="3079" max="3080" width="14.875" style="137" customWidth="1"/>
    <col min="3081" max="3081" width="6.625" style="137" customWidth="1"/>
    <col min="3082" max="3082" width="13.25" style="137" customWidth="1"/>
    <col min="3083" max="3083" width="17" style="137" customWidth="1"/>
    <col min="3084" max="3328" width="9.625" style="137"/>
    <col min="3329" max="3329" width="4.625" style="137" customWidth="1"/>
    <col min="3330" max="3330" width="1.875" style="137" customWidth="1"/>
    <col min="3331" max="3331" width="30.625" style="137" customWidth="1"/>
    <col min="3332" max="3332" width="28.625" style="137" customWidth="1"/>
    <col min="3333" max="3333" width="8.125" style="137" customWidth="1"/>
    <col min="3334" max="3334" width="7.5" style="137" customWidth="1"/>
    <col min="3335" max="3336" width="14.875" style="137" customWidth="1"/>
    <col min="3337" max="3337" width="6.625" style="137" customWidth="1"/>
    <col min="3338" max="3338" width="13.25" style="137" customWidth="1"/>
    <col min="3339" max="3339" width="17" style="137" customWidth="1"/>
    <col min="3340" max="3584" width="9.625" style="137"/>
    <col min="3585" max="3585" width="4.625" style="137" customWidth="1"/>
    <col min="3586" max="3586" width="1.875" style="137" customWidth="1"/>
    <col min="3587" max="3587" width="30.625" style="137" customWidth="1"/>
    <col min="3588" max="3588" width="28.625" style="137" customWidth="1"/>
    <col min="3589" max="3589" width="8.125" style="137" customWidth="1"/>
    <col min="3590" max="3590" width="7.5" style="137" customWidth="1"/>
    <col min="3591" max="3592" width="14.875" style="137" customWidth="1"/>
    <col min="3593" max="3593" width="6.625" style="137" customWidth="1"/>
    <col min="3594" max="3594" width="13.25" style="137" customWidth="1"/>
    <col min="3595" max="3595" width="17" style="137" customWidth="1"/>
    <col min="3596" max="3840" width="9.625" style="137"/>
    <col min="3841" max="3841" width="4.625" style="137" customWidth="1"/>
    <col min="3842" max="3842" width="1.875" style="137" customWidth="1"/>
    <col min="3843" max="3843" width="30.625" style="137" customWidth="1"/>
    <col min="3844" max="3844" width="28.625" style="137" customWidth="1"/>
    <col min="3845" max="3845" width="8.125" style="137" customWidth="1"/>
    <col min="3846" max="3846" width="7.5" style="137" customWidth="1"/>
    <col min="3847" max="3848" width="14.875" style="137" customWidth="1"/>
    <col min="3849" max="3849" width="6.625" style="137" customWidth="1"/>
    <col min="3850" max="3850" width="13.25" style="137" customWidth="1"/>
    <col min="3851" max="3851" width="17" style="137" customWidth="1"/>
    <col min="3852" max="4096" width="9.625" style="137"/>
    <col min="4097" max="4097" width="4.625" style="137" customWidth="1"/>
    <col min="4098" max="4098" width="1.875" style="137" customWidth="1"/>
    <col min="4099" max="4099" width="30.625" style="137" customWidth="1"/>
    <col min="4100" max="4100" width="28.625" style="137" customWidth="1"/>
    <col min="4101" max="4101" width="8.125" style="137" customWidth="1"/>
    <col min="4102" max="4102" width="7.5" style="137" customWidth="1"/>
    <col min="4103" max="4104" width="14.875" style="137" customWidth="1"/>
    <col min="4105" max="4105" width="6.625" style="137" customWidth="1"/>
    <col min="4106" max="4106" width="13.25" style="137" customWidth="1"/>
    <col min="4107" max="4107" width="17" style="137" customWidth="1"/>
    <col min="4108" max="4352" width="9.625" style="137"/>
    <col min="4353" max="4353" width="4.625" style="137" customWidth="1"/>
    <col min="4354" max="4354" width="1.875" style="137" customWidth="1"/>
    <col min="4355" max="4355" width="30.625" style="137" customWidth="1"/>
    <col min="4356" max="4356" width="28.625" style="137" customWidth="1"/>
    <col min="4357" max="4357" width="8.125" style="137" customWidth="1"/>
    <col min="4358" max="4358" width="7.5" style="137" customWidth="1"/>
    <col min="4359" max="4360" width="14.875" style="137" customWidth="1"/>
    <col min="4361" max="4361" width="6.625" style="137" customWidth="1"/>
    <col min="4362" max="4362" width="13.25" style="137" customWidth="1"/>
    <col min="4363" max="4363" width="17" style="137" customWidth="1"/>
    <col min="4364" max="4608" width="9.625" style="137"/>
    <col min="4609" max="4609" width="4.625" style="137" customWidth="1"/>
    <col min="4610" max="4610" width="1.875" style="137" customWidth="1"/>
    <col min="4611" max="4611" width="30.625" style="137" customWidth="1"/>
    <col min="4612" max="4612" width="28.625" style="137" customWidth="1"/>
    <col min="4613" max="4613" width="8.125" style="137" customWidth="1"/>
    <col min="4614" max="4614" width="7.5" style="137" customWidth="1"/>
    <col min="4615" max="4616" width="14.875" style="137" customWidth="1"/>
    <col min="4617" max="4617" width="6.625" style="137" customWidth="1"/>
    <col min="4618" max="4618" width="13.25" style="137" customWidth="1"/>
    <col min="4619" max="4619" width="17" style="137" customWidth="1"/>
    <col min="4620" max="4864" width="9.625" style="137"/>
    <col min="4865" max="4865" width="4.625" style="137" customWidth="1"/>
    <col min="4866" max="4866" width="1.875" style="137" customWidth="1"/>
    <col min="4867" max="4867" width="30.625" style="137" customWidth="1"/>
    <col min="4868" max="4868" width="28.625" style="137" customWidth="1"/>
    <col min="4869" max="4869" width="8.125" style="137" customWidth="1"/>
    <col min="4870" max="4870" width="7.5" style="137" customWidth="1"/>
    <col min="4871" max="4872" width="14.875" style="137" customWidth="1"/>
    <col min="4873" max="4873" width="6.625" style="137" customWidth="1"/>
    <col min="4874" max="4874" width="13.25" style="137" customWidth="1"/>
    <col min="4875" max="4875" width="17" style="137" customWidth="1"/>
    <col min="4876" max="5120" width="9.625" style="137"/>
    <col min="5121" max="5121" width="4.625" style="137" customWidth="1"/>
    <col min="5122" max="5122" width="1.875" style="137" customWidth="1"/>
    <col min="5123" max="5123" width="30.625" style="137" customWidth="1"/>
    <col min="5124" max="5124" width="28.625" style="137" customWidth="1"/>
    <col min="5125" max="5125" width="8.125" style="137" customWidth="1"/>
    <col min="5126" max="5126" width="7.5" style="137" customWidth="1"/>
    <col min="5127" max="5128" width="14.875" style="137" customWidth="1"/>
    <col min="5129" max="5129" width="6.625" style="137" customWidth="1"/>
    <col min="5130" max="5130" width="13.25" style="137" customWidth="1"/>
    <col min="5131" max="5131" width="17" style="137" customWidth="1"/>
    <col min="5132" max="5376" width="9.625" style="137"/>
    <col min="5377" max="5377" width="4.625" style="137" customWidth="1"/>
    <col min="5378" max="5378" width="1.875" style="137" customWidth="1"/>
    <col min="5379" max="5379" width="30.625" style="137" customWidth="1"/>
    <col min="5380" max="5380" width="28.625" style="137" customWidth="1"/>
    <col min="5381" max="5381" width="8.125" style="137" customWidth="1"/>
    <col min="5382" max="5382" width="7.5" style="137" customWidth="1"/>
    <col min="5383" max="5384" width="14.875" style="137" customWidth="1"/>
    <col min="5385" max="5385" width="6.625" style="137" customWidth="1"/>
    <col min="5386" max="5386" width="13.25" style="137" customWidth="1"/>
    <col min="5387" max="5387" width="17" style="137" customWidth="1"/>
    <col min="5388" max="5632" width="9.625" style="137"/>
    <col min="5633" max="5633" width="4.625" style="137" customWidth="1"/>
    <col min="5634" max="5634" width="1.875" style="137" customWidth="1"/>
    <col min="5635" max="5635" width="30.625" style="137" customWidth="1"/>
    <col min="5636" max="5636" width="28.625" style="137" customWidth="1"/>
    <col min="5637" max="5637" width="8.125" style="137" customWidth="1"/>
    <col min="5638" max="5638" width="7.5" style="137" customWidth="1"/>
    <col min="5639" max="5640" width="14.875" style="137" customWidth="1"/>
    <col min="5641" max="5641" width="6.625" style="137" customWidth="1"/>
    <col min="5642" max="5642" width="13.25" style="137" customWidth="1"/>
    <col min="5643" max="5643" width="17" style="137" customWidth="1"/>
    <col min="5644" max="5888" width="9.625" style="137"/>
    <col min="5889" max="5889" width="4.625" style="137" customWidth="1"/>
    <col min="5890" max="5890" width="1.875" style="137" customWidth="1"/>
    <col min="5891" max="5891" width="30.625" style="137" customWidth="1"/>
    <col min="5892" max="5892" width="28.625" style="137" customWidth="1"/>
    <col min="5893" max="5893" width="8.125" style="137" customWidth="1"/>
    <col min="5894" max="5894" width="7.5" style="137" customWidth="1"/>
    <col min="5895" max="5896" width="14.875" style="137" customWidth="1"/>
    <col min="5897" max="5897" width="6.625" style="137" customWidth="1"/>
    <col min="5898" max="5898" width="13.25" style="137" customWidth="1"/>
    <col min="5899" max="5899" width="17" style="137" customWidth="1"/>
    <col min="5900" max="6144" width="9.625" style="137"/>
    <col min="6145" max="6145" width="4.625" style="137" customWidth="1"/>
    <col min="6146" max="6146" width="1.875" style="137" customWidth="1"/>
    <col min="6147" max="6147" width="30.625" style="137" customWidth="1"/>
    <col min="6148" max="6148" width="28.625" style="137" customWidth="1"/>
    <col min="6149" max="6149" width="8.125" style="137" customWidth="1"/>
    <col min="6150" max="6150" width="7.5" style="137" customWidth="1"/>
    <col min="6151" max="6152" width="14.875" style="137" customWidth="1"/>
    <col min="6153" max="6153" width="6.625" style="137" customWidth="1"/>
    <col min="6154" max="6154" width="13.25" style="137" customWidth="1"/>
    <col min="6155" max="6155" width="17" style="137" customWidth="1"/>
    <col min="6156" max="6400" width="9.625" style="137"/>
    <col min="6401" max="6401" width="4.625" style="137" customWidth="1"/>
    <col min="6402" max="6402" width="1.875" style="137" customWidth="1"/>
    <col min="6403" max="6403" width="30.625" style="137" customWidth="1"/>
    <col min="6404" max="6404" width="28.625" style="137" customWidth="1"/>
    <col min="6405" max="6405" width="8.125" style="137" customWidth="1"/>
    <col min="6406" max="6406" width="7.5" style="137" customWidth="1"/>
    <col min="6407" max="6408" width="14.875" style="137" customWidth="1"/>
    <col min="6409" max="6409" width="6.625" style="137" customWidth="1"/>
    <col min="6410" max="6410" width="13.25" style="137" customWidth="1"/>
    <col min="6411" max="6411" width="17" style="137" customWidth="1"/>
    <col min="6412" max="6656" width="9.625" style="137"/>
    <col min="6657" max="6657" width="4.625" style="137" customWidth="1"/>
    <col min="6658" max="6658" width="1.875" style="137" customWidth="1"/>
    <col min="6659" max="6659" width="30.625" style="137" customWidth="1"/>
    <col min="6660" max="6660" width="28.625" style="137" customWidth="1"/>
    <col min="6661" max="6661" width="8.125" style="137" customWidth="1"/>
    <col min="6662" max="6662" width="7.5" style="137" customWidth="1"/>
    <col min="6663" max="6664" width="14.875" style="137" customWidth="1"/>
    <col min="6665" max="6665" width="6.625" style="137" customWidth="1"/>
    <col min="6666" max="6666" width="13.25" style="137" customWidth="1"/>
    <col min="6667" max="6667" width="17" style="137" customWidth="1"/>
    <col min="6668" max="6912" width="9.625" style="137"/>
    <col min="6913" max="6913" width="4.625" style="137" customWidth="1"/>
    <col min="6914" max="6914" width="1.875" style="137" customWidth="1"/>
    <col min="6915" max="6915" width="30.625" style="137" customWidth="1"/>
    <col min="6916" max="6916" width="28.625" style="137" customWidth="1"/>
    <col min="6917" max="6917" width="8.125" style="137" customWidth="1"/>
    <col min="6918" max="6918" width="7.5" style="137" customWidth="1"/>
    <col min="6919" max="6920" width="14.875" style="137" customWidth="1"/>
    <col min="6921" max="6921" width="6.625" style="137" customWidth="1"/>
    <col min="6922" max="6922" width="13.25" style="137" customWidth="1"/>
    <col min="6923" max="6923" width="17" style="137" customWidth="1"/>
    <col min="6924" max="7168" width="9.625" style="137"/>
    <col min="7169" max="7169" width="4.625" style="137" customWidth="1"/>
    <col min="7170" max="7170" width="1.875" style="137" customWidth="1"/>
    <col min="7171" max="7171" width="30.625" style="137" customWidth="1"/>
    <col min="7172" max="7172" width="28.625" style="137" customWidth="1"/>
    <col min="7173" max="7173" width="8.125" style="137" customWidth="1"/>
    <col min="7174" max="7174" width="7.5" style="137" customWidth="1"/>
    <col min="7175" max="7176" width="14.875" style="137" customWidth="1"/>
    <col min="7177" max="7177" width="6.625" style="137" customWidth="1"/>
    <col min="7178" max="7178" width="13.25" style="137" customWidth="1"/>
    <col min="7179" max="7179" width="17" style="137" customWidth="1"/>
    <col min="7180" max="7424" width="9.625" style="137"/>
    <col min="7425" max="7425" width="4.625" style="137" customWidth="1"/>
    <col min="7426" max="7426" width="1.875" style="137" customWidth="1"/>
    <col min="7427" max="7427" width="30.625" style="137" customWidth="1"/>
    <col min="7428" max="7428" width="28.625" style="137" customWidth="1"/>
    <col min="7429" max="7429" width="8.125" style="137" customWidth="1"/>
    <col min="7430" max="7430" width="7.5" style="137" customWidth="1"/>
    <col min="7431" max="7432" width="14.875" style="137" customWidth="1"/>
    <col min="7433" max="7433" width="6.625" style="137" customWidth="1"/>
    <col min="7434" max="7434" width="13.25" style="137" customWidth="1"/>
    <col min="7435" max="7435" width="17" style="137" customWidth="1"/>
    <col min="7436" max="7680" width="9.625" style="137"/>
    <col min="7681" max="7681" width="4.625" style="137" customWidth="1"/>
    <col min="7682" max="7682" width="1.875" style="137" customWidth="1"/>
    <col min="7683" max="7683" width="30.625" style="137" customWidth="1"/>
    <col min="7684" max="7684" width="28.625" style="137" customWidth="1"/>
    <col min="7685" max="7685" width="8.125" style="137" customWidth="1"/>
    <col min="7686" max="7686" width="7.5" style="137" customWidth="1"/>
    <col min="7687" max="7688" width="14.875" style="137" customWidth="1"/>
    <col min="7689" max="7689" width="6.625" style="137" customWidth="1"/>
    <col min="7690" max="7690" width="13.25" style="137" customWidth="1"/>
    <col min="7691" max="7691" width="17" style="137" customWidth="1"/>
    <col min="7692" max="7936" width="9.625" style="137"/>
    <col min="7937" max="7937" width="4.625" style="137" customWidth="1"/>
    <col min="7938" max="7938" width="1.875" style="137" customWidth="1"/>
    <col min="7939" max="7939" width="30.625" style="137" customWidth="1"/>
    <col min="7940" max="7940" width="28.625" style="137" customWidth="1"/>
    <col min="7941" max="7941" width="8.125" style="137" customWidth="1"/>
    <col min="7942" max="7942" width="7.5" style="137" customWidth="1"/>
    <col min="7943" max="7944" width="14.875" style="137" customWidth="1"/>
    <col min="7945" max="7945" width="6.625" style="137" customWidth="1"/>
    <col min="7946" max="7946" width="13.25" style="137" customWidth="1"/>
    <col min="7947" max="7947" width="17" style="137" customWidth="1"/>
    <col min="7948" max="8192" width="9.625" style="137"/>
    <col min="8193" max="8193" width="4.625" style="137" customWidth="1"/>
    <col min="8194" max="8194" width="1.875" style="137" customWidth="1"/>
    <col min="8195" max="8195" width="30.625" style="137" customWidth="1"/>
    <col min="8196" max="8196" width="28.625" style="137" customWidth="1"/>
    <col min="8197" max="8197" width="8.125" style="137" customWidth="1"/>
    <col min="8198" max="8198" width="7.5" style="137" customWidth="1"/>
    <col min="8199" max="8200" width="14.875" style="137" customWidth="1"/>
    <col min="8201" max="8201" width="6.625" style="137" customWidth="1"/>
    <col min="8202" max="8202" width="13.25" style="137" customWidth="1"/>
    <col min="8203" max="8203" width="17" style="137" customWidth="1"/>
    <col min="8204" max="8448" width="9.625" style="137"/>
    <col min="8449" max="8449" width="4.625" style="137" customWidth="1"/>
    <col min="8450" max="8450" width="1.875" style="137" customWidth="1"/>
    <col min="8451" max="8451" width="30.625" style="137" customWidth="1"/>
    <col min="8452" max="8452" width="28.625" style="137" customWidth="1"/>
    <col min="8453" max="8453" width="8.125" style="137" customWidth="1"/>
    <col min="8454" max="8454" width="7.5" style="137" customWidth="1"/>
    <col min="8455" max="8456" width="14.875" style="137" customWidth="1"/>
    <col min="8457" max="8457" width="6.625" style="137" customWidth="1"/>
    <col min="8458" max="8458" width="13.25" style="137" customWidth="1"/>
    <col min="8459" max="8459" width="17" style="137" customWidth="1"/>
    <col min="8460" max="8704" width="9.625" style="137"/>
    <col min="8705" max="8705" width="4.625" style="137" customWidth="1"/>
    <col min="8706" max="8706" width="1.875" style="137" customWidth="1"/>
    <col min="8707" max="8707" width="30.625" style="137" customWidth="1"/>
    <col min="8708" max="8708" width="28.625" style="137" customWidth="1"/>
    <col min="8709" max="8709" width="8.125" style="137" customWidth="1"/>
    <col min="8710" max="8710" width="7.5" style="137" customWidth="1"/>
    <col min="8711" max="8712" width="14.875" style="137" customWidth="1"/>
    <col min="8713" max="8713" width="6.625" style="137" customWidth="1"/>
    <col min="8714" max="8714" width="13.25" style="137" customWidth="1"/>
    <col min="8715" max="8715" width="17" style="137" customWidth="1"/>
    <col min="8716" max="8960" width="9.625" style="137"/>
    <col min="8961" max="8961" width="4.625" style="137" customWidth="1"/>
    <col min="8962" max="8962" width="1.875" style="137" customWidth="1"/>
    <col min="8963" max="8963" width="30.625" style="137" customWidth="1"/>
    <col min="8964" max="8964" width="28.625" style="137" customWidth="1"/>
    <col min="8965" max="8965" width="8.125" style="137" customWidth="1"/>
    <col min="8966" max="8966" width="7.5" style="137" customWidth="1"/>
    <col min="8967" max="8968" width="14.875" style="137" customWidth="1"/>
    <col min="8969" max="8969" width="6.625" style="137" customWidth="1"/>
    <col min="8970" max="8970" width="13.25" style="137" customWidth="1"/>
    <col min="8971" max="8971" width="17" style="137" customWidth="1"/>
    <col min="8972" max="9216" width="9.625" style="137"/>
    <col min="9217" max="9217" width="4.625" style="137" customWidth="1"/>
    <col min="9218" max="9218" width="1.875" style="137" customWidth="1"/>
    <col min="9219" max="9219" width="30.625" style="137" customWidth="1"/>
    <col min="9220" max="9220" width="28.625" style="137" customWidth="1"/>
    <col min="9221" max="9221" width="8.125" style="137" customWidth="1"/>
    <col min="9222" max="9222" width="7.5" style="137" customWidth="1"/>
    <col min="9223" max="9224" width="14.875" style="137" customWidth="1"/>
    <col min="9225" max="9225" width="6.625" style="137" customWidth="1"/>
    <col min="9226" max="9226" width="13.25" style="137" customWidth="1"/>
    <col min="9227" max="9227" width="17" style="137" customWidth="1"/>
    <col min="9228" max="9472" width="9.625" style="137"/>
    <col min="9473" max="9473" width="4.625" style="137" customWidth="1"/>
    <col min="9474" max="9474" width="1.875" style="137" customWidth="1"/>
    <col min="9475" max="9475" width="30.625" style="137" customWidth="1"/>
    <col min="9476" max="9476" width="28.625" style="137" customWidth="1"/>
    <col min="9477" max="9477" width="8.125" style="137" customWidth="1"/>
    <col min="9478" max="9478" width="7.5" style="137" customWidth="1"/>
    <col min="9479" max="9480" width="14.875" style="137" customWidth="1"/>
    <col min="9481" max="9481" width="6.625" style="137" customWidth="1"/>
    <col min="9482" max="9482" width="13.25" style="137" customWidth="1"/>
    <col min="9483" max="9483" width="17" style="137" customWidth="1"/>
    <col min="9484" max="9728" width="9.625" style="137"/>
    <col min="9729" max="9729" width="4.625" style="137" customWidth="1"/>
    <col min="9730" max="9730" width="1.875" style="137" customWidth="1"/>
    <col min="9731" max="9731" width="30.625" style="137" customWidth="1"/>
    <col min="9732" max="9732" width="28.625" style="137" customWidth="1"/>
    <col min="9733" max="9733" width="8.125" style="137" customWidth="1"/>
    <col min="9734" max="9734" width="7.5" style="137" customWidth="1"/>
    <col min="9735" max="9736" width="14.875" style="137" customWidth="1"/>
    <col min="9737" max="9737" width="6.625" style="137" customWidth="1"/>
    <col min="9738" max="9738" width="13.25" style="137" customWidth="1"/>
    <col min="9739" max="9739" width="17" style="137" customWidth="1"/>
    <col min="9740" max="9984" width="9.625" style="137"/>
    <col min="9985" max="9985" width="4.625" style="137" customWidth="1"/>
    <col min="9986" max="9986" width="1.875" style="137" customWidth="1"/>
    <col min="9987" max="9987" width="30.625" style="137" customWidth="1"/>
    <col min="9988" max="9988" width="28.625" style="137" customWidth="1"/>
    <col min="9989" max="9989" width="8.125" style="137" customWidth="1"/>
    <col min="9990" max="9990" width="7.5" style="137" customWidth="1"/>
    <col min="9991" max="9992" width="14.875" style="137" customWidth="1"/>
    <col min="9993" max="9993" width="6.625" style="137" customWidth="1"/>
    <col min="9994" max="9994" width="13.25" style="137" customWidth="1"/>
    <col min="9995" max="9995" width="17" style="137" customWidth="1"/>
    <col min="9996" max="10240" width="9.625" style="137"/>
    <col min="10241" max="10241" width="4.625" style="137" customWidth="1"/>
    <col min="10242" max="10242" width="1.875" style="137" customWidth="1"/>
    <col min="10243" max="10243" width="30.625" style="137" customWidth="1"/>
    <col min="10244" max="10244" width="28.625" style="137" customWidth="1"/>
    <col min="10245" max="10245" width="8.125" style="137" customWidth="1"/>
    <col min="10246" max="10246" width="7.5" style="137" customWidth="1"/>
    <col min="10247" max="10248" width="14.875" style="137" customWidth="1"/>
    <col min="10249" max="10249" width="6.625" style="137" customWidth="1"/>
    <col min="10250" max="10250" width="13.25" style="137" customWidth="1"/>
    <col min="10251" max="10251" width="17" style="137" customWidth="1"/>
    <col min="10252" max="10496" width="9.625" style="137"/>
    <col min="10497" max="10497" width="4.625" style="137" customWidth="1"/>
    <col min="10498" max="10498" width="1.875" style="137" customWidth="1"/>
    <col min="10499" max="10499" width="30.625" style="137" customWidth="1"/>
    <col min="10500" max="10500" width="28.625" style="137" customWidth="1"/>
    <col min="10501" max="10501" width="8.125" style="137" customWidth="1"/>
    <col min="10502" max="10502" width="7.5" style="137" customWidth="1"/>
    <col min="10503" max="10504" width="14.875" style="137" customWidth="1"/>
    <col min="10505" max="10505" width="6.625" style="137" customWidth="1"/>
    <col min="10506" max="10506" width="13.25" style="137" customWidth="1"/>
    <col min="10507" max="10507" width="17" style="137" customWidth="1"/>
    <col min="10508" max="10752" width="9.625" style="137"/>
    <col min="10753" max="10753" width="4.625" style="137" customWidth="1"/>
    <col min="10754" max="10754" width="1.875" style="137" customWidth="1"/>
    <col min="10755" max="10755" width="30.625" style="137" customWidth="1"/>
    <col min="10756" max="10756" width="28.625" style="137" customWidth="1"/>
    <col min="10757" max="10757" width="8.125" style="137" customWidth="1"/>
    <col min="10758" max="10758" width="7.5" style="137" customWidth="1"/>
    <col min="10759" max="10760" width="14.875" style="137" customWidth="1"/>
    <col min="10761" max="10761" width="6.625" style="137" customWidth="1"/>
    <col min="10762" max="10762" width="13.25" style="137" customWidth="1"/>
    <col min="10763" max="10763" width="17" style="137" customWidth="1"/>
    <col min="10764" max="11008" width="9.625" style="137"/>
    <col min="11009" max="11009" width="4.625" style="137" customWidth="1"/>
    <col min="11010" max="11010" width="1.875" style="137" customWidth="1"/>
    <col min="11011" max="11011" width="30.625" style="137" customWidth="1"/>
    <col min="11012" max="11012" width="28.625" style="137" customWidth="1"/>
    <col min="11013" max="11013" width="8.125" style="137" customWidth="1"/>
    <col min="11014" max="11014" width="7.5" style="137" customWidth="1"/>
    <col min="11015" max="11016" width="14.875" style="137" customWidth="1"/>
    <col min="11017" max="11017" width="6.625" style="137" customWidth="1"/>
    <col min="11018" max="11018" width="13.25" style="137" customWidth="1"/>
    <col min="11019" max="11019" width="17" style="137" customWidth="1"/>
    <col min="11020" max="11264" width="9.625" style="137"/>
    <col min="11265" max="11265" width="4.625" style="137" customWidth="1"/>
    <col min="11266" max="11266" width="1.875" style="137" customWidth="1"/>
    <col min="11267" max="11267" width="30.625" style="137" customWidth="1"/>
    <col min="11268" max="11268" width="28.625" style="137" customWidth="1"/>
    <col min="11269" max="11269" width="8.125" style="137" customWidth="1"/>
    <col min="11270" max="11270" width="7.5" style="137" customWidth="1"/>
    <col min="11271" max="11272" width="14.875" style="137" customWidth="1"/>
    <col min="11273" max="11273" width="6.625" style="137" customWidth="1"/>
    <col min="11274" max="11274" width="13.25" style="137" customWidth="1"/>
    <col min="11275" max="11275" width="17" style="137" customWidth="1"/>
    <col min="11276" max="11520" width="9.625" style="137"/>
    <col min="11521" max="11521" width="4.625" style="137" customWidth="1"/>
    <col min="11522" max="11522" width="1.875" style="137" customWidth="1"/>
    <col min="11523" max="11523" width="30.625" style="137" customWidth="1"/>
    <col min="11524" max="11524" width="28.625" style="137" customWidth="1"/>
    <col min="11525" max="11525" width="8.125" style="137" customWidth="1"/>
    <col min="11526" max="11526" width="7.5" style="137" customWidth="1"/>
    <col min="11527" max="11528" width="14.875" style="137" customWidth="1"/>
    <col min="11529" max="11529" width="6.625" style="137" customWidth="1"/>
    <col min="11530" max="11530" width="13.25" style="137" customWidth="1"/>
    <col min="11531" max="11531" width="17" style="137" customWidth="1"/>
    <col min="11532" max="11776" width="9.625" style="137"/>
    <col min="11777" max="11777" width="4.625" style="137" customWidth="1"/>
    <col min="11778" max="11778" width="1.875" style="137" customWidth="1"/>
    <col min="11779" max="11779" width="30.625" style="137" customWidth="1"/>
    <col min="11780" max="11780" width="28.625" style="137" customWidth="1"/>
    <col min="11781" max="11781" width="8.125" style="137" customWidth="1"/>
    <col min="11782" max="11782" width="7.5" style="137" customWidth="1"/>
    <col min="11783" max="11784" width="14.875" style="137" customWidth="1"/>
    <col min="11785" max="11785" width="6.625" style="137" customWidth="1"/>
    <col min="11786" max="11786" width="13.25" style="137" customWidth="1"/>
    <col min="11787" max="11787" width="17" style="137" customWidth="1"/>
    <col min="11788" max="12032" width="9.625" style="137"/>
    <col min="12033" max="12033" width="4.625" style="137" customWidth="1"/>
    <col min="12034" max="12034" width="1.875" style="137" customWidth="1"/>
    <col min="12035" max="12035" width="30.625" style="137" customWidth="1"/>
    <col min="12036" max="12036" width="28.625" style="137" customWidth="1"/>
    <col min="12037" max="12037" width="8.125" style="137" customWidth="1"/>
    <col min="12038" max="12038" width="7.5" style="137" customWidth="1"/>
    <col min="12039" max="12040" width="14.875" style="137" customWidth="1"/>
    <col min="12041" max="12041" width="6.625" style="137" customWidth="1"/>
    <col min="12042" max="12042" width="13.25" style="137" customWidth="1"/>
    <col min="12043" max="12043" width="17" style="137" customWidth="1"/>
    <col min="12044" max="12288" width="9.625" style="137"/>
    <col min="12289" max="12289" width="4.625" style="137" customWidth="1"/>
    <col min="12290" max="12290" width="1.875" style="137" customWidth="1"/>
    <col min="12291" max="12291" width="30.625" style="137" customWidth="1"/>
    <col min="12292" max="12292" width="28.625" style="137" customWidth="1"/>
    <col min="12293" max="12293" width="8.125" style="137" customWidth="1"/>
    <col min="12294" max="12294" width="7.5" style="137" customWidth="1"/>
    <col min="12295" max="12296" width="14.875" style="137" customWidth="1"/>
    <col min="12297" max="12297" width="6.625" style="137" customWidth="1"/>
    <col min="12298" max="12298" width="13.25" style="137" customWidth="1"/>
    <col min="12299" max="12299" width="17" style="137" customWidth="1"/>
    <col min="12300" max="12544" width="9.625" style="137"/>
    <col min="12545" max="12545" width="4.625" style="137" customWidth="1"/>
    <col min="12546" max="12546" width="1.875" style="137" customWidth="1"/>
    <col min="12547" max="12547" width="30.625" style="137" customWidth="1"/>
    <col min="12548" max="12548" width="28.625" style="137" customWidth="1"/>
    <col min="12549" max="12549" width="8.125" style="137" customWidth="1"/>
    <col min="12550" max="12550" width="7.5" style="137" customWidth="1"/>
    <col min="12551" max="12552" width="14.875" style="137" customWidth="1"/>
    <col min="12553" max="12553" width="6.625" style="137" customWidth="1"/>
    <col min="12554" max="12554" width="13.25" style="137" customWidth="1"/>
    <col min="12555" max="12555" width="17" style="137" customWidth="1"/>
    <col min="12556" max="12800" width="9.625" style="137"/>
    <col min="12801" max="12801" width="4.625" style="137" customWidth="1"/>
    <col min="12802" max="12802" width="1.875" style="137" customWidth="1"/>
    <col min="12803" max="12803" width="30.625" style="137" customWidth="1"/>
    <col min="12804" max="12804" width="28.625" style="137" customWidth="1"/>
    <col min="12805" max="12805" width="8.125" style="137" customWidth="1"/>
    <col min="12806" max="12806" width="7.5" style="137" customWidth="1"/>
    <col min="12807" max="12808" width="14.875" style="137" customWidth="1"/>
    <col min="12809" max="12809" width="6.625" style="137" customWidth="1"/>
    <col min="12810" max="12810" width="13.25" style="137" customWidth="1"/>
    <col min="12811" max="12811" width="17" style="137" customWidth="1"/>
    <col min="12812" max="13056" width="9.625" style="137"/>
    <col min="13057" max="13057" width="4.625" style="137" customWidth="1"/>
    <col min="13058" max="13058" width="1.875" style="137" customWidth="1"/>
    <col min="13059" max="13059" width="30.625" style="137" customWidth="1"/>
    <col min="13060" max="13060" width="28.625" style="137" customWidth="1"/>
    <col min="13061" max="13061" width="8.125" style="137" customWidth="1"/>
    <col min="13062" max="13062" width="7.5" style="137" customWidth="1"/>
    <col min="13063" max="13064" width="14.875" style="137" customWidth="1"/>
    <col min="13065" max="13065" width="6.625" style="137" customWidth="1"/>
    <col min="13066" max="13066" width="13.25" style="137" customWidth="1"/>
    <col min="13067" max="13067" width="17" style="137" customWidth="1"/>
    <col min="13068" max="13312" width="9.625" style="137"/>
    <col min="13313" max="13313" width="4.625" style="137" customWidth="1"/>
    <col min="13314" max="13314" width="1.875" style="137" customWidth="1"/>
    <col min="13315" max="13315" width="30.625" style="137" customWidth="1"/>
    <col min="13316" max="13316" width="28.625" style="137" customWidth="1"/>
    <col min="13317" max="13317" width="8.125" style="137" customWidth="1"/>
    <col min="13318" max="13318" width="7.5" style="137" customWidth="1"/>
    <col min="13319" max="13320" width="14.875" style="137" customWidth="1"/>
    <col min="13321" max="13321" width="6.625" style="137" customWidth="1"/>
    <col min="13322" max="13322" width="13.25" style="137" customWidth="1"/>
    <col min="13323" max="13323" width="17" style="137" customWidth="1"/>
    <col min="13324" max="13568" width="9.625" style="137"/>
    <col min="13569" max="13569" width="4.625" style="137" customWidth="1"/>
    <col min="13570" max="13570" width="1.875" style="137" customWidth="1"/>
    <col min="13571" max="13571" width="30.625" style="137" customWidth="1"/>
    <col min="13572" max="13572" width="28.625" style="137" customWidth="1"/>
    <col min="13573" max="13573" width="8.125" style="137" customWidth="1"/>
    <col min="13574" max="13574" width="7.5" style="137" customWidth="1"/>
    <col min="13575" max="13576" width="14.875" style="137" customWidth="1"/>
    <col min="13577" max="13577" width="6.625" style="137" customWidth="1"/>
    <col min="13578" max="13578" width="13.25" style="137" customWidth="1"/>
    <col min="13579" max="13579" width="17" style="137" customWidth="1"/>
    <col min="13580" max="13824" width="9.625" style="137"/>
    <col min="13825" max="13825" width="4.625" style="137" customWidth="1"/>
    <col min="13826" max="13826" width="1.875" style="137" customWidth="1"/>
    <col min="13827" max="13827" width="30.625" style="137" customWidth="1"/>
    <col min="13828" max="13828" width="28.625" style="137" customWidth="1"/>
    <col min="13829" max="13829" width="8.125" style="137" customWidth="1"/>
    <col min="13830" max="13830" width="7.5" style="137" customWidth="1"/>
    <col min="13831" max="13832" width="14.875" style="137" customWidth="1"/>
    <col min="13833" max="13833" width="6.625" style="137" customWidth="1"/>
    <col min="13834" max="13834" width="13.25" style="137" customWidth="1"/>
    <col min="13835" max="13835" width="17" style="137" customWidth="1"/>
    <col min="13836" max="14080" width="9.625" style="137"/>
    <col min="14081" max="14081" width="4.625" style="137" customWidth="1"/>
    <col min="14082" max="14082" width="1.875" style="137" customWidth="1"/>
    <col min="14083" max="14083" width="30.625" style="137" customWidth="1"/>
    <col min="14084" max="14084" width="28.625" style="137" customWidth="1"/>
    <col min="14085" max="14085" width="8.125" style="137" customWidth="1"/>
    <col min="14086" max="14086" width="7.5" style="137" customWidth="1"/>
    <col min="14087" max="14088" width="14.875" style="137" customWidth="1"/>
    <col min="14089" max="14089" width="6.625" style="137" customWidth="1"/>
    <col min="14090" max="14090" width="13.25" style="137" customWidth="1"/>
    <col min="14091" max="14091" width="17" style="137" customWidth="1"/>
    <col min="14092" max="14336" width="9.625" style="137"/>
    <col min="14337" max="14337" width="4.625" style="137" customWidth="1"/>
    <col min="14338" max="14338" width="1.875" style="137" customWidth="1"/>
    <col min="14339" max="14339" width="30.625" style="137" customWidth="1"/>
    <col min="14340" max="14340" width="28.625" style="137" customWidth="1"/>
    <col min="14341" max="14341" width="8.125" style="137" customWidth="1"/>
    <col min="14342" max="14342" width="7.5" style="137" customWidth="1"/>
    <col min="14343" max="14344" width="14.875" style="137" customWidth="1"/>
    <col min="14345" max="14345" width="6.625" style="137" customWidth="1"/>
    <col min="14346" max="14346" width="13.25" style="137" customWidth="1"/>
    <col min="14347" max="14347" width="17" style="137" customWidth="1"/>
    <col min="14348" max="14592" width="9.625" style="137"/>
    <col min="14593" max="14593" width="4.625" style="137" customWidth="1"/>
    <col min="14594" max="14594" width="1.875" style="137" customWidth="1"/>
    <col min="14595" max="14595" width="30.625" style="137" customWidth="1"/>
    <col min="14596" max="14596" width="28.625" style="137" customWidth="1"/>
    <col min="14597" max="14597" width="8.125" style="137" customWidth="1"/>
    <col min="14598" max="14598" width="7.5" style="137" customWidth="1"/>
    <col min="14599" max="14600" width="14.875" style="137" customWidth="1"/>
    <col min="14601" max="14601" width="6.625" style="137" customWidth="1"/>
    <col min="14602" max="14602" width="13.25" style="137" customWidth="1"/>
    <col min="14603" max="14603" width="17" style="137" customWidth="1"/>
    <col min="14604" max="14848" width="9.625" style="137"/>
    <col min="14849" max="14849" width="4.625" style="137" customWidth="1"/>
    <col min="14850" max="14850" width="1.875" style="137" customWidth="1"/>
    <col min="14851" max="14851" width="30.625" style="137" customWidth="1"/>
    <col min="14852" max="14852" width="28.625" style="137" customWidth="1"/>
    <col min="14853" max="14853" width="8.125" style="137" customWidth="1"/>
    <col min="14854" max="14854" width="7.5" style="137" customWidth="1"/>
    <col min="14855" max="14856" width="14.875" style="137" customWidth="1"/>
    <col min="14857" max="14857" width="6.625" style="137" customWidth="1"/>
    <col min="14858" max="14858" width="13.25" style="137" customWidth="1"/>
    <col min="14859" max="14859" width="17" style="137" customWidth="1"/>
    <col min="14860" max="15104" width="9.625" style="137"/>
    <col min="15105" max="15105" width="4.625" style="137" customWidth="1"/>
    <col min="15106" max="15106" width="1.875" style="137" customWidth="1"/>
    <col min="15107" max="15107" width="30.625" style="137" customWidth="1"/>
    <col min="15108" max="15108" width="28.625" style="137" customWidth="1"/>
    <col min="15109" max="15109" width="8.125" style="137" customWidth="1"/>
    <col min="15110" max="15110" width="7.5" style="137" customWidth="1"/>
    <col min="15111" max="15112" width="14.875" style="137" customWidth="1"/>
    <col min="15113" max="15113" width="6.625" style="137" customWidth="1"/>
    <col min="15114" max="15114" width="13.25" style="137" customWidth="1"/>
    <col min="15115" max="15115" width="17" style="137" customWidth="1"/>
    <col min="15116" max="15360" width="9.625" style="137"/>
    <col min="15361" max="15361" width="4.625" style="137" customWidth="1"/>
    <col min="15362" max="15362" width="1.875" style="137" customWidth="1"/>
    <col min="15363" max="15363" width="30.625" style="137" customWidth="1"/>
    <col min="15364" max="15364" width="28.625" style="137" customWidth="1"/>
    <col min="15365" max="15365" width="8.125" style="137" customWidth="1"/>
    <col min="15366" max="15366" width="7.5" style="137" customWidth="1"/>
    <col min="15367" max="15368" width="14.875" style="137" customWidth="1"/>
    <col min="15369" max="15369" width="6.625" style="137" customWidth="1"/>
    <col min="15370" max="15370" width="13.25" style="137" customWidth="1"/>
    <col min="15371" max="15371" width="17" style="137" customWidth="1"/>
    <col min="15372" max="15616" width="9.625" style="137"/>
    <col min="15617" max="15617" width="4.625" style="137" customWidth="1"/>
    <col min="15618" max="15618" width="1.875" style="137" customWidth="1"/>
    <col min="15619" max="15619" width="30.625" style="137" customWidth="1"/>
    <col min="15620" max="15620" width="28.625" style="137" customWidth="1"/>
    <col min="15621" max="15621" width="8.125" style="137" customWidth="1"/>
    <col min="15622" max="15622" width="7.5" style="137" customWidth="1"/>
    <col min="15623" max="15624" width="14.875" style="137" customWidth="1"/>
    <col min="15625" max="15625" width="6.625" style="137" customWidth="1"/>
    <col min="15626" max="15626" width="13.25" style="137" customWidth="1"/>
    <col min="15627" max="15627" width="17" style="137" customWidth="1"/>
    <col min="15628" max="15872" width="9.625" style="137"/>
    <col min="15873" max="15873" width="4.625" style="137" customWidth="1"/>
    <col min="15874" max="15874" width="1.875" style="137" customWidth="1"/>
    <col min="15875" max="15875" width="30.625" style="137" customWidth="1"/>
    <col min="15876" max="15876" width="28.625" style="137" customWidth="1"/>
    <col min="15877" max="15877" width="8.125" style="137" customWidth="1"/>
    <col min="15878" max="15878" width="7.5" style="137" customWidth="1"/>
    <col min="15879" max="15880" width="14.875" style="137" customWidth="1"/>
    <col min="15881" max="15881" width="6.625" style="137" customWidth="1"/>
    <col min="15882" max="15882" width="13.25" style="137" customWidth="1"/>
    <col min="15883" max="15883" width="17" style="137" customWidth="1"/>
    <col min="15884" max="16128" width="9.625" style="137"/>
    <col min="16129" max="16129" width="4.625" style="137" customWidth="1"/>
    <col min="16130" max="16130" width="1.875" style="137" customWidth="1"/>
    <col min="16131" max="16131" width="30.625" style="137" customWidth="1"/>
    <col min="16132" max="16132" width="28.625" style="137" customWidth="1"/>
    <col min="16133" max="16133" width="8.125" style="137" customWidth="1"/>
    <col min="16134" max="16134" width="7.5" style="137" customWidth="1"/>
    <col min="16135" max="16136" width="14.875" style="137" customWidth="1"/>
    <col min="16137" max="16137" width="6.625" style="137" customWidth="1"/>
    <col min="16138" max="16138" width="13.25" style="137" customWidth="1"/>
    <col min="16139" max="16139" width="17" style="137" customWidth="1"/>
    <col min="16140" max="16384" width="9.625" style="137"/>
  </cols>
  <sheetData>
    <row r="2" spans="1:11">
      <c r="K2" s="4" t="s">
        <v>0</v>
      </c>
    </row>
    <row r="3" spans="1:11">
      <c r="K3" s="5" t="s">
        <v>264</v>
      </c>
    </row>
    <row r="5" spans="1:11" ht="45">
      <c r="A5" s="225" t="s">
        <v>1</v>
      </c>
      <c r="B5" s="225"/>
      <c r="C5" s="225"/>
      <c r="D5" s="225"/>
      <c r="E5" s="225"/>
      <c r="F5" s="225"/>
      <c r="G5" s="225"/>
      <c r="H5" s="225"/>
      <c r="I5" s="225"/>
      <c r="J5" s="225"/>
      <c r="K5" s="225"/>
    </row>
    <row r="8" spans="1:11" s="6" customFormat="1" ht="33">
      <c r="A8" s="226" t="s">
        <v>259</v>
      </c>
      <c r="B8" s="226"/>
      <c r="C8" s="226"/>
      <c r="D8" s="226"/>
      <c r="E8" s="226"/>
      <c r="F8" s="226"/>
      <c r="G8" s="226"/>
      <c r="H8" s="226"/>
      <c r="I8" s="226"/>
      <c r="J8" s="226"/>
      <c r="K8" s="226"/>
    </row>
    <row r="9" spans="1:11" s="6" customFormat="1" ht="33">
      <c r="A9" s="226" t="s">
        <v>260</v>
      </c>
      <c r="B9" s="226"/>
      <c r="C9" s="226"/>
      <c r="D9" s="226"/>
      <c r="E9" s="226"/>
      <c r="F9" s="226"/>
      <c r="G9" s="226"/>
      <c r="H9" s="226"/>
      <c r="I9" s="226"/>
      <c r="J9" s="226"/>
      <c r="K9" s="226"/>
    </row>
    <row r="20" spans="1:11" ht="12.75" thickBot="1">
      <c r="A20" s="227" t="s">
        <v>228</v>
      </c>
      <c r="B20" s="227"/>
      <c r="C20" s="227"/>
      <c r="D20" s="134" t="s">
        <v>272</v>
      </c>
      <c r="E20" s="7"/>
      <c r="F20" s="7"/>
      <c r="G20" s="7"/>
      <c r="H20" s="7"/>
      <c r="I20" s="7"/>
      <c r="J20" s="7"/>
      <c r="K20" s="7"/>
    </row>
    <row r="21" spans="1:11" ht="12.75" thickBot="1">
      <c r="C21" s="159" t="s">
        <v>229</v>
      </c>
      <c r="D21" s="133" t="s">
        <v>273</v>
      </c>
    </row>
    <row r="22" spans="1:11" ht="12.75" thickBot="1">
      <c r="C22" s="159" t="s">
        <v>230</v>
      </c>
      <c r="D22" s="133" t="s">
        <v>274</v>
      </c>
    </row>
    <row r="23" spans="1:11" ht="12.75" thickBot="1">
      <c r="C23" s="159" t="s">
        <v>231</v>
      </c>
      <c r="D23" s="133" t="s">
        <v>275</v>
      </c>
    </row>
    <row r="31" spans="1:11">
      <c r="C31" s="137" t="s">
        <v>2</v>
      </c>
    </row>
    <row r="36" spans="1:11" ht="30">
      <c r="A36" s="228" t="s">
        <v>237</v>
      </c>
      <c r="B36" s="228"/>
      <c r="C36" s="228"/>
      <c r="D36" s="228"/>
      <c r="E36" s="228"/>
      <c r="F36" s="228"/>
      <c r="G36" s="228"/>
      <c r="H36" s="228"/>
      <c r="I36" s="228"/>
      <c r="J36" s="228"/>
      <c r="K36" s="228"/>
    </row>
    <row r="39" spans="1:11">
      <c r="A39" s="8"/>
      <c r="C39" s="9"/>
      <c r="E39" s="8"/>
      <c r="F39" s="10"/>
      <c r="G39" s="11"/>
      <c r="H39" s="12"/>
      <c r="I39" s="10"/>
      <c r="J39" s="11"/>
      <c r="K39" s="12"/>
    </row>
    <row r="40" spans="1:11">
      <c r="A40" s="13"/>
      <c r="G40" s="14"/>
      <c r="K40" s="15" t="s">
        <v>3</v>
      </c>
    </row>
    <row r="41" spans="1:11">
      <c r="A41" s="224" t="s">
        <v>4</v>
      </c>
      <c r="B41" s="224"/>
      <c r="C41" s="224"/>
      <c r="D41" s="224"/>
      <c r="E41" s="224"/>
      <c r="F41" s="224"/>
      <c r="G41" s="224"/>
      <c r="H41" s="224"/>
      <c r="I41" s="224"/>
      <c r="J41" s="224"/>
      <c r="K41" s="224"/>
    </row>
    <row r="42" spans="1:11">
      <c r="A42" s="16" t="s">
        <v>5</v>
      </c>
      <c r="C42" s="137" t="str">
        <f>$D$20</f>
        <v>University of Colorado</v>
      </c>
      <c r="G42" s="14"/>
      <c r="I42" s="17"/>
      <c r="J42" s="14"/>
      <c r="K42" s="18" t="str">
        <f>$K$3</f>
        <v>Date: October 09, 2017</v>
      </c>
    </row>
    <row r="43" spans="1:11">
      <c r="A43" s="19" t="s">
        <v>6</v>
      </c>
      <c r="B43" s="19" t="s">
        <v>6</v>
      </c>
      <c r="C43" s="19" t="s">
        <v>6</v>
      </c>
      <c r="D43" s="19" t="s">
        <v>6</v>
      </c>
      <c r="E43" s="19" t="s">
        <v>6</v>
      </c>
      <c r="F43" s="19" t="s">
        <v>6</v>
      </c>
      <c r="G43" s="20" t="s">
        <v>6</v>
      </c>
      <c r="H43" s="21" t="s">
        <v>6</v>
      </c>
      <c r="I43" s="19" t="s">
        <v>6</v>
      </c>
      <c r="J43" s="20" t="s">
        <v>6</v>
      </c>
      <c r="K43" s="21" t="s">
        <v>6</v>
      </c>
    </row>
    <row r="44" spans="1:11">
      <c r="A44" s="22" t="s">
        <v>7</v>
      </c>
      <c r="C44" s="9" t="s">
        <v>8</v>
      </c>
      <c r="E44" s="22" t="s">
        <v>7</v>
      </c>
      <c r="F44" s="23"/>
      <c r="G44" s="24"/>
      <c r="H44" s="25" t="s">
        <v>257</v>
      </c>
      <c r="I44" s="23"/>
      <c r="J44" s="24"/>
      <c r="K44" s="25" t="s">
        <v>261</v>
      </c>
    </row>
    <row r="45" spans="1:11">
      <c r="A45" s="22" t="s">
        <v>9</v>
      </c>
      <c r="C45" s="26" t="s">
        <v>10</v>
      </c>
      <c r="E45" s="22" t="s">
        <v>9</v>
      </c>
      <c r="F45" s="23"/>
      <c r="G45" s="24" t="s">
        <v>11</v>
      </c>
      <c r="H45" s="25" t="s">
        <v>12</v>
      </c>
      <c r="I45" s="23"/>
      <c r="J45" s="24" t="s">
        <v>11</v>
      </c>
      <c r="K45" s="25" t="s">
        <v>13</v>
      </c>
    </row>
    <row r="46" spans="1:11">
      <c r="A46" s="19" t="s">
        <v>6</v>
      </c>
      <c r="B46" s="19" t="s">
        <v>6</v>
      </c>
      <c r="C46" s="19" t="s">
        <v>6</v>
      </c>
      <c r="D46" s="19" t="s">
        <v>6</v>
      </c>
      <c r="E46" s="19" t="s">
        <v>6</v>
      </c>
      <c r="F46" s="19" t="s">
        <v>6</v>
      </c>
      <c r="G46" s="20" t="s">
        <v>6</v>
      </c>
      <c r="H46" s="21" t="s">
        <v>6</v>
      </c>
      <c r="I46" s="19" t="s">
        <v>6</v>
      </c>
      <c r="J46" s="20" t="s">
        <v>6</v>
      </c>
      <c r="K46" s="21" t="s">
        <v>6</v>
      </c>
    </row>
    <row r="47" spans="1:11">
      <c r="A47" s="8">
        <v>1</v>
      </c>
      <c r="C47" s="9" t="s">
        <v>14</v>
      </c>
      <c r="D47" s="27" t="s">
        <v>15</v>
      </c>
      <c r="E47" s="8">
        <v>1</v>
      </c>
      <c r="G47" s="92">
        <v>0</v>
      </c>
      <c r="H47" s="92">
        <v>0</v>
      </c>
      <c r="I47" s="30"/>
      <c r="J47" s="92">
        <v>0</v>
      </c>
      <c r="K47" s="92">
        <v>0</v>
      </c>
    </row>
    <row r="48" spans="1:11">
      <c r="A48" s="8">
        <v>2</v>
      </c>
      <c r="C48" s="9" t="s">
        <v>16</v>
      </c>
      <c r="D48" s="27" t="s">
        <v>17</v>
      </c>
      <c r="E48" s="8">
        <v>2</v>
      </c>
      <c r="G48" s="92">
        <v>0</v>
      </c>
      <c r="H48" s="92">
        <v>0</v>
      </c>
      <c r="I48" s="30"/>
      <c r="J48" s="92">
        <v>0</v>
      </c>
      <c r="K48" s="92">
        <v>0</v>
      </c>
    </row>
    <row r="49" spans="1:15">
      <c r="A49" s="8">
        <v>3</v>
      </c>
      <c r="C49" s="9" t="s">
        <v>18</v>
      </c>
      <c r="D49" s="27" t="s">
        <v>19</v>
      </c>
      <c r="E49" s="8">
        <v>3</v>
      </c>
      <c r="G49" s="92">
        <v>0</v>
      </c>
      <c r="H49" s="92">
        <v>0</v>
      </c>
      <c r="I49" s="30"/>
      <c r="J49" s="92">
        <v>0</v>
      </c>
      <c r="K49" s="92">
        <v>0</v>
      </c>
    </row>
    <row r="50" spans="1:15">
      <c r="A50" s="8">
        <v>4</v>
      </c>
      <c r="C50" s="9" t="s">
        <v>20</v>
      </c>
      <c r="D50" s="27" t="s">
        <v>21</v>
      </c>
      <c r="E50" s="8">
        <v>4</v>
      </c>
      <c r="G50" s="92">
        <v>0</v>
      </c>
      <c r="H50" s="92">
        <v>0</v>
      </c>
      <c r="I50" s="30"/>
      <c r="J50" s="92">
        <v>0</v>
      </c>
      <c r="K50" s="92">
        <v>0</v>
      </c>
    </row>
    <row r="51" spans="1:15">
      <c r="A51" s="8">
        <v>5</v>
      </c>
      <c r="C51" s="9" t="s">
        <v>22</v>
      </c>
      <c r="D51" s="27" t="s">
        <v>23</v>
      </c>
      <c r="E51" s="8">
        <v>5</v>
      </c>
      <c r="G51" s="92">
        <v>0</v>
      </c>
      <c r="H51" s="92">
        <v>0</v>
      </c>
      <c r="I51" s="30"/>
      <c r="J51" s="92">
        <v>0</v>
      </c>
      <c r="K51" s="92">
        <v>0</v>
      </c>
    </row>
    <row r="52" spans="1:15">
      <c r="A52" s="8">
        <v>6</v>
      </c>
      <c r="C52" s="9" t="s">
        <v>24</v>
      </c>
      <c r="D52" s="27" t="s">
        <v>25</v>
      </c>
      <c r="E52" s="8">
        <v>6</v>
      </c>
      <c r="G52" s="92">
        <v>0</v>
      </c>
      <c r="H52" s="92">
        <v>0</v>
      </c>
      <c r="I52" s="30"/>
      <c r="J52" s="92">
        <v>0</v>
      </c>
      <c r="K52" s="92">
        <v>0</v>
      </c>
    </row>
    <row r="53" spans="1:15">
      <c r="A53" s="8">
        <v>7</v>
      </c>
      <c r="C53" s="9" t="s">
        <v>26</v>
      </c>
      <c r="D53" s="27" t="s">
        <v>27</v>
      </c>
      <c r="E53" s="8">
        <v>7</v>
      </c>
      <c r="G53" s="92">
        <v>0</v>
      </c>
      <c r="H53" s="92">
        <v>0</v>
      </c>
      <c r="I53" s="30"/>
      <c r="J53" s="92">
        <v>0</v>
      </c>
      <c r="K53" s="92">
        <v>0</v>
      </c>
    </row>
    <row r="54" spans="1:15">
      <c r="A54" s="8">
        <v>8</v>
      </c>
      <c r="C54" s="9" t="s">
        <v>28</v>
      </c>
      <c r="D54" s="27" t="s">
        <v>29</v>
      </c>
      <c r="E54" s="8">
        <v>8</v>
      </c>
      <c r="G54" s="92">
        <v>0</v>
      </c>
      <c r="H54" s="92">
        <v>0</v>
      </c>
      <c r="I54" s="30"/>
      <c r="J54" s="92">
        <v>0</v>
      </c>
      <c r="K54" s="92">
        <v>0</v>
      </c>
    </row>
    <row r="55" spans="1:15">
      <c r="A55" s="8">
        <v>9</v>
      </c>
      <c r="C55" s="9" t="s">
        <v>30</v>
      </c>
      <c r="D55" s="27" t="s">
        <v>31</v>
      </c>
      <c r="E55" s="8">
        <v>9</v>
      </c>
      <c r="G55" s="93">
        <v>0</v>
      </c>
      <c r="H55" s="93">
        <v>0</v>
      </c>
      <c r="I55" s="30" t="s">
        <v>38</v>
      </c>
      <c r="J55" s="93">
        <v>0</v>
      </c>
      <c r="K55" s="93">
        <v>0</v>
      </c>
    </row>
    <row r="56" spans="1:15">
      <c r="A56" s="8">
        <v>10</v>
      </c>
      <c r="C56" s="9" t="s">
        <v>32</v>
      </c>
      <c r="D56" s="27" t="s">
        <v>33</v>
      </c>
      <c r="E56" s="8">
        <v>10</v>
      </c>
      <c r="G56" s="92">
        <v>0</v>
      </c>
      <c r="H56" s="92">
        <v>0</v>
      </c>
      <c r="I56" s="30"/>
      <c r="J56" s="92">
        <v>0</v>
      </c>
      <c r="K56" s="92">
        <v>0</v>
      </c>
    </row>
    <row r="57" spans="1:15">
      <c r="A57" s="8"/>
      <c r="C57" s="9"/>
      <c r="D57" s="27"/>
      <c r="E57" s="8"/>
      <c r="F57" s="19" t="s">
        <v>6</v>
      </c>
      <c r="G57" s="20" t="s">
        <v>6</v>
      </c>
      <c r="H57" s="49"/>
      <c r="I57" s="28"/>
      <c r="J57" s="20"/>
      <c r="K57" s="49"/>
    </row>
    <row r="58" spans="1:15" ht="15" customHeight="1">
      <c r="A58" s="137">
        <v>11</v>
      </c>
      <c r="C58" s="9" t="s">
        <v>34</v>
      </c>
      <c r="E58" s="137">
        <v>11</v>
      </c>
      <c r="G58" s="92">
        <v>0</v>
      </c>
      <c r="H58" s="93">
        <v>0</v>
      </c>
      <c r="I58" s="30"/>
      <c r="J58" s="92">
        <v>0</v>
      </c>
      <c r="K58" s="93">
        <v>0</v>
      </c>
    </row>
    <row r="59" spans="1:15">
      <c r="A59" s="8"/>
      <c r="E59" s="8"/>
      <c r="F59" s="19" t="s">
        <v>6</v>
      </c>
      <c r="G59" s="20" t="s">
        <v>6</v>
      </c>
      <c r="H59" s="21"/>
      <c r="I59" s="28"/>
      <c r="J59" s="20"/>
      <c r="K59" s="21"/>
    </row>
    <row r="60" spans="1:15">
      <c r="A60" s="8"/>
      <c r="E60" s="8"/>
      <c r="F60" s="19"/>
      <c r="G60" s="14"/>
      <c r="H60" s="21"/>
      <c r="I60" s="28"/>
      <c r="J60" s="14"/>
      <c r="K60" s="21"/>
    </row>
    <row r="61" spans="1:15">
      <c r="A61" s="137">
        <v>12</v>
      </c>
      <c r="C61" s="9" t="s">
        <v>35</v>
      </c>
      <c r="E61" s="137">
        <v>12</v>
      </c>
      <c r="G61" s="29"/>
      <c r="H61" s="29"/>
      <c r="I61" s="30"/>
      <c r="J61" s="92"/>
      <c r="K61" s="29"/>
    </row>
    <row r="62" spans="1:15">
      <c r="A62" s="8">
        <v>13</v>
      </c>
      <c r="C62" s="9" t="s">
        <v>36</v>
      </c>
      <c r="D62" s="27" t="s">
        <v>37</v>
      </c>
      <c r="E62" s="8">
        <v>13</v>
      </c>
      <c r="G62" s="50"/>
      <c r="H62" s="48">
        <v>0</v>
      </c>
      <c r="I62" s="30"/>
      <c r="J62" s="50"/>
      <c r="K62" s="48">
        <v>0</v>
      </c>
      <c r="O62" s="137" t="s">
        <v>38</v>
      </c>
    </row>
    <row r="63" spans="1:15">
      <c r="A63" s="8">
        <v>14</v>
      </c>
      <c r="C63" s="9" t="s">
        <v>39</v>
      </c>
      <c r="D63" s="27" t="s">
        <v>40</v>
      </c>
      <c r="E63" s="8">
        <v>14</v>
      </c>
      <c r="G63" s="50"/>
      <c r="H63" s="48">
        <v>0</v>
      </c>
      <c r="I63" s="30"/>
      <c r="J63" s="50"/>
      <c r="K63" s="48">
        <v>0</v>
      </c>
    </row>
    <row r="64" spans="1:15">
      <c r="A64" s="8">
        <v>15</v>
      </c>
      <c r="C64" s="9" t="s">
        <v>41</v>
      </c>
      <c r="D64" s="27"/>
      <c r="E64" s="8">
        <v>15</v>
      </c>
      <c r="G64" s="92">
        <v>0</v>
      </c>
      <c r="H64" s="48">
        <v>0</v>
      </c>
      <c r="I64" s="30"/>
      <c r="J64" s="92">
        <v>0</v>
      </c>
      <c r="K64" s="48">
        <v>0</v>
      </c>
    </row>
    <row r="65" spans="1:254">
      <c r="A65" s="8">
        <v>16</v>
      </c>
      <c r="C65" s="9" t="s">
        <v>42</v>
      </c>
      <c r="D65" s="27"/>
      <c r="E65" s="8">
        <v>16</v>
      </c>
      <c r="G65" s="50"/>
      <c r="H65" s="48">
        <v>0</v>
      </c>
      <c r="I65" s="30"/>
      <c r="J65" s="50"/>
      <c r="K65" s="48">
        <v>0</v>
      </c>
    </row>
    <row r="66" spans="1:254">
      <c r="A66" s="27">
        <v>17</v>
      </c>
      <c r="B66" s="27"/>
      <c r="C66" s="31" t="s">
        <v>43</v>
      </c>
      <c r="D66" s="27"/>
      <c r="E66" s="27">
        <v>17</v>
      </c>
      <c r="F66" s="27"/>
      <c r="G66" s="92"/>
      <c r="H66" s="93">
        <v>0</v>
      </c>
      <c r="I66" s="31"/>
      <c r="J66" s="92"/>
      <c r="K66" s="93">
        <v>0</v>
      </c>
      <c r="L66" s="27"/>
      <c r="M66" s="31"/>
      <c r="N66" s="27"/>
      <c r="O66" s="31"/>
      <c r="P66" s="27"/>
      <c r="Q66" s="31"/>
      <c r="R66" s="27"/>
      <c r="S66" s="31"/>
      <c r="T66" s="27"/>
      <c r="U66" s="31"/>
      <c r="V66" s="27"/>
      <c r="W66" s="31"/>
      <c r="X66" s="27"/>
      <c r="Y66" s="31"/>
      <c r="Z66" s="27"/>
      <c r="AA66" s="31"/>
      <c r="AB66" s="27"/>
      <c r="AC66" s="31"/>
      <c r="AD66" s="27"/>
      <c r="AE66" s="31"/>
      <c r="AF66" s="27"/>
      <c r="AG66" s="31"/>
      <c r="AH66" s="27"/>
      <c r="AI66" s="31"/>
      <c r="AJ66" s="27"/>
      <c r="AK66" s="31"/>
      <c r="AL66" s="27"/>
      <c r="AM66" s="31"/>
      <c r="AN66" s="27"/>
      <c r="AO66" s="31"/>
      <c r="AP66" s="27"/>
      <c r="AQ66" s="31"/>
      <c r="AR66" s="27"/>
      <c r="AS66" s="31"/>
      <c r="AT66" s="27"/>
      <c r="AU66" s="31"/>
      <c r="AV66" s="27"/>
      <c r="AW66" s="31"/>
      <c r="AX66" s="27"/>
      <c r="AY66" s="31"/>
      <c r="AZ66" s="27"/>
      <c r="BA66" s="31"/>
      <c r="BB66" s="27"/>
      <c r="BC66" s="31"/>
      <c r="BD66" s="27"/>
      <c r="BE66" s="31"/>
      <c r="BF66" s="27"/>
      <c r="BG66" s="31"/>
      <c r="BH66" s="27"/>
      <c r="BI66" s="31"/>
      <c r="BJ66" s="27"/>
      <c r="BK66" s="31"/>
      <c r="BL66" s="27"/>
      <c r="BM66" s="31"/>
      <c r="BN66" s="27"/>
      <c r="BO66" s="31"/>
      <c r="BP66" s="27"/>
      <c r="BQ66" s="31"/>
      <c r="BR66" s="27"/>
      <c r="BS66" s="31"/>
      <c r="BT66" s="27"/>
      <c r="BU66" s="31"/>
      <c r="BV66" s="27"/>
      <c r="BW66" s="31"/>
      <c r="BX66" s="27"/>
      <c r="BY66" s="31"/>
      <c r="BZ66" s="27"/>
      <c r="CA66" s="31"/>
      <c r="CB66" s="27"/>
      <c r="CC66" s="31"/>
      <c r="CD66" s="27"/>
      <c r="CE66" s="31"/>
      <c r="CF66" s="27"/>
      <c r="CG66" s="31"/>
      <c r="CH66" s="27"/>
      <c r="CI66" s="31"/>
      <c r="CJ66" s="27"/>
      <c r="CK66" s="31"/>
      <c r="CL66" s="27"/>
      <c r="CM66" s="31"/>
      <c r="CN66" s="27"/>
      <c r="CO66" s="31"/>
      <c r="CP66" s="27"/>
      <c r="CQ66" s="31"/>
      <c r="CR66" s="27"/>
      <c r="CS66" s="31"/>
      <c r="CT66" s="27"/>
      <c r="CU66" s="31"/>
      <c r="CV66" s="27"/>
      <c r="CW66" s="31"/>
      <c r="CX66" s="27"/>
      <c r="CY66" s="31"/>
      <c r="CZ66" s="27"/>
      <c r="DA66" s="31"/>
      <c r="DB66" s="27"/>
      <c r="DC66" s="31"/>
      <c r="DD66" s="27"/>
      <c r="DE66" s="31"/>
      <c r="DF66" s="27"/>
      <c r="DG66" s="31"/>
      <c r="DH66" s="27"/>
      <c r="DI66" s="31"/>
      <c r="DJ66" s="27"/>
      <c r="DK66" s="31"/>
      <c r="DL66" s="27"/>
      <c r="DM66" s="31"/>
      <c r="DN66" s="27"/>
      <c r="DO66" s="31"/>
      <c r="DP66" s="27"/>
      <c r="DQ66" s="31"/>
      <c r="DR66" s="27"/>
      <c r="DS66" s="31"/>
      <c r="DT66" s="27"/>
      <c r="DU66" s="31"/>
      <c r="DV66" s="27"/>
      <c r="DW66" s="31"/>
      <c r="DX66" s="27"/>
      <c r="DY66" s="31"/>
      <c r="DZ66" s="27"/>
      <c r="EA66" s="31"/>
      <c r="EB66" s="27"/>
      <c r="EC66" s="31"/>
      <c r="ED66" s="27"/>
      <c r="EE66" s="31"/>
      <c r="EF66" s="27"/>
      <c r="EG66" s="31"/>
      <c r="EH66" s="27"/>
      <c r="EI66" s="31"/>
      <c r="EJ66" s="27"/>
      <c r="EK66" s="31"/>
      <c r="EL66" s="27"/>
      <c r="EM66" s="31"/>
      <c r="EN66" s="27"/>
      <c r="EO66" s="31"/>
      <c r="EP66" s="27"/>
      <c r="EQ66" s="31"/>
      <c r="ER66" s="27"/>
      <c r="ES66" s="31"/>
      <c r="ET66" s="27"/>
      <c r="EU66" s="31"/>
      <c r="EV66" s="27"/>
      <c r="EW66" s="31"/>
      <c r="EX66" s="27"/>
      <c r="EY66" s="31"/>
      <c r="EZ66" s="27"/>
      <c r="FA66" s="31"/>
      <c r="FB66" s="27"/>
      <c r="FC66" s="31"/>
      <c r="FD66" s="27"/>
      <c r="FE66" s="31"/>
      <c r="FF66" s="27"/>
      <c r="FG66" s="31"/>
      <c r="FH66" s="27"/>
      <c r="FI66" s="31"/>
      <c r="FJ66" s="27"/>
      <c r="FK66" s="31"/>
      <c r="FL66" s="27"/>
      <c r="FM66" s="31"/>
      <c r="FN66" s="27"/>
      <c r="FO66" s="31"/>
      <c r="FP66" s="27"/>
      <c r="FQ66" s="31"/>
      <c r="FR66" s="27"/>
      <c r="FS66" s="31"/>
      <c r="FT66" s="27"/>
      <c r="FU66" s="31"/>
      <c r="FV66" s="27"/>
      <c r="FW66" s="31"/>
      <c r="FX66" s="27"/>
      <c r="FY66" s="31"/>
      <c r="FZ66" s="27"/>
      <c r="GA66" s="31"/>
      <c r="GB66" s="27"/>
      <c r="GC66" s="31"/>
      <c r="GD66" s="27"/>
      <c r="GE66" s="31"/>
      <c r="GF66" s="27"/>
      <c r="GG66" s="31"/>
      <c r="GH66" s="27"/>
      <c r="GI66" s="31"/>
      <c r="GJ66" s="27"/>
      <c r="GK66" s="31"/>
      <c r="GL66" s="27"/>
      <c r="GM66" s="31"/>
      <c r="GN66" s="27"/>
      <c r="GO66" s="31"/>
      <c r="GP66" s="27"/>
      <c r="GQ66" s="31"/>
      <c r="GR66" s="27"/>
      <c r="GS66" s="31"/>
      <c r="GT66" s="27"/>
      <c r="GU66" s="31"/>
      <c r="GV66" s="27"/>
      <c r="GW66" s="31"/>
      <c r="GX66" s="27"/>
      <c r="GY66" s="31"/>
      <c r="GZ66" s="27"/>
      <c r="HA66" s="31"/>
      <c r="HB66" s="27"/>
      <c r="HC66" s="31"/>
      <c r="HD66" s="27"/>
      <c r="HE66" s="31"/>
      <c r="HF66" s="27"/>
      <c r="HG66" s="31"/>
      <c r="HH66" s="27"/>
      <c r="HI66" s="31"/>
      <c r="HJ66" s="27"/>
      <c r="HK66" s="31"/>
      <c r="HL66" s="27"/>
      <c r="HM66" s="31"/>
      <c r="HN66" s="27"/>
      <c r="HO66" s="31"/>
      <c r="HP66" s="27"/>
      <c r="HQ66" s="31"/>
      <c r="HR66" s="27"/>
      <c r="HS66" s="31"/>
      <c r="HT66" s="27"/>
      <c r="HU66" s="31"/>
      <c r="HV66" s="27"/>
      <c r="HW66" s="31"/>
      <c r="HX66" s="27"/>
      <c r="HY66" s="31"/>
      <c r="HZ66" s="27"/>
      <c r="IA66" s="31"/>
      <c r="IB66" s="27"/>
      <c r="IC66" s="31"/>
      <c r="ID66" s="27"/>
      <c r="IE66" s="31"/>
      <c r="IF66" s="27"/>
      <c r="IG66" s="31"/>
      <c r="IH66" s="27"/>
      <c r="II66" s="31"/>
      <c r="IJ66" s="27"/>
      <c r="IK66" s="31"/>
      <c r="IL66" s="27"/>
      <c r="IM66" s="31"/>
      <c r="IN66" s="27"/>
      <c r="IO66" s="31"/>
      <c r="IP66" s="27"/>
      <c r="IQ66" s="31"/>
      <c r="IR66" s="27"/>
      <c r="IS66" s="31"/>
      <c r="IT66" s="27"/>
    </row>
    <row r="67" spans="1:254">
      <c r="A67" s="8">
        <v>18</v>
      </c>
      <c r="C67" s="9" t="s">
        <v>44</v>
      </c>
      <c r="D67" s="27"/>
      <c r="E67" s="8">
        <v>18</v>
      </c>
      <c r="G67" s="50"/>
      <c r="H67" s="48">
        <v>0</v>
      </c>
      <c r="I67" s="30"/>
      <c r="J67" s="50"/>
      <c r="K67" s="48">
        <v>0</v>
      </c>
    </row>
    <row r="68" spans="1:254">
      <c r="A68" s="8">
        <v>19</v>
      </c>
      <c r="C68" s="9" t="s">
        <v>45</v>
      </c>
      <c r="D68" s="27"/>
      <c r="E68" s="8">
        <v>19</v>
      </c>
      <c r="G68" s="50"/>
      <c r="H68" s="48">
        <v>0</v>
      </c>
      <c r="I68" s="30"/>
      <c r="J68" s="50"/>
      <c r="K68" s="48">
        <v>0</v>
      </c>
    </row>
    <row r="69" spans="1:254">
      <c r="A69" s="8">
        <v>20</v>
      </c>
      <c r="C69" s="9" t="s">
        <v>46</v>
      </c>
      <c r="D69" s="27"/>
      <c r="E69" s="8">
        <v>20</v>
      </c>
      <c r="G69" s="50"/>
      <c r="H69" s="48">
        <v>0</v>
      </c>
      <c r="I69" s="30"/>
      <c r="J69" s="50"/>
      <c r="K69" s="48">
        <v>0</v>
      </c>
    </row>
    <row r="70" spans="1:254">
      <c r="A70" s="27">
        <v>21</v>
      </c>
      <c r="C70" s="9" t="s">
        <v>47</v>
      </c>
      <c r="D70" s="27"/>
      <c r="E70" s="8">
        <v>21</v>
      </c>
      <c r="G70" s="50"/>
      <c r="H70" s="48">
        <v>0</v>
      </c>
      <c r="I70" s="30"/>
      <c r="J70" s="50"/>
      <c r="K70" s="48">
        <v>0</v>
      </c>
    </row>
    <row r="71" spans="1:254">
      <c r="A71" s="27">
        <v>22</v>
      </c>
      <c r="C71" s="9"/>
      <c r="D71" s="27"/>
      <c r="E71" s="8">
        <v>22</v>
      </c>
      <c r="G71" s="50"/>
      <c r="H71" s="48">
        <v>0</v>
      </c>
      <c r="I71" s="30" t="s">
        <v>38</v>
      </c>
      <c r="J71" s="50"/>
      <c r="K71" s="48">
        <v>0</v>
      </c>
    </row>
    <row r="72" spans="1:254">
      <c r="A72" s="8">
        <v>23</v>
      </c>
      <c r="C72" s="32"/>
      <c r="E72" s="8">
        <v>23</v>
      </c>
      <c r="F72" s="19" t="s">
        <v>6</v>
      </c>
      <c r="G72" s="20"/>
      <c r="H72" s="21"/>
      <c r="I72" s="28"/>
      <c r="J72" s="20"/>
      <c r="K72" s="21"/>
    </row>
    <row r="73" spans="1:254">
      <c r="A73" s="8">
        <v>24</v>
      </c>
      <c r="C73" s="32"/>
      <c r="D73" s="9"/>
      <c r="E73" s="8">
        <v>24</v>
      </c>
    </row>
    <row r="74" spans="1:254">
      <c r="A74" s="8">
        <v>25</v>
      </c>
      <c r="C74" s="9" t="s">
        <v>239</v>
      </c>
      <c r="D74" s="27"/>
      <c r="E74" s="8">
        <v>25</v>
      </c>
      <c r="G74" s="50"/>
      <c r="H74" s="48">
        <v>0</v>
      </c>
      <c r="I74" s="30"/>
      <c r="J74" s="50"/>
      <c r="K74" s="48">
        <v>0</v>
      </c>
    </row>
    <row r="75" spans="1:254">
      <c r="A75" s="137">
        <v>26</v>
      </c>
      <c r="E75" s="137">
        <v>26</v>
      </c>
      <c r="F75" s="19" t="s">
        <v>6</v>
      </c>
      <c r="G75" s="20"/>
      <c r="H75" s="21"/>
      <c r="I75" s="28"/>
      <c r="J75" s="20"/>
      <c r="K75" s="21"/>
    </row>
    <row r="76" spans="1:254" ht="15" customHeight="1">
      <c r="A76" s="8">
        <v>27</v>
      </c>
      <c r="C76" s="9" t="s">
        <v>48</v>
      </c>
      <c r="E76" s="8">
        <v>27</v>
      </c>
      <c r="F76" s="17"/>
      <c r="G76" s="92"/>
      <c r="H76" s="93">
        <v>0</v>
      </c>
      <c r="I76" s="29"/>
      <c r="J76" s="92"/>
      <c r="K76" s="93">
        <v>0</v>
      </c>
    </row>
    <row r="77" spans="1:254">
      <c r="F77" s="19"/>
      <c r="G77" s="20"/>
      <c r="H77" s="21"/>
      <c r="I77" s="28"/>
      <c r="J77" s="20"/>
      <c r="K77" s="21"/>
    </row>
    <row r="78" spans="1:254" ht="14.25">
      <c r="F78"/>
      <c r="G78"/>
      <c r="H78"/>
      <c r="I78"/>
      <c r="J78"/>
      <c r="K78"/>
    </row>
    <row r="79" spans="1:254" ht="30.75" customHeight="1">
      <c r="A79" s="33"/>
      <c r="B79" s="33"/>
      <c r="C79" s="221" t="s">
        <v>233</v>
      </c>
      <c r="D79" s="221"/>
      <c r="E79" s="221"/>
      <c r="F79" s="221"/>
      <c r="G79" s="221"/>
      <c r="H79" s="221"/>
      <c r="I79" s="221"/>
      <c r="J79" s="221"/>
      <c r="K79" s="34"/>
    </row>
    <row r="80" spans="1:254">
      <c r="D80" s="27"/>
      <c r="F80" s="19"/>
      <c r="G80" s="20"/>
      <c r="I80" s="28"/>
      <c r="J80" s="20"/>
      <c r="K80" s="21"/>
    </row>
    <row r="81" spans="1:15">
      <c r="C81" s="137" t="s">
        <v>49</v>
      </c>
      <c r="D81" s="27"/>
      <c r="F81" s="19"/>
      <c r="G81" s="20"/>
      <c r="I81" s="28"/>
      <c r="J81" s="20"/>
      <c r="K81" s="21"/>
    </row>
    <row r="82" spans="1:15">
      <c r="A82" s="8"/>
      <c r="C82" s="9"/>
      <c r="E82" s="8"/>
      <c r="F82" s="10"/>
      <c r="G82" s="11"/>
      <c r="H82" s="12"/>
      <c r="I82" s="10"/>
      <c r="J82" s="11"/>
      <c r="K82" s="12"/>
    </row>
    <row r="83" spans="1:15">
      <c r="A83" s="16" t="s">
        <v>58</v>
      </c>
      <c r="G83" s="14"/>
      <c r="K83" s="15" t="s">
        <v>59</v>
      </c>
    </row>
    <row r="84" spans="1:15" s="36" customFormat="1">
      <c r="A84" s="224" t="s">
        <v>60</v>
      </c>
      <c r="B84" s="224"/>
      <c r="C84" s="224"/>
      <c r="D84" s="224"/>
      <c r="E84" s="224"/>
      <c r="F84" s="224"/>
      <c r="G84" s="224"/>
      <c r="H84" s="224"/>
      <c r="I84" s="224"/>
      <c r="J84" s="224"/>
      <c r="K84" s="224"/>
    </row>
    <row r="85" spans="1:15">
      <c r="A85" s="16" t="str">
        <f>$A$42</f>
        <v xml:space="preserve">NAME: </v>
      </c>
      <c r="C85" s="137" t="str">
        <f>$D$20</f>
        <v>University of Colorado</v>
      </c>
      <c r="G85" s="14"/>
      <c r="I85" s="17"/>
      <c r="J85" s="14"/>
      <c r="K85" s="18" t="str">
        <f>$K$3</f>
        <v>Date: October 09, 2017</v>
      </c>
    </row>
    <row r="86" spans="1:15">
      <c r="A86" s="19" t="s">
        <v>6</v>
      </c>
      <c r="B86" s="19" t="s">
        <v>6</v>
      </c>
      <c r="C86" s="19" t="s">
        <v>6</v>
      </c>
      <c r="D86" s="19" t="s">
        <v>6</v>
      </c>
      <c r="E86" s="19" t="s">
        <v>6</v>
      </c>
      <c r="F86" s="19" t="s">
        <v>6</v>
      </c>
      <c r="G86" s="20" t="s">
        <v>6</v>
      </c>
      <c r="H86" s="21" t="s">
        <v>6</v>
      </c>
      <c r="I86" s="19" t="s">
        <v>6</v>
      </c>
      <c r="J86" s="20" t="s">
        <v>6</v>
      </c>
      <c r="K86" s="21" t="s">
        <v>6</v>
      </c>
    </row>
    <row r="87" spans="1:15">
      <c r="A87" s="22" t="s">
        <v>7</v>
      </c>
      <c r="C87" s="9" t="s">
        <v>8</v>
      </c>
      <c r="E87" s="22" t="s">
        <v>7</v>
      </c>
      <c r="F87" s="23"/>
      <c r="G87" s="24"/>
      <c r="H87" s="25" t="str">
        <f>H44</f>
        <v>2016-17</v>
      </c>
      <c r="I87" s="23"/>
      <c r="J87" s="24"/>
      <c r="K87" s="25" t="str">
        <f>K44</f>
        <v>2017-18</v>
      </c>
    </row>
    <row r="88" spans="1:15">
      <c r="A88" s="22" t="s">
        <v>9</v>
      </c>
      <c r="C88" s="26" t="s">
        <v>10</v>
      </c>
      <c r="E88" s="22" t="s">
        <v>9</v>
      </c>
      <c r="F88" s="23"/>
      <c r="G88" s="24" t="s">
        <v>11</v>
      </c>
      <c r="H88" s="25" t="s">
        <v>12</v>
      </c>
      <c r="I88" s="23"/>
      <c r="J88" s="24" t="s">
        <v>11</v>
      </c>
      <c r="K88" s="25" t="s">
        <v>13</v>
      </c>
    </row>
    <row r="89" spans="1:15">
      <c r="A89" s="19" t="s">
        <v>6</v>
      </c>
      <c r="B89" s="19" t="s">
        <v>6</v>
      </c>
      <c r="C89" s="19" t="s">
        <v>6</v>
      </c>
      <c r="D89" s="19" t="s">
        <v>6</v>
      </c>
      <c r="E89" s="19" t="s">
        <v>6</v>
      </c>
      <c r="F89" s="19" t="s">
        <v>6</v>
      </c>
      <c r="G89" s="20" t="s">
        <v>6</v>
      </c>
      <c r="H89" s="20" t="s">
        <v>6</v>
      </c>
      <c r="I89" s="19" t="s">
        <v>6</v>
      </c>
      <c r="J89" s="20" t="s">
        <v>6</v>
      </c>
      <c r="K89" s="21" t="s">
        <v>6</v>
      </c>
    </row>
    <row r="90" spans="1:15">
      <c r="A90" s="8">
        <v>1</v>
      </c>
      <c r="C90" s="9" t="s">
        <v>14</v>
      </c>
      <c r="D90" s="27" t="s">
        <v>15</v>
      </c>
      <c r="E90" s="8">
        <v>1</v>
      </c>
      <c r="G90" s="50">
        <f>+G533</f>
        <v>0</v>
      </c>
      <c r="H90" s="50">
        <f>+H533</f>
        <v>0</v>
      </c>
      <c r="I90" s="30"/>
      <c r="J90" s="50">
        <f>+J533</f>
        <v>0</v>
      </c>
      <c r="K90" s="50">
        <f>+K533</f>
        <v>0</v>
      </c>
    </row>
    <row r="91" spans="1:15">
      <c r="A91" s="8">
        <v>2</v>
      </c>
      <c r="C91" s="9" t="s">
        <v>16</v>
      </c>
      <c r="D91" s="27" t="s">
        <v>17</v>
      </c>
      <c r="E91" s="8">
        <v>2</v>
      </c>
      <c r="G91" s="50">
        <f>+G572</f>
        <v>0</v>
      </c>
      <c r="H91" s="50">
        <f>+H572</f>
        <v>0</v>
      </c>
      <c r="I91" s="30"/>
      <c r="J91" s="50">
        <f>+J572</f>
        <v>0</v>
      </c>
      <c r="K91" s="50">
        <f>+K572</f>
        <v>0</v>
      </c>
    </row>
    <row r="92" spans="1:15">
      <c r="A92" s="8">
        <v>3</v>
      </c>
      <c r="C92" s="9" t="s">
        <v>18</v>
      </c>
      <c r="D92" s="27" t="s">
        <v>19</v>
      </c>
      <c r="E92" s="8">
        <v>3</v>
      </c>
      <c r="G92" s="50">
        <f>+G609</f>
        <v>0</v>
      </c>
      <c r="H92" s="50">
        <f>+H609</f>
        <v>0</v>
      </c>
      <c r="I92" s="30"/>
      <c r="J92" s="50">
        <f>+J609</f>
        <v>0</v>
      </c>
      <c r="K92" s="50">
        <f>+K609</f>
        <v>0</v>
      </c>
    </row>
    <row r="93" spans="1:15">
      <c r="A93" s="8">
        <v>4</v>
      </c>
      <c r="C93" s="9" t="s">
        <v>20</v>
      </c>
      <c r="D93" s="27" t="s">
        <v>21</v>
      </c>
      <c r="E93" s="8">
        <v>4</v>
      </c>
      <c r="G93" s="50">
        <f>+G646</f>
        <v>0</v>
      </c>
      <c r="H93" s="50">
        <f>+H646</f>
        <v>0</v>
      </c>
      <c r="I93" s="30"/>
      <c r="J93" s="50">
        <f>+J646</f>
        <v>0</v>
      </c>
      <c r="K93" s="50">
        <f>+K646</f>
        <v>0</v>
      </c>
    </row>
    <row r="94" spans="1:15">
      <c r="A94" s="8">
        <v>5</v>
      </c>
      <c r="C94" s="9" t="s">
        <v>22</v>
      </c>
      <c r="D94" s="27" t="s">
        <v>23</v>
      </c>
      <c r="E94" s="8">
        <v>5</v>
      </c>
      <c r="G94" s="50">
        <f>+G683</f>
        <v>0</v>
      </c>
      <c r="H94" s="50">
        <f>+H683</f>
        <v>0</v>
      </c>
      <c r="I94" s="30"/>
      <c r="J94" s="50">
        <f>+J683</f>
        <v>0</v>
      </c>
      <c r="K94" s="50">
        <f>+K683</f>
        <v>0</v>
      </c>
    </row>
    <row r="95" spans="1:15">
      <c r="A95" s="8">
        <v>6</v>
      </c>
      <c r="C95" s="9" t="s">
        <v>24</v>
      </c>
      <c r="D95" s="27" t="s">
        <v>25</v>
      </c>
      <c r="E95" s="8">
        <v>6</v>
      </c>
      <c r="G95" s="50">
        <f>+G720</f>
        <v>0</v>
      </c>
      <c r="H95" s="50">
        <f>+H720</f>
        <v>0</v>
      </c>
      <c r="I95" s="30"/>
      <c r="J95" s="50">
        <f>+J720</f>
        <v>0</v>
      </c>
      <c r="K95" s="50">
        <f>+K720</f>
        <v>0</v>
      </c>
    </row>
    <row r="96" spans="1:15">
      <c r="A96" s="8">
        <v>7</v>
      </c>
      <c r="C96" s="9" t="s">
        <v>26</v>
      </c>
      <c r="D96" s="27" t="s">
        <v>27</v>
      </c>
      <c r="E96" s="8">
        <v>7</v>
      </c>
      <c r="G96" s="50">
        <f>+G757</f>
        <v>0</v>
      </c>
      <c r="H96" s="50">
        <f>+H757</f>
        <v>0</v>
      </c>
      <c r="I96" s="30"/>
      <c r="J96" s="50">
        <f>+J757</f>
        <v>0</v>
      </c>
      <c r="K96" s="50">
        <f>+K757</f>
        <v>0</v>
      </c>
      <c r="O96" s="137" t="s">
        <v>38</v>
      </c>
    </row>
    <row r="97" spans="1:254">
      <c r="A97" s="8">
        <v>8</v>
      </c>
      <c r="C97" s="9" t="s">
        <v>28</v>
      </c>
      <c r="D97" s="27" t="s">
        <v>29</v>
      </c>
      <c r="E97" s="8">
        <v>8</v>
      </c>
      <c r="G97" s="50">
        <f>+G794</f>
        <v>0</v>
      </c>
      <c r="H97" s="50">
        <f>+H794</f>
        <v>0</v>
      </c>
      <c r="I97" s="30"/>
      <c r="J97" s="50">
        <f>+J794</f>
        <v>0</v>
      </c>
      <c r="K97" s="50">
        <f>+K794</f>
        <v>0</v>
      </c>
    </row>
    <row r="98" spans="1:254">
      <c r="A98" s="8">
        <v>9</v>
      </c>
      <c r="C98" s="9" t="s">
        <v>30</v>
      </c>
      <c r="D98" s="27" t="s">
        <v>31</v>
      </c>
      <c r="E98" s="8">
        <v>9</v>
      </c>
      <c r="G98" s="48">
        <f>+G832</f>
        <v>0</v>
      </c>
      <c r="H98" s="48">
        <f>+H832</f>
        <v>0</v>
      </c>
      <c r="I98" s="30" t="s">
        <v>38</v>
      </c>
      <c r="J98" s="48">
        <f>+J832</f>
        <v>0</v>
      </c>
      <c r="K98" s="48">
        <f>+K832</f>
        <v>0</v>
      </c>
    </row>
    <row r="99" spans="1:254">
      <c r="A99" s="8">
        <v>10</v>
      </c>
      <c r="C99" s="9" t="s">
        <v>32</v>
      </c>
      <c r="D99" s="27" t="s">
        <v>33</v>
      </c>
      <c r="E99" s="8">
        <v>10</v>
      </c>
      <c r="G99" s="50">
        <f>+G868</f>
        <v>0</v>
      </c>
      <c r="H99" s="50">
        <f>+H868</f>
        <v>12285120</v>
      </c>
      <c r="I99" s="30"/>
      <c r="J99" s="50">
        <f>+J868</f>
        <v>0</v>
      </c>
      <c r="K99" s="50">
        <f>+K868</f>
        <v>12977024</v>
      </c>
    </row>
    <row r="100" spans="1:254">
      <c r="A100" s="8"/>
      <c r="C100" s="9"/>
      <c r="D100" s="27"/>
      <c r="E100" s="8"/>
      <c r="F100" s="19" t="s">
        <v>6</v>
      </c>
      <c r="G100" s="20" t="s">
        <v>6</v>
      </c>
      <c r="H100" s="49"/>
      <c r="I100" s="28"/>
      <c r="J100" s="20"/>
      <c r="K100" s="49"/>
    </row>
    <row r="101" spans="1:254">
      <c r="A101" s="137">
        <v>11</v>
      </c>
      <c r="C101" s="9" t="s">
        <v>61</v>
      </c>
      <c r="E101" s="137">
        <v>11</v>
      </c>
      <c r="G101" s="50">
        <f>SUM(G90:G99)</f>
        <v>0</v>
      </c>
      <c r="H101" s="48">
        <f>SUM(H90:H99)</f>
        <v>12285120</v>
      </c>
      <c r="I101" s="30"/>
      <c r="J101" s="50">
        <f>SUM(J90:J99)</f>
        <v>0</v>
      </c>
      <c r="K101" s="48">
        <f>SUM(K90:K99)</f>
        <v>12977024</v>
      </c>
    </row>
    <row r="102" spans="1:254">
      <c r="A102" s="8"/>
      <c r="E102" s="8"/>
      <c r="F102" s="19" t="s">
        <v>6</v>
      </c>
      <c r="G102" s="20" t="s">
        <v>6</v>
      </c>
      <c r="H102" s="21"/>
      <c r="I102" s="28"/>
      <c r="J102" s="20"/>
      <c r="K102" s="21"/>
    </row>
    <row r="103" spans="1:254">
      <c r="A103" s="8"/>
      <c r="E103" s="8"/>
      <c r="F103" s="19"/>
      <c r="G103" s="14"/>
      <c r="H103" s="21"/>
      <c r="I103" s="28"/>
      <c r="J103" s="14"/>
      <c r="K103" s="21"/>
    </row>
    <row r="104" spans="1:254">
      <c r="A104" s="137">
        <v>12</v>
      </c>
      <c r="C104" s="9" t="s">
        <v>35</v>
      </c>
      <c r="E104" s="137">
        <v>12</v>
      </c>
      <c r="G104" s="29"/>
      <c r="H104" s="29"/>
      <c r="I104" s="30"/>
      <c r="J104" s="50"/>
      <c r="K104" s="29"/>
    </row>
    <row r="105" spans="1:254">
      <c r="A105" s="8">
        <v>13</v>
      </c>
      <c r="C105" s="9" t="s">
        <v>36</v>
      </c>
      <c r="D105" s="27" t="s">
        <v>37</v>
      </c>
      <c r="E105" s="8">
        <v>13</v>
      </c>
      <c r="G105" s="50"/>
      <c r="H105" s="48">
        <f>+H495</f>
        <v>0</v>
      </c>
      <c r="I105" s="30"/>
      <c r="J105" s="50"/>
      <c r="K105" s="48">
        <f>+K495</f>
        <v>0</v>
      </c>
    </row>
    <row r="106" spans="1:254">
      <c r="A106" s="8">
        <v>14</v>
      </c>
      <c r="C106" s="9" t="s">
        <v>39</v>
      </c>
      <c r="D106" s="27" t="s">
        <v>62</v>
      </c>
      <c r="E106" s="8">
        <v>14</v>
      </c>
      <c r="G106" s="50"/>
      <c r="H106" s="116">
        <f>H145</f>
        <v>0</v>
      </c>
      <c r="I106" s="30"/>
      <c r="J106" s="50"/>
      <c r="K106" s="116">
        <f>K145</f>
        <v>0</v>
      </c>
    </row>
    <row r="107" spans="1:254">
      <c r="A107" s="8">
        <v>15</v>
      </c>
      <c r="C107" s="9" t="s">
        <v>41</v>
      </c>
      <c r="D107" s="27"/>
      <c r="E107" s="8">
        <v>15</v>
      </c>
      <c r="G107" s="50">
        <f>H182</f>
        <v>0</v>
      </c>
      <c r="H107" s="138"/>
      <c r="I107" s="30"/>
      <c r="J107" s="50">
        <f>K182</f>
        <v>0</v>
      </c>
      <c r="K107" s="138"/>
    </row>
    <row r="108" spans="1:254">
      <c r="A108" s="8">
        <v>16</v>
      </c>
      <c r="C108" s="9" t="s">
        <v>42</v>
      </c>
      <c r="D108" s="27"/>
      <c r="E108" s="8">
        <v>16</v>
      </c>
      <c r="G108" s="50"/>
      <c r="H108" s="48">
        <f>+H308-H107</f>
        <v>0</v>
      </c>
      <c r="I108" s="30"/>
      <c r="J108" s="50"/>
      <c r="K108" s="138"/>
    </row>
    <row r="109" spans="1:254">
      <c r="A109" s="27">
        <v>17</v>
      </c>
      <c r="B109" s="27"/>
      <c r="C109" s="31" t="s">
        <v>63</v>
      </c>
      <c r="D109" s="27" t="s">
        <v>64</v>
      </c>
      <c r="E109" s="27">
        <v>17</v>
      </c>
      <c r="F109" s="27"/>
      <c r="G109" s="50"/>
      <c r="H109" s="48">
        <f>SUM(H107:H108)</f>
        <v>0</v>
      </c>
      <c r="I109" s="31"/>
      <c r="J109" s="50"/>
      <c r="K109" s="48">
        <f>SUM(K107:K108)</f>
        <v>0</v>
      </c>
      <c r="L109" s="27"/>
      <c r="M109" s="31"/>
      <c r="N109" s="27"/>
      <c r="O109" s="31"/>
      <c r="P109" s="27"/>
      <c r="Q109" s="31"/>
      <c r="R109" s="27"/>
      <c r="S109" s="31"/>
      <c r="T109" s="27"/>
      <c r="U109" s="31"/>
      <c r="V109" s="27"/>
      <c r="W109" s="31"/>
      <c r="X109" s="27"/>
      <c r="Y109" s="31"/>
      <c r="Z109" s="27"/>
      <c r="AA109" s="31"/>
      <c r="AB109" s="27"/>
      <c r="AC109" s="31"/>
      <c r="AD109" s="27"/>
      <c r="AE109" s="31"/>
      <c r="AF109" s="27"/>
      <c r="AG109" s="31"/>
      <c r="AH109" s="27"/>
      <c r="AI109" s="31"/>
      <c r="AJ109" s="27"/>
      <c r="AK109" s="31"/>
      <c r="AL109" s="27"/>
      <c r="AM109" s="31"/>
      <c r="AN109" s="27"/>
      <c r="AO109" s="31"/>
      <c r="AP109" s="27"/>
      <c r="AQ109" s="31"/>
      <c r="AR109" s="27"/>
      <c r="AS109" s="31"/>
      <c r="AT109" s="27"/>
      <c r="AU109" s="31"/>
      <c r="AV109" s="27"/>
      <c r="AW109" s="31"/>
      <c r="AX109" s="27"/>
      <c r="AY109" s="31"/>
      <c r="AZ109" s="27"/>
      <c r="BA109" s="31"/>
      <c r="BB109" s="27"/>
      <c r="BC109" s="31"/>
      <c r="BD109" s="27"/>
      <c r="BE109" s="31"/>
      <c r="BF109" s="27"/>
      <c r="BG109" s="31"/>
      <c r="BH109" s="27"/>
      <c r="BI109" s="31"/>
      <c r="BJ109" s="27"/>
      <c r="BK109" s="31"/>
      <c r="BL109" s="27"/>
      <c r="BM109" s="31"/>
      <c r="BN109" s="27"/>
      <c r="BO109" s="31"/>
      <c r="BP109" s="27"/>
      <c r="BQ109" s="31"/>
      <c r="BR109" s="27"/>
      <c r="BS109" s="31"/>
      <c r="BT109" s="27"/>
      <c r="BU109" s="31"/>
      <c r="BV109" s="27"/>
      <c r="BW109" s="31"/>
      <c r="BX109" s="27"/>
      <c r="BY109" s="31"/>
      <c r="BZ109" s="27"/>
      <c r="CA109" s="31"/>
      <c r="CB109" s="27"/>
      <c r="CC109" s="31"/>
      <c r="CD109" s="27"/>
      <c r="CE109" s="31"/>
      <c r="CF109" s="27"/>
      <c r="CG109" s="31"/>
      <c r="CH109" s="27"/>
      <c r="CI109" s="31"/>
      <c r="CJ109" s="27"/>
      <c r="CK109" s="31"/>
      <c r="CL109" s="27"/>
      <c r="CM109" s="31"/>
      <c r="CN109" s="27"/>
      <c r="CO109" s="31"/>
      <c r="CP109" s="27"/>
      <c r="CQ109" s="31"/>
      <c r="CR109" s="27"/>
      <c r="CS109" s="31"/>
      <c r="CT109" s="27"/>
      <c r="CU109" s="31"/>
      <c r="CV109" s="27"/>
      <c r="CW109" s="31"/>
      <c r="CX109" s="27"/>
      <c r="CY109" s="31"/>
      <c r="CZ109" s="27"/>
      <c r="DA109" s="31"/>
      <c r="DB109" s="27"/>
      <c r="DC109" s="31"/>
      <c r="DD109" s="27"/>
      <c r="DE109" s="31"/>
      <c r="DF109" s="27"/>
      <c r="DG109" s="31"/>
      <c r="DH109" s="27"/>
      <c r="DI109" s="31"/>
      <c r="DJ109" s="27"/>
      <c r="DK109" s="31"/>
      <c r="DL109" s="27"/>
      <c r="DM109" s="31"/>
      <c r="DN109" s="27"/>
      <c r="DO109" s="31"/>
      <c r="DP109" s="27"/>
      <c r="DQ109" s="31"/>
      <c r="DR109" s="27"/>
      <c r="DS109" s="31"/>
      <c r="DT109" s="27"/>
      <c r="DU109" s="31"/>
      <c r="DV109" s="27"/>
      <c r="DW109" s="31"/>
      <c r="DX109" s="27"/>
      <c r="DY109" s="31"/>
      <c r="DZ109" s="27"/>
      <c r="EA109" s="31"/>
      <c r="EB109" s="27"/>
      <c r="EC109" s="31"/>
      <c r="ED109" s="27"/>
      <c r="EE109" s="31"/>
      <c r="EF109" s="27"/>
      <c r="EG109" s="31"/>
      <c r="EH109" s="27"/>
      <c r="EI109" s="31"/>
      <c r="EJ109" s="27"/>
      <c r="EK109" s="31"/>
      <c r="EL109" s="27"/>
      <c r="EM109" s="31"/>
      <c r="EN109" s="27"/>
      <c r="EO109" s="31"/>
      <c r="EP109" s="27"/>
      <c r="EQ109" s="31"/>
      <c r="ER109" s="27"/>
      <c r="ES109" s="31"/>
      <c r="ET109" s="27"/>
      <c r="EU109" s="31"/>
      <c r="EV109" s="27"/>
      <c r="EW109" s="31"/>
      <c r="EX109" s="27"/>
      <c r="EY109" s="31"/>
      <c r="EZ109" s="27"/>
      <c r="FA109" s="31"/>
      <c r="FB109" s="27"/>
      <c r="FC109" s="31"/>
      <c r="FD109" s="27"/>
      <c r="FE109" s="31"/>
      <c r="FF109" s="27"/>
      <c r="FG109" s="31"/>
      <c r="FH109" s="27"/>
      <c r="FI109" s="31"/>
      <c r="FJ109" s="27"/>
      <c r="FK109" s="31"/>
      <c r="FL109" s="27"/>
      <c r="FM109" s="31"/>
      <c r="FN109" s="27"/>
      <c r="FO109" s="31"/>
      <c r="FP109" s="27"/>
      <c r="FQ109" s="31"/>
      <c r="FR109" s="27"/>
      <c r="FS109" s="31"/>
      <c r="FT109" s="27"/>
      <c r="FU109" s="31"/>
      <c r="FV109" s="27"/>
      <c r="FW109" s="31"/>
      <c r="FX109" s="27"/>
      <c r="FY109" s="31"/>
      <c r="FZ109" s="27"/>
      <c r="GA109" s="31"/>
      <c r="GB109" s="27"/>
      <c r="GC109" s="31"/>
      <c r="GD109" s="27"/>
      <c r="GE109" s="31"/>
      <c r="GF109" s="27"/>
      <c r="GG109" s="31"/>
      <c r="GH109" s="27"/>
      <c r="GI109" s="31"/>
      <c r="GJ109" s="27"/>
      <c r="GK109" s="31"/>
      <c r="GL109" s="27"/>
      <c r="GM109" s="31"/>
      <c r="GN109" s="27"/>
      <c r="GO109" s="31"/>
      <c r="GP109" s="27"/>
      <c r="GQ109" s="31"/>
      <c r="GR109" s="27"/>
      <c r="GS109" s="31"/>
      <c r="GT109" s="27"/>
      <c r="GU109" s="31"/>
      <c r="GV109" s="27"/>
      <c r="GW109" s="31"/>
      <c r="GX109" s="27"/>
      <c r="GY109" s="31"/>
      <c r="GZ109" s="27"/>
      <c r="HA109" s="31"/>
      <c r="HB109" s="27"/>
      <c r="HC109" s="31"/>
      <c r="HD109" s="27"/>
      <c r="HE109" s="31"/>
      <c r="HF109" s="27"/>
      <c r="HG109" s="31"/>
      <c r="HH109" s="27"/>
      <c r="HI109" s="31"/>
      <c r="HJ109" s="27"/>
      <c r="HK109" s="31"/>
      <c r="HL109" s="27"/>
      <c r="HM109" s="31"/>
      <c r="HN109" s="27"/>
      <c r="HO109" s="31"/>
      <c r="HP109" s="27"/>
      <c r="HQ109" s="31"/>
      <c r="HR109" s="27"/>
      <c r="HS109" s="31"/>
      <c r="HT109" s="27"/>
      <c r="HU109" s="31"/>
      <c r="HV109" s="27"/>
      <c r="HW109" s="31"/>
      <c r="HX109" s="27"/>
      <c r="HY109" s="31"/>
      <c r="HZ109" s="27"/>
      <c r="IA109" s="31"/>
      <c r="IB109" s="27"/>
      <c r="IC109" s="31"/>
      <c r="ID109" s="27"/>
      <c r="IE109" s="31"/>
      <c r="IF109" s="27"/>
      <c r="IG109" s="31"/>
      <c r="IH109" s="27"/>
      <c r="II109" s="31"/>
      <c r="IJ109" s="27"/>
      <c r="IK109" s="31"/>
      <c r="IL109" s="27"/>
      <c r="IM109" s="31"/>
      <c r="IN109" s="27"/>
      <c r="IO109" s="31"/>
      <c r="IP109" s="27"/>
      <c r="IQ109" s="31"/>
      <c r="IR109" s="27"/>
      <c r="IS109" s="31"/>
      <c r="IT109" s="27"/>
    </row>
    <row r="110" spans="1:254">
      <c r="A110" s="8">
        <v>18</v>
      </c>
      <c r="C110" s="9" t="s">
        <v>44</v>
      </c>
      <c r="D110" s="27" t="s">
        <v>64</v>
      </c>
      <c r="E110" s="8">
        <v>18</v>
      </c>
      <c r="G110" s="50"/>
      <c r="H110" s="48">
        <f>+H307</f>
        <v>0</v>
      </c>
      <c r="I110" s="30"/>
      <c r="J110" s="50"/>
      <c r="K110" s="138"/>
    </row>
    <row r="111" spans="1:254">
      <c r="A111" s="8">
        <v>19</v>
      </c>
      <c r="C111" s="9" t="s">
        <v>45</v>
      </c>
      <c r="D111" s="27" t="s">
        <v>64</v>
      </c>
      <c r="E111" s="8">
        <v>19</v>
      </c>
      <c r="G111" s="50"/>
      <c r="H111" s="48">
        <f>+H313</f>
        <v>0</v>
      </c>
      <c r="I111" s="30"/>
      <c r="J111" s="50"/>
      <c r="K111" s="138"/>
    </row>
    <row r="112" spans="1:254">
      <c r="A112" s="8">
        <v>20</v>
      </c>
      <c r="C112" s="9" t="s">
        <v>46</v>
      </c>
      <c r="D112" s="27" t="s">
        <v>64</v>
      </c>
      <c r="E112" s="8">
        <v>20</v>
      </c>
      <c r="G112" s="50"/>
      <c r="H112" s="48">
        <f>H109+H110+H111</f>
        <v>0</v>
      </c>
      <c r="I112" s="30"/>
      <c r="J112" s="50"/>
      <c r="K112" s="48">
        <f>K109+K110+K111</f>
        <v>0</v>
      </c>
    </row>
    <row r="113" spans="1:17">
      <c r="A113" s="27">
        <v>21</v>
      </c>
      <c r="C113" s="9"/>
      <c r="D113" s="27"/>
      <c r="E113" s="8">
        <v>21</v>
      </c>
      <c r="G113" s="50"/>
      <c r="H113" s="48">
        <f>+H352-H333</f>
        <v>0</v>
      </c>
      <c r="I113" s="30"/>
      <c r="J113" s="50"/>
      <c r="K113" s="48">
        <f>+K352-K333</f>
        <v>0</v>
      </c>
      <c r="L113" s="137" t="s">
        <v>38</v>
      </c>
    </row>
    <row r="114" spans="1:17">
      <c r="A114" s="27">
        <v>22</v>
      </c>
      <c r="C114" s="9"/>
      <c r="D114" s="27"/>
      <c r="E114" s="8">
        <v>22</v>
      </c>
      <c r="G114" s="50"/>
      <c r="H114" s="48">
        <f>H333</f>
        <v>0</v>
      </c>
      <c r="I114" s="30" t="s">
        <v>38</v>
      </c>
      <c r="J114" s="50"/>
      <c r="K114" s="48">
        <f>K333</f>
        <v>0</v>
      </c>
    </row>
    <row r="115" spans="1:17">
      <c r="A115" s="8">
        <v>23</v>
      </c>
      <c r="C115" s="32"/>
      <c r="E115" s="8">
        <v>23</v>
      </c>
      <c r="F115" s="19" t="s">
        <v>6</v>
      </c>
      <c r="G115" s="20"/>
      <c r="H115" s="21"/>
      <c r="I115" s="28"/>
      <c r="J115" s="20"/>
      <c r="K115" s="21"/>
      <c r="Q115" s="137" t="s">
        <v>38</v>
      </c>
    </row>
    <row r="116" spans="1:17">
      <c r="A116" s="8">
        <v>24</v>
      </c>
      <c r="C116" s="32"/>
      <c r="D116" s="9"/>
      <c r="E116" s="8">
        <v>24</v>
      </c>
    </row>
    <row r="117" spans="1:17">
      <c r="A117" s="8">
        <v>25</v>
      </c>
      <c r="C117" s="9" t="s">
        <v>239</v>
      </c>
      <c r="D117" s="27" t="s">
        <v>65</v>
      </c>
      <c r="E117" s="8">
        <v>25</v>
      </c>
      <c r="G117" s="50"/>
      <c r="H117" s="48">
        <f>+H399</f>
        <v>12285120</v>
      </c>
      <c r="I117" s="30"/>
      <c r="J117" s="50"/>
      <c r="K117" s="48">
        <f>+K399</f>
        <v>12977024</v>
      </c>
    </row>
    <row r="118" spans="1:17">
      <c r="A118" s="137">
        <v>26</v>
      </c>
      <c r="E118" s="137">
        <v>26</v>
      </c>
      <c r="F118" s="19" t="s">
        <v>6</v>
      </c>
      <c r="G118" s="20"/>
      <c r="H118" s="21"/>
      <c r="I118" s="28"/>
      <c r="J118" s="20"/>
      <c r="K118" s="21"/>
    </row>
    <row r="119" spans="1:17">
      <c r="A119" s="8">
        <v>27</v>
      </c>
      <c r="C119" s="9" t="s">
        <v>48</v>
      </c>
      <c r="E119" s="8">
        <v>27</v>
      </c>
      <c r="F119" s="17"/>
      <c r="G119" s="50"/>
      <c r="H119" s="48">
        <f>H105+H106+H112+H113+H114+H117</f>
        <v>12285120</v>
      </c>
      <c r="I119" s="29"/>
      <c r="J119" s="51"/>
      <c r="K119" s="48">
        <f>K105+K106+K112+K113+K114+K117</f>
        <v>12977024</v>
      </c>
      <c r="L119" s="91"/>
      <c r="M119" s="91"/>
      <c r="N119" s="91"/>
      <c r="O119" s="91"/>
      <c r="P119" s="91"/>
      <c r="Q119" s="91"/>
    </row>
    <row r="120" spans="1:17">
      <c r="A120" s="8"/>
      <c r="C120" s="9"/>
      <c r="E120" s="8"/>
      <c r="F120" s="52" t="s">
        <v>258</v>
      </c>
      <c r="G120" s="53"/>
      <c r="H120" s="53"/>
      <c r="I120" s="53"/>
      <c r="J120" s="54"/>
      <c r="K120" s="55"/>
    </row>
    <row r="121" spans="1:17" ht="29.25" customHeight="1">
      <c r="C121" s="221" t="s">
        <v>233</v>
      </c>
      <c r="D121" s="221"/>
      <c r="E121" s="221"/>
      <c r="F121" s="221"/>
      <c r="G121" s="221"/>
      <c r="H121" s="221"/>
      <c r="I121" s="221"/>
      <c r="J121" s="221"/>
      <c r="K121" s="56"/>
    </row>
    <row r="122" spans="1:17">
      <c r="D122" s="27"/>
      <c r="F122" s="19"/>
      <c r="G122" s="20"/>
      <c r="I122" s="28"/>
      <c r="J122" s="20"/>
      <c r="K122" s="21"/>
      <c r="M122" s="137" t="s">
        <v>38</v>
      </c>
    </row>
    <row r="123" spans="1:17">
      <c r="C123" s="137" t="s">
        <v>49</v>
      </c>
      <c r="G123" s="137"/>
      <c r="H123" s="137"/>
      <c r="J123" s="137"/>
      <c r="K123" s="137"/>
    </row>
    <row r="124" spans="1:17">
      <c r="D124" s="27"/>
      <c r="F124" s="19"/>
      <c r="G124" s="20"/>
      <c r="I124" s="28"/>
      <c r="J124" s="20"/>
      <c r="K124" s="21"/>
    </row>
    <row r="125" spans="1:17">
      <c r="E125" s="35"/>
    </row>
    <row r="126" spans="1:17">
      <c r="A126" s="36" t="s">
        <v>234</v>
      </c>
    </row>
    <row r="127" spans="1:17">
      <c r="A127" s="16" t="str">
        <f>$A$83</f>
        <v xml:space="preserve">Institution No.:  </v>
      </c>
      <c r="B127" s="36"/>
      <c r="C127" s="36"/>
      <c r="D127" s="36"/>
      <c r="E127" s="37"/>
      <c r="F127" s="36"/>
      <c r="G127" s="38"/>
      <c r="H127" s="39"/>
      <c r="I127" s="36"/>
      <c r="J127" s="38"/>
      <c r="K127" s="15" t="s">
        <v>50</v>
      </c>
    </row>
    <row r="128" spans="1:17" ht="14.25">
      <c r="A128" s="222" t="s">
        <v>249</v>
      </c>
      <c r="B128" s="222"/>
      <c r="C128" s="222"/>
      <c r="D128" s="222"/>
      <c r="E128" s="222"/>
      <c r="F128" s="222"/>
      <c r="G128" s="222"/>
      <c r="H128" s="222"/>
      <c r="I128" s="222"/>
      <c r="J128" s="222"/>
      <c r="K128" s="222"/>
    </row>
    <row r="129" spans="1:11">
      <c r="A129" s="16" t="str">
        <f>$A$42</f>
        <v xml:space="preserve">NAME: </v>
      </c>
      <c r="C129" s="137" t="str">
        <f>$D$20</f>
        <v>University of Colorado</v>
      </c>
      <c r="H129" s="40"/>
      <c r="J129" s="14"/>
      <c r="K129" s="18" t="str">
        <f>$K$3</f>
        <v>Date: October 09, 2017</v>
      </c>
    </row>
    <row r="130" spans="1:11">
      <c r="A130" s="19" t="s">
        <v>6</v>
      </c>
      <c r="B130" s="19" t="s">
        <v>6</v>
      </c>
      <c r="C130" s="19" t="s">
        <v>6</v>
      </c>
      <c r="D130" s="19" t="s">
        <v>6</v>
      </c>
      <c r="E130" s="19" t="s">
        <v>6</v>
      </c>
      <c r="F130" s="19" t="s">
        <v>6</v>
      </c>
      <c r="G130" s="20" t="s">
        <v>6</v>
      </c>
      <c r="H130" s="21" t="s">
        <v>6</v>
      </c>
      <c r="I130" s="19" t="s">
        <v>6</v>
      </c>
      <c r="J130" s="20" t="s">
        <v>6</v>
      </c>
      <c r="K130" s="21" t="s">
        <v>6</v>
      </c>
    </row>
    <row r="131" spans="1:11">
      <c r="A131" s="22" t="s">
        <v>7</v>
      </c>
      <c r="E131" s="22" t="s">
        <v>7</v>
      </c>
      <c r="F131" s="23"/>
      <c r="G131" s="24"/>
      <c r="H131" s="25" t="str">
        <f>H87</f>
        <v>2016-17</v>
      </c>
      <c r="I131" s="23"/>
      <c r="J131" s="24"/>
      <c r="K131" s="25" t="str">
        <f>K87</f>
        <v>2017-18</v>
      </c>
    </row>
    <row r="132" spans="1:11">
      <c r="A132" s="22" t="s">
        <v>9</v>
      </c>
      <c r="C132" s="26" t="s">
        <v>51</v>
      </c>
      <c r="E132" s="22" t="s">
        <v>9</v>
      </c>
      <c r="F132" s="23"/>
      <c r="G132" s="24"/>
      <c r="H132" s="25" t="s">
        <v>12</v>
      </c>
      <c r="I132" s="23"/>
      <c r="J132" s="24"/>
      <c r="K132" s="25" t="s">
        <v>13</v>
      </c>
    </row>
    <row r="133" spans="1:11">
      <c r="A133" s="19" t="s">
        <v>6</v>
      </c>
      <c r="B133" s="19" t="s">
        <v>6</v>
      </c>
      <c r="C133" s="19" t="s">
        <v>6</v>
      </c>
      <c r="D133" s="19" t="s">
        <v>6</v>
      </c>
      <c r="E133" s="19" t="s">
        <v>6</v>
      </c>
      <c r="F133" s="19" t="s">
        <v>6</v>
      </c>
      <c r="G133" s="20" t="s">
        <v>6</v>
      </c>
      <c r="H133" s="21" t="s">
        <v>6</v>
      </c>
      <c r="I133" s="19" t="s">
        <v>6</v>
      </c>
      <c r="J133" s="20" t="s">
        <v>6</v>
      </c>
      <c r="K133" s="21" t="s">
        <v>6</v>
      </c>
    </row>
    <row r="134" spans="1:11">
      <c r="A134" s="137">
        <v>1</v>
      </c>
      <c r="C134" s="137" t="s">
        <v>52</v>
      </c>
      <c r="E134" s="137">
        <v>1</v>
      </c>
    </row>
    <row r="135" spans="1:11" ht="33.75" customHeight="1">
      <c r="A135" s="41">
        <v>2</v>
      </c>
      <c r="C135" s="223" t="s">
        <v>66</v>
      </c>
      <c r="D135" s="223"/>
      <c r="E135" s="41">
        <v>2</v>
      </c>
      <c r="G135" s="94"/>
      <c r="H135" s="139">
        <v>0</v>
      </c>
      <c r="I135" s="95"/>
      <c r="J135" s="95"/>
      <c r="K135" s="139">
        <v>0</v>
      </c>
    </row>
    <row r="136" spans="1:11" ht="15.75" customHeight="1">
      <c r="A136" s="137">
        <v>3</v>
      </c>
      <c r="C136" s="137" t="s">
        <v>53</v>
      </c>
      <c r="E136" s="137">
        <v>3</v>
      </c>
      <c r="G136" s="94"/>
      <c r="H136" s="140">
        <v>0</v>
      </c>
      <c r="I136" s="94"/>
      <c r="J136" s="94"/>
      <c r="K136" s="140">
        <v>0</v>
      </c>
    </row>
    <row r="137" spans="1:11">
      <c r="A137" s="137">
        <v>4</v>
      </c>
      <c r="C137" s="137" t="s">
        <v>54</v>
      </c>
      <c r="E137" s="137">
        <v>4</v>
      </c>
      <c r="G137" s="94"/>
      <c r="H137" s="140">
        <v>0</v>
      </c>
      <c r="I137" s="94"/>
      <c r="J137" s="94"/>
      <c r="K137" s="140">
        <v>0</v>
      </c>
    </row>
    <row r="138" spans="1:11">
      <c r="A138" s="137">
        <v>5</v>
      </c>
      <c r="C138" s="137" t="s">
        <v>55</v>
      </c>
      <c r="E138" s="137">
        <v>5</v>
      </c>
      <c r="G138" s="94"/>
      <c r="H138" s="140">
        <v>0</v>
      </c>
      <c r="I138" s="94"/>
      <c r="J138" s="94"/>
      <c r="K138" s="140">
        <v>0</v>
      </c>
    </row>
    <row r="139" spans="1:11" ht="47.25" customHeight="1">
      <c r="A139" s="41">
        <v>6</v>
      </c>
      <c r="C139" s="223" t="s">
        <v>56</v>
      </c>
      <c r="D139" s="223"/>
      <c r="E139" s="41">
        <v>6</v>
      </c>
      <c r="G139" s="94"/>
      <c r="H139" s="139">
        <v>0</v>
      </c>
      <c r="I139" s="95"/>
      <c r="J139" s="95"/>
      <c r="K139" s="139">
        <v>0</v>
      </c>
    </row>
    <row r="140" spans="1:11">
      <c r="A140" s="137">
        <v>7</v>
      </c>
      <c r="E140" s="137">
        <v>7</v>
      </c>
      <c r="G140" s="94"/>
      <c r="H140" s="94"/>
      <c r="I140" s="94"/>
      <c r="J140" s="94"/>
      <c r="K140" s="94"/>
    </row>
    <row r="141" spans="1:11">
      <c r="A141" s="137">
        <v>8</v>
      </c>
      <c r="E141" s="137">
        <v>8</v>
      </c>
      <c r="G141" s="94"/>
      <c r="H141" s="94"/>
      <c r="I141" s="94"/>
      <c r="J141" s="94"/>
      <c r="K141" s="94"/>
    </row>
    <row r="142" spans="1:11">
      <c r="A142" s="137">
        <v>9</v>
      </c>
      <c r="E142" s="137">
        <v>9</v>
      </c>
      <c r="G142" s="94"/>
      <c r="H142" s="94"/>
      <c r="I142" s="94"/>
      <c r="J142" s="94"/>
      <c r="K142" s="94"/>
    </row>
    <row r="143" spans="1:11">
      <c r="A143" s="137">
        <v>10</v>
      </c>
      <c r="E143" s="137">
        <v>10</v>
      </c>
      <c r="G143" s="94"/>
      <c r="H143" s="94"/>
      <c r="I143" s="94"/>
      <c r="J143" s="94"/>
      <c r="K143" s="94"/>
    </row>
    <row r="144" spans="1:11">
      <c r="A144" s="137">
        <v>11</v>
      </c>
      <c r="E144" s="137">
        <v>11</v>
      </c>
      <c r="G144" s="94"/>
      <c r="H144" s="94"/>
      <c r="I144" s="94"/>
      <c r="J144" s="94"/>
      <c r="K144" s="94"/>
    </row>
    <row r="145" spans="1:11">
      <c r="A145" s="137">
        <v>12</v>
      </c>
      <c r="C145" s="137" t="s">
        <v>57</v>
      </c>
      <c r="E145" s="137">
        <v>12</v>
      </c>
      <c r="G145" s="94"/>
      <c r="H145" s="94">
        <f>SUM(H135:H144)</f>
        <v>0</v>
      </c>
      <c r="I145" s="94"/>
      <c r="J145" s="94"/>
      <c r="K145" s="94">
        <f>SUM(K135:K144)</f>
        <v>0</v>
      </c>
    </row>
    <row r="146" spans="1:11">
      <c r="E146" s="35"/>
    </row>
    <row r="147" spans="1:11">
      <c r="E147" s="35"/>
    </row>
    <row r="148" spans="1:11">
      <c r="E148" s="35"/>
    </row>
    <row r="149" spans="1:11">
      <c r="E149" s="35"/>
    </row>
    <row r="150" spans="1:11">
      <c r="E150" s="35"/>
    </row>
    <row r="151" spans="1:11">
      <c r="E151" s="35"/>
    </row>
    <row r="152" spans="1:11">
      <c r="E152" s="35"/>
    </row>
    <row r="154" spans="1:11">
      <c r="D154" s="42"/>
      <c r="F154" s="42"/>
      <c r="G154" s="43"/>
      <c r="H154" s="44"/>
    </row>
    <row r="155" spans="1:11">
      <c r="E155" s="35"/>
    </row>
    <row r="156" spans="1:11">
      <c r="E156" s="35"/>
    </row>
    <row r="157" spans="1:11">
      <c r="E157" s="35"/>
    </row>
    <row r="158" spans="1:11" ht="13.5">
      <c r="C158" s="137" t="s">
        <v>256</v>
      </c>
      <c r="E158" s="35"/>
    </row>
    <row r="159" spans="1:11">
      <c r="E159" s="35"/>
    </row>
    <row r="160" spans="1:11" ht="12.75">
      <c r="B160" s="45"/>
      <c r="C160" s="46"/>
      <c r="D160" s="47"/>
      <c r="E160" s="47"/>
      <c r="F160" s="47"/>
    </row>
    <row r="161" spans="1:13" ht="12.75">
      <c r="B161" s="45"/>
      <c r="C161" s="46"/>
      <c r="D161" s="47"/>
      <c r="E161" s="47"/>
      <c r="F161" s="47"/>
    </row>
    <row r="162" spans="1:13">
      <c r="E162" s="35"/>
    </row>
    <row r="163" spans="1:13">
      <c r="E163" s="35"/>
    </row>
    <row r="164" spans="1:13">
      <c r="E164" s="35"/>
    </row>
    <row r="165" spans="1:13">
      <c r="E165" s="35"/>
    </row>
    <row r="166" spans="1:13">
      <c r="E166" s="35"/>
    </row>
    <row r="167" spans="1:13">
      <c r="E167" s="35"/>
    </row>
    <row r="168" spans="1:13">
      <c r="E168" s="35"/>
    </row>
    <row r="169" spans="1:13">
      <c r="E169" s="35"/>
    </row>
    <row r="170" spans="1:13">
      <c r="E170" s="35"/>
    </row>
    <row r="171" spans="1:13">
      <c r="E171" s="35"/>
    </row>
    <row r="172" spans="1:13">
      <c r="E172" s="35"/>
    </row>
    <row r="173" spans="1:13">
      <c r="E173" s="35"/>
    </row>
    <row r="174" spans="1:13">
      <c r="A174" s="16" t="str">
        <f>$A$83</f>
        <v xml:space="preserve">Institution No.:  </v>
      </c>
      <c r="E174" s="35"/>
      <c r="G174" s="14"/>
      <c r="H174" s="40"/>
      <c r="J174" s="14"/>
      <c r="K174" s="15" t="s">
        <v>67</v>
      </c>
      <c r="L174" s="17"/>
      <c r="M174" s="57"/>
    </row>
    <row r="175" spans="1:13" s="36" customFormat="1">
      <c r="A175" s="222" t="s">
        <v>68</v>
      </c>
      <c r="B175" s="222"/>
      <c r="C175" s="222"/>
      <c r="D175" s="222"/>
      <c r="E175" s="222"/>
      <c r="F175" s="222"/>
      <c r="G175" s="222"/>
      <c r="H175" s="222"/>
      <c r="I175" s="222"/>
      <c r="J175" s="222"/>
      <c r="K175" s="222"/>
      <c r="L175" s="58"/>
      <c r="M175" s="59"/>
    </row>
    <row r="176" spans="1:13">
      <c r="A176" s="16" t="str">
        <f>$A$42</f>
        <v xml:space="preserve">NAME: </v>
      </c>
      <c r="C176" s="137" t="str">
        <f>$D$20</f>
        <v>University of Colorado</v>
      </c>
      <c r="H176" s="40"/>
      <c r="J176" s="14"/>
      <c r="K176" s="18" t="str">
        <f>$K$3</f>
        <v>Date: October 09, 2017</v>
      </c>
      <c r="L176" s="17"/>
      <c r="M176" s="57"/>
    </row>
    <row r="177" spans="1:11">
      <c r="A177" s="19" t="s">
        <v>6</v>
      </c>
      <c r="B177" s="19" t="s">
        <v>6</v>
      </c>
      <c r="C177" s="19" t="s">
        <v>6</v>
      </c>
      <c r="D177" s="19" t="s">
        <v>6</v>
      </c>
      <c r="E177" s="19" t="s">
        <v>6</v>
      </c>
      <c r="F177" s="19" t="s">
        <v>6</v>
      </c>
      <c r="G177" s="20" t="s">
        <v>6</v>
      </c>
      <c r="H177" s="21" t="s">
        <v>6</v>
      </c>
      <c r="I177" s="19" t="s">
        <v>6</v>
      </c>
      <c r="J177" s="20" t="s">
        <v>6</v>
      </c>
      <c r="K177" s="21" t="s">
        <v>6</v>
      </c>
    </row>
    <row r="178" spans="1:11">
      <c r="A178" s="22" t="s">
        <v>7</v>
      </c>
      <c r="E178" s="22" t="s">
        <v>7</v>
      </c>
      <c r="G178" s="24"/>
      <c r="H178" s="25" t="str">
        <f>H131</f>
        <v>2016-17</v>
      </c>
      <c r="I178" s="23"/>
      <c r="J178" s="137"/>
      <c r="K178" s="25" t="str">
        <f>K131</f>
        <v>2017-18</v>
      </c>
    </row>
    <row r="179" spans="1:11">
      <c r="A179" s="22" t="s">
        <v>9</v>
      </c>
      <c r="E179" s="22" t="s">
        <v>9</v>
      </c>
      <c r="G179" s="24"/>
      <c r="H179" s="25" t="s">
        <v>12</v>
      </c>
      <c r="I179" s="23"/>
      <c r="J179" s="137"/>
      <c r="K179" s="25" t="str">
        <f>K132</f>
        <v>Estimate</v>
      </c>
    </row>
    <row r="180" spans="1:11">
      <c r="A180" s="19" t="s">
        <v>6</v>
      </c>
      <c r="B180" s="19" t="s">
        <v>6</v>
      </c>
      <c r="C180" s="19" t="s">
        <v>6</v>
      </c>
      <c r="D180" s="19" t="s">
        <v>6</v>
      </c>
      <c r="E180" s="19" t="s">
        <v>6</v>
      </c>
      <c r="F180" s="19" t="s">
        <v>6</v>
      </c>
      <c r="G180" s="20" t="s">
        <v>6</v>
      </c>
      <c r="H180" s="21" t="s">
        <v>6</v>
      </c>
      <c r="I180" s="19" t="s">
        <v>6</v>
      </c>
      <c r="J180" s="20" t="s">
        <v>6</v>
      </c>
      <c r="K180" s="20" t="s">
        <v>6</v>
      </c>
    </row>
    <row r="181" spans="1:11">
      <c r="A181" s="8">
        <v>1</v>
      </c>
      <c r="C181" s="9" t="s">
        <v>69</v>
      </c>
      <c r="E181" s="8">
        <v>1</v>
      </c>
      <c r="G181" s="14"/>
      <c r="H181" s="30"/>
      <c r="J181" s="137"/>
      <c r="K181" s="137"/>
    </row>
    <row r="182" spans="1:11">
      <c r="A182" s="27" t="s">
        <v>70</v>
      </c>
      <c r="C182" s="9" t="s">
        <v>71</v>
      </c>
      <c r="E182" s="27" t="s">
        <v>70</v>
      </c>
      <c r="F182" s="60"/>
      <c r="G182" s="96"/>
      <c r="H182" s="141">
        <v>0</v>
      </c>
      <c r="I182" s="96"/>
      <c r="J182" s="137"/>
      <c r="K182" s="141">
        <v>0</v>
      </c>
    </row>
    <row r="183" spans="1:11">
      <c r="A183" s="27" t="s">
        <v>72</v>
      </c>
      <c r="C183" s="9" t="s">
        <v>73</v>
      </c>
      <c r="E183" s="27" t="s">
        <v>72</v>
      </c>
      <c r="F183" s="60"/>
      <c r="G183" s="96"/>
      <c r="H183" s="98"/>
      <c r="I183" s="96"/>
      <c r="J183" s="137"/>
      <c r="K183" s="98"/>
    </row>
    <row r="184" spans="1:11">
      <c r="A184" s="27" t="s">
        <v>74</v>
      </c>
      <c r="C184" s="9" t="s">
        <v>75</v>
      </c>
      <c r="E184" s="27" t="s">
        <v>74</v>
      </c>
      <c r="F184" s="60"/>
      <c r="G184" s="96"/>
      <c r="H184" s="97">
        <f>SUM(H182:H183)</f>
        <v>0</v>
      </c>
      <c r="I184" s="96"/>
      <c r="J184" s="137"/>
      <c r="K184" s="97">
        <f>SUM(K182:K183)</f>
        <v>0</v>
      </c>
    </row>
    <row r="185" spans="1:11">
      <c r="A185" s="8">
        <v>3</v>
      </c>
      <c r="C185" s="9" t="s">
        <v>76</v>
      </c>
      <c r="E185" s="8">
        <v>3</v>
      </c>
      <c r="F185" s="60"/>
      <c r="G185" s="96"/>
      <c r="H185" s="141">
        <v>0</v>
      </c>
      <c r="I185" s="96"/>
      <c r="J185" s="137"/>
      <c r="K185" s="141">
        <v>0</v>
      </c>
    </row>
    <row r="186" spans="1:11">
      <c r="A186" s="8">
        <v>4</v>
      </c>
      <c r="C186" s="9" t="s">
        <v>77</v>
      </c>
      <c r="E186" s="8">
        <v>4</v>
      </c>
      <c r="F186" s="60"/>
      <c r="G186" s="96"/>
      <c r="H186" s="97">
        <f>SUM(H184:H185)</f>
        <v>0</v>
      </c>
      <c r="I186" s="96"/>
      <c r="J186" s="137"/>
      <c r="K186" s="97">
        <f>SUM(K184:K185)</f>
        <v>0</v>
      </c>
    </row>
    <row r="187" spans="1:11">
      <c r="A187" s="8">
        <v>5</v>
      </c>
      <c r="E187" s="8">
        <v>5</v>
      </c>
      <c r="F187" s="60"/>
      <c r="G187" s="96"/>
      <c r="H187" s="97"/>
      <c r="I187" s="96"/>
      <c r="J187" s="137"/>
      <c r="K187" s="97"/>
    </row>
    <row r="188" spans="1:11">
      <c r="A188" s="8">
        <v>6</v>
      </c>
      <c r="C188" s="9" t="s">
        <v>78</v>
      </c>
      <c r="E188" s="8">
        <v>6</v>
      </c>
      <c r="F188" s="60"/>
      <c r="G188" s="96"/>
      <c r="H188" s="141">
        <v>0</v>
      </c>
      <c r="I188" s="96"/>
      <c r="J188" s="137"/>
      <c r="K188" s="141">
        <v>0</v>
      </c>
    </row>
    <row r="189" spans="1:11">
      <c r="A189" s="8">
        <v>7</v>
      </c>
      <c r="C189" s="9" t="s">
        <v>79</v>
      </c>
      <c r="E189" s="8">
        <v>7</v>
      </c>
      <c r="F189" s="60"/>
      <c r="G189" s="96"/>
      <c r="H189" s="141">
        <v>0</v>
      </c>
      <c r="I189" s="96"/>
      <c r="J189" s="137"/>
      <c r="K189" s="141">
        <v>0</v>
      </c>
    </row>
    <row r="190" spans="1:11">
      <c r="A190" s="8">
        <v>8</v>
      </c>
      <c r="C190" s="9" t="s">
        <v>80</v>
      </c>
      <c r="E190" s="8">
        <v>8</v>
      </c>
      <c r="F190" s="60"/>
      <c r="G190" s="96"/>
      <c r="H190" s="97">
        <f>SUM(H188:H189)</f>
        <v>0</v>
      </c>
      <c r="I190" s="96"/>
      <c r="J190" s="137"/>
      <c r="K190" s="97">
        <f>SUM(K188:K189)</f>
        <v>0</v>
      </c>
    </row>
    <row r="191" spans="1:11">
      <c r="A191" s="8">
        <v>9</v>
      </c>
      <c r="E191" s="8">
        <v>9</v>
      </c>
      <c r="F191" s="60"/>
      <c r="G191" s="96"/>
      <c r="H191" s="97"/>
      <c r="I191" s="96"/>
      <c r="J191" s="137"/>
      <c r="K191" s="97"/>
    </row>
    <row r="192" spans="1:11">
      <c r="A192" s="8">
        <v>10</v>
      </c>
      <c r="C192" s="9" t="s">
        <v>81</v>
      </c>
      <c r="E192" s="8">
        <v>10</v>
      </c>
      <c r="F192" s="60"/>
      <c r="G192" s="96"/>
      <c r="H192" s="97">
        <f>H184+H188</f>
        <v>0</v>
      </c>
      <c r="I192" s="96"/>
      <c r="J192" s="137"/>
      <c r="K192" s="97">
        <f>K184+K188</f>
        <v>0</v>
      </c>
    </row>
    <row r="193" spans="1:11">
      <c r="A193" s="8">
        <v>11</v>
      </c>
      <c r="C193" s="9" t="s">
        <v>82</v>
      </c>
      <c r="E193" s="8">
        <v>11</v>
      </c>
      <c r="F193" s="60"/>
      <c r="G193" s="96"/>
      <c r="H193" s="97">
        <f>H185+H189</f>
        <v>0</v>
      </c>
      <c r="I193" s="96"/>
      <c r="J193" s="137"/>
      <c r="K193" s="97">
        <f>K185+K189</f>
        <v>0</v>
      </c>
    </row>
    <row r="194" spans="1:11">
      <c r="A194" s="8">
        <v>12</v>
      </c>
      <c r="C194" s="9" t="s">
        <v>83</v>
      </c>
      <c r="E194" s="8">
        <v>12</v>
      </c>
      <c r="F194" s="60"/>
      <c r="G194" s="96"/>
      <c r="H194" s="97">
        <f>H192+H193</f>
        <v>0</v>
      </c>
      <c r="I194" s="96"/>
      <c r="J194" s="137"/>
      <c r="K194" s="97">
        <f>K192+K193</f>
        <v>0</v>
      </c>
    </row>
    <row r="195" spans="1:11">
      <c r="A195" s="8">
        <v>13</v>
      </c>
      <c r="E195" s="8">
        <v>13</v>
      </c>
      <c r="G195" s="96"/>
      <c r="H195" s="99"/>
      <c r="I195" s="100"/>
      <c r="J195" s="137"/>
      <c r="K195" s="99"/>
    </row>
    <row r="196" spans="1:11">
      <c r="A196" s="8">
        <v>15</v>
      </c>
      <c r="C196" s="9" t="s">
        <v>84</v>
      </c>
      <c r="E196" s="8">
        <v>15</v>
      </c>
      <c r="G196" s="96"/>
      <c r="H196" s="101"/>
      <c r="I196" s="100"/>
      <c r="J196" s="137"/>
      <c r="K196" s="101"/>
    </row>
    <row r="197" spans="1:11">
      <c r="A197" s="8">
        <v>16</v>
      </c>
      <c r="C197" s="9" t="s">
        <v>85</v>
      </c>
      <c r="E197" s="8">
        <v>16</v>
      </c>
      <c r="G197" s="96"/>
      <c r="H197" s="135" t="e">
        <f>(H119-H367)/H194</f>
        <v>#DIV/0!</v>
      </c>
      <c r="I197" s="102"/>
      <c r="J197" s="137"/>
      <c r="K197" s="99"/>
    </row>
    <row r="198" spans="1:11">
      <c r="A198" s="8">
        <v>17</v>
      </c>
      <c r="C198" s="9" t="s">
        <v>86</v>
      </c>
      <c r="E198" s="8">
        <v>17</v>
      </c>
      <c r="G198" s="96"/>
      <c r="H198" s="146"/>
      <c r="I198" s="100"/>
      <c r="J198" s="137"/>
      <c r="K198" s="100"/>
    </row>
    <row r="199" spans="1:11">
      <c r="A199" s="8">
        <v>18</v>
      </c>
      <c r="E199" s="8">
        <v>18</v>
      </c>
      <c r="G199" s="96"/>
      <c r="H199" s="100"/>
      <c r="I199" s="100"/>
      <c r="J199" s="137"/>
      <c r="K199" s="100"/>
    </row>
    <row r="200" spans="1:11">
      <c r="A200" s="137">
        <v>19</v>
      </c>
      <c r="C200" s="9" t="s">
        <v>87</v>
      </c>
      <c r="E200" s="137">
        <v>19</v>
      </c>
      <c r="G200" s="96"/>
      <c r="H200" s="100"/>
      <c r="I200" s="100"/>
      <c r="J200" s="137"/>
      <c r="K200" s="100"/>
    </row>
    <row r="201" spans="1:11">
      <c r="A201" s="8">
        <v>20</v>
      </c>
      <c r="C201" s="9" t="s">
        <v>88</v>
      </c>
      <c r="E201" s="8">
        <v>20</v>
      </c>
      <c r="F201" s="10"/>
      <c r="G201" s="103"/>
      <c r="H201" s="104">
        <f>G512+G551</f>
        <v>0</v>
      </c>
      <c r="I201" s="103"/>
      <c r="J201" s="137"/>
      <c r="K201" s="104"/>
    </row>
    <row r="202" spans="1:11">
      <c r="A202" s="8">
        <v>21</v>
      </c>
      <c r="C202" s="9" t="s">
        <v>89</v>
      </c>
      <c r="E202" s="8">
        <v>21</v>
      </c>
      <c r="F202" s="10"/>
      <c r="G202" s="103"/>
      <c r="H202" s="104">
        <f>G508+G547</f>
        <v>0</v>
      </c>
      <c r="I202" s="103"/>
      <c r="J202" s="137"/>
      <c r="K202" s="104"/>
    </row>
    <row r="203" spans="1:11">
      <c r="A203" s="8">
        <v>22</v>
      </c>
      <c r="C203" s="9" t="s">
        <v>90</v>
      </c>
      <c r="E203" s="8">
        <v>22</v>
      </c>
      <c r="F203" s="10"/>
      <c r="G203" s="103"/>
      <c r="H203" s="104">
        <f>G510+G549</f>
        <v>0</v>
      </c>
      <c r="I203" s="103"/>
      <c r="J203" s="137"/>
      <c r="K203" s="104"/>
    </row>
    <row r="204" spans="1:11">
      <c r="A204" s="8">
        <v>23</v>
      </c>
      <c r="E204" s="8">
        <v>23</v>
      </c>
      <c r="F204" s="10"/>
      <c r="G204" s="103"/>
      <c r="H204" s="104"/>
      <c r="I204" s="103"/>
      <c r="J204" s="137"/>
      <c r="K204" s="104"/>
    </row>
    <row r="205" spans="1:11">
      <c r="A205" s="8">
        <v>24</v>
      </c>
      <c r="C205" s="9" t="s">
        <v>91</v>
      </c>
      <c r="E205" s="8">
        <v>24</v>
      </c>
      <c r="F205" s="10"/>
      <c r="G205" s="103"/>
      <c r="H205" s="103"/>
      <c r="I205" s="103"/>
      <c r="K205" s="103"/>
    </row>
    <row r="206" spans="1:11" ht="15">
      <c r="A206" s="8">
        <v>25</v>
      </c>
      <c r="C206" s="9" t="s">
        <v>92</v>
      </c>
      <c r="E206" s="8">
        <v>25</v>
      </c>
      <c r="G206" s="96"/>
      <c r="H206" s="136">
        <f>IF(OR(G512&gt;0,G551&gt;0),(H551+H512)/(G551+G512),0)</f>
        <v>0</v>
      </c>
      <c r="I206" s="100"/>
      <c r="K206" s="136"/>
    </row>
    <row r="207" spans="1:11">
      <c r="A207" s="8">
        <v>26</v>
      </c>
      <c r="C207" s="9" t="s">
        <v>93</v>
      </c>
      <c r="E207" s="8">
        <v>26</v>
      </c>
      <c r="G207" s="96"/>
      <c r="H207" s="100">
        <f>IF(H202=0,0,(H508+H509+H547+H548)/H202)</f>
        <v>0</v>
      </c>
      <c r="I207" s="100"/>
      <c r="J207" s="137"/>
      <c r="K207" s="100"/>
    </row>
    <row r="208" spans="1:11">
      <c r="A208" s="8">
        <v>27</v>
      </c>
      <c r="C208" s="9" t="s">
        <v>94</v>
      </c>
      <c r="E208" s="8">
        <v>27</v>
      </c>
      <c r="G208" s="96"/>
      <c r="H208" s="100">
        <f>IF(H203=0,0,(H510+H511+H549+H550)/H203)</f>
        <v>0</v>
      </c>
      <c r="I208" s="100"/>
      <c r="J208" s="137"/>
      <c r="K208" s="100"/>
    </row>
    <row r="209" spans="1:13">
      <c r="A209" s="8">
        <v>28</v>
      </c>
      <c r="E209" s="8">
        <v>28</v>
      </c>
      <c r="G209" s="96"/>
      <c r="H209" s="100"/>
      <c r="I209" s="100"/>
      <c r="J209" s="137"/>
      <c r="K209" s="100"/>
    </row>
    <row r="210" spans="1:13">
      <c r="A210" s="8">
        <v>29</v>
      </c>
      <c r="C210" s="9" t="s">
        <v>95</v>
      </c>
      <c r="E210" s="8">
        <v>29</v>
      </c>
      <c r="F210" s="61"/>
      <c r="G210" s="96"/>
      <c r="H210" s="97">
        <f>G101</f>
        <v>0</v>
      </c>
      <c r="I210" s="96"/>
      <c r="J210" s="137"/>
      <c r="K210" s="97"/>
    </row>
    <row r="211" spans="1:13">
      <c r="A211" s="9"/>
      <c r="H211" s="40"/>
      <c r="J211" s="137"/>
      <c r="K211" s="137"/>
    </row>
    <row r="212" spans="1:13">
      <c r="A212" s="9"/>
      <c r="H212" s="40"/>
      <c r="K212" s="40"/>
    </row>
    <row r="213" spans="1:13" ht="30" customHeight="1">
      <c r="A213" s="9"/>
      <c r="C213" s="231" t="s">
        <v>96</v>
      </c>
      <c r="D213" s="231"/>
      <c r="E213" s="231"/>
      <c r="F213" s="231"/>
      <c r="G213" s="231"/>
      <c r="H213" s="231"/>
      <c r="I213" s="231"/>
      <c r="K213" s="40"/>
    </row>
    <row r="214" spans="1:13">
      <c r="A214" s="9"/>
      <c r="H214" s="40"/>
      <c r="K214" s="40"/>
    </row>
    <row r="215" spans="1:13">
      <c r="A215" s="9"/>
      <c r="H215" s="40"/>
      <c r="K215" s="40"/>
    </row>
    <row r="216" spans="1:13">
      <c r="A216" s="9"/>
      <c r="H216" s="40"/>
      <c r="K216" s="40"/>
    </row>
    <row r="217" spans="1:13">
      <c r="A217" s="9"/>
      <c r="C217" s="36"/>
      <c r="D217" s="36"/>
      <c r="E217" s="36"/>
      <c r="F217" s="36"/>
      <c r="G217" s="62"/>
      <c r="H217" s="39"/>
      <c r="K217" s="40"/>
    </row>
    <row r="218" spans="1:13">
      <c r="A218" s="9"/>
      <c r="H218" s="40"/>
      <c r="K218" s="40"/>
    </row>
    <row r="219" spans="1:13">
      <c r="A219" s="9"/>
      <c r="H219" s="40"/>
      <c r="K219" s="40"/>
    </row>
    <row r="220" spans="1:13">
      <c r="A220" s="9"/>
      <c r="H220" s="40"/>
      <c r="K220" s="40"/>
    </row>
    <row r="221" spans="1:13">
      <c r="A221" s="9"/>
      <c r="H221" s="40"/>
      <c r="K221" s="40"/>
    </row>
    <row r="222" spans="1:13">
      <c r="A222" s="9"/>
      <c r="H222" s="40"/>
      <c r="K222" s="40"/>
    </row>
    <row r="223" spans="1:13">
      <c r="A223" s="9"/>
      <c r="H223" s="40"/>
      <c r="K223" s="40"/>
    </row>
    <row r="224" spans="1:13">
      <c r="E224" s="35"/>
      <c r="G224" s="14"/>
      <c r="H224" s="40"/>
      <c r="I224" s="17"/>
      <c r="K224" s="40"/>
      <c r="M224" s="57"/>
    </row>
    <row r="225" spans="1:11">
      <c r="A225" s="9"/>
      <c r="H225" s="40"/>
      <c r="K225" s="40"/>
    </row>
    <row r="226" spans="1:11">
      <c r="A226" s="16" t="str">
        <f>$A$83</f>
        <v xml:space="preserve">Institution No.:  </v>
      </c>
      <c r="C226" s="63"/>
      <c r="G226" s="137"/>
      <c r="H226" s="137"/>
      <c r="I226" s="31" t="s">
        <v>97</v>
      </c>
      <c r="J226" s="137"/>
      <c r="K226" s="137"/>
    </row>
    <row r="227" spans="1:11">
      <c r="A227" s="158"/>
      <c r="B227" s="232" t="s">
        <v>98</v>
      </c>
      <c r="C227" s="232"/>
      <c r="D227" s="232"/>
      <c r="E227" s="232"/>
      <c r="F227" s="232"/>
      <c r="G227" s="232"/>
      <c r="H227" s="232"/>
      <c r="I227" s="232"/>
      <c r="J227" s="232"/>
      <c r="K227" s="232"/>
    </row>
    <row r="228" spans="1:11">
      <c r="A228" s="16" t="str">
        <f>$A$42</f>
        <v xml:space="preserve">NAME: </v>
      </c>
      <c r="C228" s="137" t="str">
        <f>$D$20</f>
        <v>University of Colorado</v>
      </c>
      <c r="G228" s="137"/>
      <c r="H228" s="137"/>
      <c r="I228" s="18" t="str">
        <f>$K$3</f>
        <v>Date: October 09, 2017</v>
      </c>
      <c r="J228" s="137"/>
      <c r="K228" s="137"/>
    </row>
    <row r="229" spans="1:11">
      <c r="A229" s="19"/>
      <c r="C229" s="19" t="s">
        <v>6</v>
      </c>
      <c r="D229" s="19" t="s">
        <v>6</v>
      </c>
      <c r="E229" s="19" t="s">
        <v>6</v>
      </c>
      <c r="F229" s="19" t="s">
        <v>6</v>
      </c>
      <c r="G229" s="19" t="s">
        <v>6</v>
      </c>
      <c r="H229" s="19" t="s">
        <v>6</v>
      </c>
      <c r="I229" s="19" t="s">
        <v>6</v>
      </c>
      <c r="J229" s="19" t="s">
        <v>6</v>
      </c>
      <c r="K229" s="137"/>
    </row>
    <row r="230" spans="1:11">
      <c r="A230" s="22"/>
      <c r="D230" s="26" t="s">
        <v>232</v>
      </c>
      <c r="G230" s="137"/>
      <c r="H230" s="137"/>
      <c r="J230" s="137"/>
      <c r="K230" s="137"/>
    </row>
    <row r="231" spans="1:11">
      <c r="A231" s="22"/>
      <c r="D231" s="26" t="s">
        <v>12</v>
      </c>
      <c r="G231" s="137"/>
      <c r="H231" s="137"/>
      <c r="J231" s="137"/>
      <c r="K231" s="137"/>
    </row>
    <row r="232" spans="1:11">
      <c r="A232" s="19"/>
      <c r="D232" s="26" t="s">
        <v>99</v>
      </c>
      <c r="E232" s="26" t="s">
        <v>99</v>
      </c>
      <c r="F232" s="26" t="s">
        <v>100</v>
      </c>
      <c r="G232" s="26"/>
      <c r="H232" s="137"/>
      <c r="J232" s="137"/>
      <c r="K232" s="137"/>
    </row>
    <row r="233" spans="1:11">
      <c r="A233" s="9"/>
      <c r="C233" s="26" t="s">
        <v>101</v>
      </c>
      <c r="D233" s="26" t="s">
        <v>102</v>
      </c>
      <c r="E233" s="26" t="s">
        <v>103</v>
      </c>
      <c r="F233" s="26" t="s">
        <v>104</v>
      </c>
      <c r="G233" s="26"/>
      <c r="H233" s="137"/>
      <c r="J233" s="137"/>
      <c r="K233" s="137"/>
    </row>
    <row r="234" spans="1:11">
      <c r="A234" s="9"/>
      <c r="C234" s="19" t="s">
        <v>6</v>
      </c>
      <c r="D234" s="19" t="s">
        <v>6</v>
      </c>
      <c r="E234" s="19" t="s">
        <v>6</v>
      </c>
      <c r="F234" s="19" t="s">
        <v>6</v>
      </c>
      <c r="G234" s="19" t="s">
        <v>6</v>
      </c>
      <c r="H234" s="137"/>
      <c r="J234" s="137"/>
      <c r="K234" s="137"/>
    </row>
    <row r="235" spans="1:11">
      <c r="A235" s="9"/>
      <c r="G235" s="137"/>
      <c r="H235" s="137"/>
      <c r="J235" s="137"/>
      <c r="K235" s="137"/>
    </row>
    <row r="236" spans="1:11">
      <c r="A236" s="9"/>
      <c r="C236" s="9" t="s">
        <v>105</v>
      </c>
      <c r="D236" s="142">
        <v>0</v>
      </c>
      <c r="E236" s="142">
        <v>0</v>
      </c>
      <c r="F236" s="97" t="e">
        <f>D236/E236</f>
        <v>#DIV/0!</v>
      </c>
      <c r="G236" s="137"/>
      <c r="H236" s="137"/>
      <c r="J236" s="137"/>
      <c r="K236" s="137"/>
    </row>
    <row r="237" spans="1:11">
      <c r="A237" s="9"/>
      <c r="D237" s="105"/>
      <c r="E237" s="105"/>
      <c r="F237" s="105"/>
      <c r="G237" s="137"/>
      <c r="H237" s="137"/>
      <c r="J237" s="137"/>
      <c r="K237" s="137"/>
    </row>
    <row r="238" spans="1:11">
      <c r="A238" s="9"/>
      <c r="C238" s="9" t="s">
        <v>106</v>
      </c>
      <c r="D238" s="141">
        <v>0</v>
      </c>
      <c r="E238" s="141">
        <v>0</v>
      </c>
      <c r="F238" s="97" t="e">
        <f>D238/E238</f>
        <v>#DIV/0!</v>
      </c>
      <c r="G238" s="8"/>
      <c r="H238" s="137"/>
      <c r="J238" s="137"/>
      <c r="K238" s="137"/>
    </row>
    <row r="239" spans="1:11">
      <c r="A239" s="9"/>
      <c r="D239" s="99"/>
      <c r="E239" s="99"/>
      <c r="F239" s="99"/>
      <c r="G239" s="137"/>
      <c r="H239" s="137"/>
      <c r="J239" s="137"/>
      <c r="K239" s="137"/>
    </row>
    <row r="240" spans="1:11">
      <c r="A240" s="9"/>
      <c r="C240" s="9" t="s">
        <v>107</v>
      </c>
      <c r="D240" s="141">
        <v>0</v>
      </c>
      <c r="E240" s="141">
        <v>0</v>
      </c>
      <c r="F240" s="97" t="e">
        <f>D240/E240</f>
        <v>#DIV/0!</v>
      </c>
      <c r="G240" s="8"/>
      <c r="H240" s="137"/>
      <c r="J240" s="137"/>
      <c r="K240" s="137"/>
    </row>
    <row r="241" spans="1:11">
      <c r="A241" s="9"/>
      <c r="D241" s="99"/>
      <c r="E241" s="99"/>
      <c r="F241" s="99"/>
      <c r="G241" s="137"/>
      <c r="H241" s="137"/>
      <c r="J241" s="137"/>
      <c r="K241" s="137"/>
    </row>
    <row r="242" spans="1:11">
      <c r="A242" s="9"/>
      <c r="C242" s="9" t="s">
        <v>108</v>
      </c>
      <c r="D242" s="97">
        <f>SUM(D236:D240)</f>
        <v>0</v>
      </c>
      <c r="E242" s="97">
        <f>SUM(E236:E240)</f>
        <v>0</v>
      </c>
      <c r="F242" s="97" t="e">
        <f>D242/E242</f>
        <v>#DIV/0!</v>
      </c>
      <c r="G242" s="29"/>
      <c r="H242" s="64"/>
      <c r="J242" s="137"/>
      <c r="K242" s="137"/>
    </row>
    <row r="243" spans="1:11">
      <c r="A243" s="9"/>
      <c r="D243" s="65"/>
      <c r="E243" s="65"/>
      <c r="F243" s="65"/>
      <c r="G243" s="137"/>
      <c r="H243" s="137"/>
      <c r="J243" s="137"/>
      <c r="K243" s="137"/>
    </row>
    <row r="244" spans="1:11">
      <c r="A244" s="9"/>
      <c r="D244" s="65"/>
      <c r="E244" s="65"/>
      <c r="F244" s="65"/>
      <c r="G244" s="137"/>
      <c r="H244" s="137"/>
      <c r="J244" s="137"/>
      <c r="K244" s="137"/>
    </row>
    <row r="245" spans="1:11">
      <c r="A245" s="9"/>
      <c r="C245" s="9" t="s">
        <v>109</v>
      </c>
      <c r="D245" s="143">
        <v>0</v>
      </c>
      <c r="E245" s="143">
        <v>0</v>
      </c>
      <c r="F245" s="97" t="e">
        <f>D245/E245</f>
        <v>#DIV/0!</v>
      </c>
      <c r="G245" s="8"/>
      <c r="H245" s="137"/>
      <c r="J245" s="137"/>
      <c r="K245" s="137"/>
    </row>
    <row r="246" spans="1:11">
      <c r="A246" s="9"/>
      <c r="D246" s="99"/>
      <c r="E246" s="99"/>
      <c r="F246" s="97"/>
      <c r="G246" s="137"/>
      <c r="H246" s="137"/>
      <c r="J246" s="137"/>
      <c r="K246" s="137"/>
    </row>
    <row r="247" spans="1:11">
      <c r="A247" s="9"/>
      <c r="B247" s="9" t="s">
        <v>38</v>
      </c>
      <c r="C247" s="9" t="s">
        <v>110</v>
      </c>
      <c r="D247" s="143">
        <v>0</v>
      </c>
      <c r="E247" s="143">
        <v>0</v>
      </c>
      <c r="F247" s="97" t="e">
        <f>D247/E247</f>
        <v>#DIV/0!</v>
      </c>
      <c r="G247" s="8"/>
      <c r="H247" s="137"/>
      <c r="J247" s="137"/>
      <c r="K247" s="137"/>
    </row>
    <row r="248" spans="1:11">
      <c r="A248" s="9"/>
      <c r="D248" s="99"/>
      <c r="E248" s="99"/>
      <c r="F248" s="97"/>
      <c r="G248" s="137"/>
      <c r="H248" s="137"/>
      <c r="J248" s="137"/>
      <c r="K248" s="137"/>
    </row>
    <row r="249" spans="1:11">
      <c r="A249" s="9"/>
      <c r="C249" s="9" t="s">
        <v>111</v>
      </c>
      <c r="D249" s="99">
        <f>SUM(D245:D247)</f>
        <v>0</v>
      </c>
      <c r="E249" s="99">
        <f>SUM(E245:E247)</f>
        <v>0</v>
      </c>
      <c r="F249" s="97" t="e">
        <f>D249/E249</f>
        <v>#DIV/0!</v>
      </c>
      <c r="G249" s="8"/>
      <c r="H249" s="137"/>
      <c r="J249" s="137"/>
      <c r="K249" s="137"/>
    </row>
    <row r="250" spans="1:11">
      <c r="A250" s="9"/>
      <c r="D250" s="87"/>
      <c r="E250" s="87"/>
      <c r="F250" s="97"/>
      <c r="G250" s="137"/>
      <c r="H250" s="137"/>
      <c r="J250" s="137"/>
      <c r="K250" s="137"/>
    </row>
    <row r="251" spans="1:11">
      <c r="A251" s="9"/>
      <c r="C251" s="9" t="s">
        <v>112</v>
      </c>
      <c r="D251" s="90">
        <f>SUM(D242,D249)</f>
        <v>0</v>
      </c>
      <c r="E251" s="90">
        <f>SUM(E242,E249)</f>
        <v>0</v>
      </c>
      <c r="F251" s="97" t="e">
        <f>D251/E251</f>
        <v>#DIV/0!</v>
      </c>
      <c r="G251" s="8"/>
      <c r="H251" s="137"/>
      <c r="J251" s="137"/>
      <c r="K251" s="137"/>
    </row>
    <row r="252" spans="1:11">
      <c r="A252" s="9"/>
      <c r="G252" s="137"/>
      <c r="H252" s="137"/>
      <c r="J252" s="137"/>
      <c r="K252" s="137"/>
    </row>
    <row r="253" spans="1:11">
      <c r="A253" s="9"/>
      <c r="G253" s="137"/>
      <c r="H253" s="137"/>
      <c r="J253" s="137"/>
      <c r="K253" s="137"/>
    </row>
    <row r="254" spans="1:11">
      <c r="A254" s="9"/>
      <c r="G254" s="137"/>
      <c r="H254" s="137"/>
      <c r="J254" s="137"/>
      <c r="K254" s="137"/>
    </row>
    <row r="255" spans="1:11">
      <c r="A255" s="9"/>
      <c r="G255" s="137"/>
      <c r="H255" s="137"/>
      <c r="J255" s="137"/>
      <c r="K255" s="137"/>
    </row>
    <row r="256" spans="1:11">
      <c r="A256" s="9"/>
      <c r="C256" s="9" t="s">
        <v>113</v>
      </c>
      <c r="G256" s="137"/>
      <c r="H256" s="137"/>
      <c r="J256" s="137"/>
      <c r="K256" s="137"/>
    </row>
    <row r="257" spans="1:11">
      <c r="A257" s="9"/>
      <c r="C257" s="9" t="s">
        <v>114</v>
      </c>
      <c r="G257" s="137"/>
      <c r="H257" s="137"/>
      <c r="J257" s="137"/>
      <c r="K257" s="137"/>
    </row>
    <row r="258" spans="1:11">
      <c r="A258" s="9"/>
      <c r="H258" s="40"/>
      <c r="K258" s="40"/>
    </row>
    <row r="259" spans="1:11">
      <c r="A259" s="9"/>
      <c r="H259" s="40"/>
      <c r="K259" s="40"/>
    </row>
    <row r="260" spans="1:11">
      <c r="A260" s="9"/>
      <c r="H260" s="40"/>
      <c r="K260" s="40"/>
    </row>
    <row r="261" spans="1:11">
      <c r="A261" s="9"/>
      <c r="H261" s="40"/>
      <c r="K261" s="40"/>
    </row>
    <row r="262" spans="1:11">
      <c r="A262" s="9"/>
      <c r="H262" s="40"/>
      <c r="K262" s="40"/>
    </row>
    <row r="263" spans="1:11">
      <c r="A263" s="9"/>
      <c r="H263" s="40"/>
      <c r="K263" s="40"/>
    </row>
    <row r="264" spans="1:11">
      <c r="A264" s="9"/>
      <c r="H264" s="40"/>
      <c r="K264" s="40"/>
    </row>
    <row r="265" spans="1:11">
      <c r="A265" s="9"/>
      <c r="H265" s="40"/>
      <c r="K265" s="40"/>
    </row>
    <row r="266" spans="1:11">
      <c r="A266" s="9"/>
      <c r="H266" s="40"/>
      <c r="K266" s="40"/>
    </row>
    <row r="267" spans="1:11">
      <c r="A267" s="9"/>
      <c r="H267" s="40"/>
      <c r="K267" s="40"/>
    </row>
    <row r="268" spans="1:11">
      <c r="A268" s="9"/>
      <c r="H268" s="40"/>
      <c r="K268" s="40"/>
    </row>
    <row r="269" spans="1:11">
      <c r="A269" s="9"/>
      <c r="H269" s="40"/>
      <c r="K269" s="40"/>
    </row>
    <row r="270" spans="1:11">
      <c r="A270" s="9"/>
      <c r="H270" s="40"/>
      <c r="K270" s="40"/>
    </row>
    <row r="271" spans="1:11">
      <c r="A271" s="9"/>
      <c r="H271" s="40"/>
      <c r="K271" s="40"/>
    </row>
    <row r="272" spans="1:11">
      <c r="A272" s="9"/>
      <c r="H272" s="40"/>
      <c r="K272" s="40"/>
    </row>
    <row r="273" spans="1:11">
      <c r="A273" s="9"/>
      <c r="H273" s="40"/>
      <c r="K273" s="40"/>
    </row>
    <row r="274" spans="1:11">
      <c r="A274" s="9"/>
      <c r="H274" s="40"/>
      <c r="K274" s="40"/>
    </row>
    <row r="275" spans="1:11" s="36" customFormat="1">
      <c r="A275" s="16" t="str">
        <f>$A$83</f>
        <v xml:space="preserve">Institution No.:  </v>
      </c>
      <c r="E275" s="37"/>
      <c r="G275" s="38"/>
      <c r="H275" s="39"/>
      <c r="J275" s="38"/>
      <c r="K275" s="15" t="s">
        <v>115</v>
      </c>
    </row>
    <row r="276" spans="1:11" s="36" customFormat="1">
      <c r="E276" s="37" t="s">
        <v>116</v>
      </c>
      <c r="G276" s="38"/>
      <c r="H276" s="39"/>
      <c r="J276" s="38"/>
      <c r="K276" s="39"/>
    </row>
    <row r="277" spans="1:11">
      <c r="A277" s="16" t="str">
        <f>$A$42</f>
        <v xml:space="preserve">NAME: </v>
      </c>
      <c r="C277" s="137" t="str">
        <f>$D$20</f>
        <v>University of Colorado</v>
      </c>
      <c r="F277" s="32"/>
      <c r="G277" s="66"/>
      <c r="H277" s="67"/>
      <c r="J277" s="14"/>
      <c r="K277" s="18" t="str">
        <f>$K$3</f>
        <v>Date: October 09, 2017</v>
      </c>
    </row>
    <row r="278" spans="1:11">
      <c r="A278" s="19" t="s">
        <v>6</v>
      </c>
      <c r="B278" s="19" t="s">
        <v>6</v>
      </c>
      <c r="C278" s="19" t="s">
        <v>6</v>
      </c>
      <c r="D278" s="19" t="s">
        <v>6</v>
      </c>
      <c r="E278" s="19" t="s">
        <v>6</v>
      </c>
      <c r="F278" s="19" t="s">
        <v>6</v>
      </c>
      <c r="G278" s="20" t="s">
        <v>6</v>
      </c>
      <c r="H278" s="21" t="s">
        <v>6</v>
      </c>
      <c r="I278" s="19"/>
      <c r="J278" s="137"/>
      <c r="K278" s="21"/>
    </row>
    <row r="279" spans="1:11">
      <c r="A279" s="22" t="s">
        <v>7</v>
      </c>
      <c r="E279" s="22" t="s">
        <v>7</v>
      </c>
      <c r="F279" s="23"/>
      <c r="G279" s="24"/>
      <c r="H279" s="25" t="str">
        <f>H178</f>
        <v>2016-17</v>
      </c>
      <c r="I279" s="23"/>
      <c r="J279" s="137"/>
      <c r="K279" s="25"/>
    </row>
    <row r="280" spans="1:11" ht="21" customHeight="1">
      <c r="A280" s="22" t="s">
        <v>9</v>
      </c>
      <c r="C280" s="26" t="s">
        <v>51</v>
      </c>
      <c r="D280" s="68" t="s">
        <v>235</v>
      </c>
      <c r="E280" s="22" t="s">
        <v>9</v>
      </c>
      <c r="F280" s="23"/>
      <c r="G280" s="24" t="s">
        <v>11</v>
      </c>
      <c r="H280" s="25" t="s">
        <v>12</v>
      </c>
      <c r="I280" s="23"/>
      <c r="J280" s="137"/>
      <c r="K280" s="23"/>
    </row>
    <row r="281" spans="1:11">
      <c r="A281" s="19" t="s">
        <v>6</v>
      </c>
      <c r="B281" s="19" t="s">
        <v>6</v>
      </c>
      <c r="C281" s="19" t="s">
        <v>6</v>
      </c>
      <c r="D281" s="19" t="s">
        <v>6</v>
      </c>
      <c r="E281" s="19" t="s">
        <v>6</v>
      </c>
      <c r="F281" s="19" t="s">
        <v>6</v>
      </c>
      <c r="G281" s="20" t="s">
        <v>6</v>
      </c>
      <c r="H281" s="21" t="s">
        <v>6</v>
      </c>
      <c r="I281" s="19"/>
      <c r="J281" s="137"/>
      <c r="K281" s="19"/>
    </row>
    <row r="282" spans="1:11">
      <c r="A282" s="8">
        <v>1</v>
      </c>
      <c r="C282" s="9" t="s">
        <v>117</v>
      </c>
      <c r="E282" s="8">
        <v>1</v>
      </c>
      <c r="G282" s="14"/>
      <c r="H282" s="40"/>
      <c r="J282" s="137"/>
      <c r="K282" s="137"/>
    </row>
    <row r="283" spans="1:11">
      <c r="A283" s="8">
        <f>(A282+1)</f>
        <v>2</v>
      </c>
      <c r="C283" s="9" t="s">
        <v>118</v>
      </c>
      <c r="D283" s="9" t="s">
        <v>119</v>
      </c>
      <c r="E283" s="8">
        <f>(E282+1)</f>
        <v>2</v>
      </c>
      <c r="F283" s="10"/>
      <c r="G283" s="144">
        <v>0</v>
      </c>
      <c r="H283" s="145">
        <v>0</v>
      </c>
      <c r="I283" s="103"/>
      <c r="J283" s="137"/>
      <c r="K283" s="137"/>
    </row>
    <row r="284" spans="1:11">
      <c r="A284" s="8">
        <f>(A283+1)</f>
        <v>3</v>
      </c>
      <c r="D284" s="9" t="s">
        <v>120</v>
      </c>
      <c r="E284" s="8">
        <f>(E283+1)</f>
        <v>3</v>
      </c>
      <c r="F284" s="10"/>
      <c r="G284" s="144">
        <v>0</v>
      </c>
      <c r="H284" s="145">
        <v>0</v>
      </c>
      <c r="I284" s="103"/>
      <c r="J284" s="137"/>
      <c r="K284" s="137"/>
    </row>
    <row r="285" spans="1:11">
      <c r="A285" s="8">
        <v>4</v>
      </c>
      <c r="C285" s="9" t="s">
        <v>121</v>
      </c>
      <c r="D285" s="9" t="s">
        <v>122</v>
      </c>
      <c r="E285" s="8">
        <v>4</v>
      </c>
      <c r="F285" s="10"/>
      <c r="G285" s="144">
        <v>0</v>
      </c>
      <c r="H285" s="145">
        <v>0</v>
      </c>
      <c r="I285" s="103"/>
      <c r="J285" s="137"/>
      <c r="K285" s="137"/>
    </row>
    <row r="286" spans="1:11">
      <c r="A286" s="8">
        <f>(A285+1)</f>
        <v>5</v>
      </c>
      <c r="D286" s="9" t="s">
        <v>123</v>
      </c>
      <c r="E286" s="8">
        <f>(E285+1)</f>
        <v>5</v>
      </c>
      <c r="F286" s="10"/>
      <c r="G286" s="144">
        <v>0</v>
      </c>
      <c r="H286" s="145">
        <v>0</v>
      </c>
      <c r="I286" s="103"/>
      <c r="J286" s="137"/>
      <c r="K286" s="137"/>
    </row>
    <row r="287" spans="1:11">
      <c r="A287" s="8">
        <f>(A286+1)</f>
        <v>6</v>
      </c>
      <c r="C287" s="9" t="s">
        <v>124</v>
      </c>
      <c r="E287" s="8">
        <f>(E286+1)</f>
        <v>6</v>
      </c>
      <c r="G287" s="100">
        <f>SUM(G283:G286)</f>
        <v>0</v>
      </c>
      <c r="H287" s="100">
        <f>SUM(H283:H286)</f>
        <v>0</v>
      </c>
      <c r="I287" s="100"/>
      <c r="J287" s="137"/>
      <c r="K287" s="137"/>
    </row>
    <row r="288" spans="1:11">
      <c r="A288" s="8">
        <f>(A287+1)</f>
        <v>7</v>
      </c>
      <c r="C288" s="9" t="s">
        <v>125</v>
      </c>
      <c r="E288" s="8">
        <f>(E287+1)</f>
        <v>7</v>
      </c>
      <c r="G288" s="97"/>
      <c r="H288" s="96"/>
      <c r="I288" s="100"/>
      <c r="J288" s="137"/>
      <c r="K288" s="137"/>
    </row>
    <row r="289" spans="1:11">
      <c r="A289" s="8">
        <f>(A288+1)</f>
        <v>8</v>
      </c>
      <c r="C289" s="9" t="s">
        <v>118</v>
      </c>
      <c r="D289" s="9" t="s">
        <v>119</v>
      </c>
      <c r="E289" s="8">
        <f>(E288+1)</f>
        <v>8</v>
      </c>
      <c r="F289" s="10"/>
      <c r="G289" s="144">
        <v>0</v>
      </c>
      <c r="H289" s="145">
        <v>0</v>
      </c>
      <c r="I289" s="103"/>
      <c r="J289" s="137"/>
      <c r="K289" s="137"/>
    </row>
    <row r="290" spans="1:11">
      <c r="A290" s="8">
        <v>9</v>
      </c>
      <c r="D290" s="9" t="s">
        <v>120</v>
      </c>
      <c r="E290" s="8">
        <v>9</v>
      </c>
      <c r="F290" s="10"/>
      <c r="G290" s="144">
        <v>0</v>
      </c>
      <c r="H290" s="145">
        <v>0</v>
      </c>
      <c r="I290" s="103"/>
      <c r="J290" s="137"/>
      <c r="K290" s="137"/>
    </row>
    <row r="291" spans="1:11">
      <c r="A291" s="8">
        <v>10</v>
      </c>
      <c r="C291" s="9" t="s">
        <v>121</v>
      </c>
      <c r="D291" s="9" t="s">
        <v>122</v>
      </c>
      <c r="E291" s="8">
        <v>10</v>
      </c>
      <c r="F291" s="10"/>
      <c r="G291" s="144">
        <v>0</v>
      </c>
      <c r="H291" s="145">
        <v>0</v>
      </c>
      <c r="I291" s="103"/>
      <c r="J291" s="137"/>
      <c r="K291" s="137"/>
    </row>
    <row r="292" spans="1:11">
      <c r="A292" s="8">
        <f>(A291+1)</f>
        <v>11</v>
      </c>
      <c r="D292" s="9" t="s">
        <v>123</v>
      </c>
      <c r="E292" s="8">
        <f>(E291+1)</f>
        <v>11</v>
      </c>
      <c r="F292" s="10"/>
      <c r="G292" s="144">
        <v>0</v>
      </c>
      <c r="H292" s="145">
        <v>0</v>
      </c>
      <c r="I292" s="103"/>
      <c r="J292" s="137"/>
      <c r="K292" s="137"/>
    </row>
    <row r="293" spans="1:11">
      <c r="A293" s="8">
        <f>(A292+1)</f>
        <v>12</v>
      </c>
      <c r="C293" s="9" t="s">
        <v>126</v>
      </c>
      <c r="E293" s="8">
        <f>(E292+1)</f>
        <v>12</v>
      </c>
      <c r="G293" s="99">
        <f>SUM(G289:G292)</f>
        <v>0</v>
      </c>
      <c r="H293" s="100">
        <f>SUM(H289:H292)</f>
        <v>0</v>
      </c>
      <c r="I293" s="100"/>
      <c r="J293" s="137"/>
      <c r="K293" s="137"/>
    </row>
    <row r="294" spans="1:11">
      <c r="A294" s="8">
        <f>(A293+1)</f>
        <v>13</v>
      </c>
      <c r="C294" s="9" t="s">
        <v>127</v>
      </c>
      <c r="E294" s="8">
        <f>(E293+1)</f>
        <v>13</v>
      </c>
      <c r="G294" s="97"/>
      <c r="H294" s="96"/>
      <c r="I294" s="100"/>
      <c r="J294" s="137"/>
      <c r="K294" s="137"/>
    </row>
    <row r="295" spans="1:11">
      <c r="A295" s="8">
        <f>(A294+1)</f>
        <v>14</v>
      </c>
      <c r="C295" s="9" t="s">
        <v>118</v>
      </c>
      <c r="D295" s="9" t="s">
        <v>119</v>
      </c>
      <c r="E295" s="8">
        <f>(E294+1)</f>
        <v>14</v>
      </c>
      <c r="F295" s="10"/>
      <c r="G295" s="144"/>
      <c r="H295" s="145">
        <v>0</v>
      </c>
      <c r="I295" s="103"/>
      <c r="J295" s="137"/>
      <c r="K295" s="137"/>
    </row>
    <row r="296" spans="1:11">
      <c r="A296" s="8">
        <v>15</v>
      </c>
      <c r="C296" s="9"/>
      <c r="D296" s="9" t="s">
        <v>120</v>
      </c>
      <c r="E296" s="8">
        <v>15</v>
      </c>
      <c r="F296" s="10"/>
      <c r="G296" s="144"/>
      <c r="H296" s="145">
        <v>0</v>
      </c>
      <c r="I296" s="103"/>
      <c r="J296" s="137"/>
      <c r="K296" s="137"/>
    </row>
    <row r="297" spans="1:11">
      <c r="A297" s="8">
        <v>16</v>
      </c>
      <c r="C297" s="9" t="s">
        <v>121</v>
      </c>
      <c r="D297" s="9" t="s">
        <v>122</v>
      </c>
      <c r="E297" s="8">
        <v>16</v>
      </c>
      <c r="F297" s="10"/>
      <c r="G297" s="144"/>
      <c r="H297" s="145">
        <v>0</v>
      </c>
      <c r="I297" s="103"/>
      <c r="J297" s="137"/>
      <c r="K297" s="137"/>
    </row>
    <row r="298" spans="1:11">
      <c r="A298" s="8">
        <v>17</v>
      </c>
      <c r="C298" s="9"/>
      <c r="D298" s="9" t="s">
        <v>123</v>
      </c>
      <c r="E298" s="8">
        <v>17</v>
      </c>
      <c r="G298" s="143"/>
      <c r="H298" s="146">
        <v>0</v>
      </c>
      <c r="I298" s="100"/>
      <c r="J298" s="137"/>
      <c r="K298" s="137"/>
    </row>
    <row r="299" spans="1:11">
      <c r="A299" s="8">
        <v>18</v>
      </c>
      <c r="C299" s="9" t="s">
        <v>128</v>
      </c>
      <c r="D299" s="9"/>
      <c r="E299" s="8">
        <v>18</v>
      </c>
      <c r="G299" s="99">
        <f>SUM(G295:G298)</f>
        <v>0</v>
      </c>
      <c r="H299" s="100">
        <f>SUM(H295:H298)</f>
        <v>0</v>
      </c>
      <c r="I299" s="100"/>
      <c r="J299" s="137"/>
      <c r="K299" s="137"/>
    </row>
    <row r="300" spans="1:11">
      <c r="A300" s="8">
        <v>19</v>
      </c>
      <c r="C300" s="9" t="s">
        <v>129</v>
      </c>
      <c r="D300" s="9"/>
      <c r="E300" s="8">
        <v>19</v>
      </c>
      <c r="G300" s="99"/>
      <c r="H300" s="100"/>
      <c r="I300" s="100"/>
      <c r="J300" s="137"/>
      <c r="K300" s="137"/>
    </row>
    <row r="301" spans="1:11">
      <c r="A301" s="8">
        <v>20</v>
      </c>
      <c r="C301" s="9" t="s">
        <v>118</v>
      </c>
      <c r="D301" s="9" t="s">
        <v>119</v>
      </c>
      <c r="E301" s="8">
        <v>20</v>
      </c>
      <c r="F301" s="69"/>
      <c r="G301" s="144">
        <v>0</v>
      </c>
      <c r="H301" s="145">
        <v>0</v>
      </c>
      <c r="I301" s="103"/>
      <c r="J301" s="137"/>
      <c r="K301" s="137"/>
    </row>
    <row r="302" spans="1:11">
      <c r="A302" s="8">
        <v>21</v>
      </c>
      <c r="C302" s="9"/>
      <c r="D302" s="9" t="s">
        <v>120</v>
      </c>
      <c r="E302" s="8">
        <v>21</v>
      </c>
      <c r="F302" s="69"/>
      <c r="G302" s="144">
        <v>0</v>
      </c>
      <c r="H302" s="145">
        <v>0</v>
      </c>
      <c r="I302" s="103"/>
      <c r="J302" s="137"/>
      <c r="K302" s="137"/>
    </row>
    <row r="303" spans="1:11">
      <c r="A303" s="8">
        <v>22</v>
      </c>
      <c r="C303" s="9" t="s">
        <v>121</v>
      </c>
      <c r="D303" s="9" t="s">
        <v>122</v>
      </c>
      <c r="E303" s="8">
        <v>22</v>
      </c>
      <c r="F303" s="69"/>
      <c r="G303" s="144">
        <v>0</v>
      </c>
      <c r="H303" s="145">
        <v>0</v>
      </c>
      <c r="I303" s="103"/>
      <c r="J303" s="137"/>
      <c r="K303" s="137"/>
    </row>
    <row r="304" spans="1:11">
      <c r="A304" s="8">
        <v>23</v>
      </c>
      <c r="D304" s="9" t="s">
        <v>123</v>
      </c>
      <c r="E304" s="8">
        <v>23</v>
      </c>
      <c r="F304" s="69"/>
      <c r="G304" s="144">
        <v>0</v>
      </c>
      <c r="H304" s="145">
        <v>0</v>
      </c>
      <c r="I304" s="103"/>
      <c r="J304" s="137"/>
      <c r="K304" s="137"/>
    </row>
    <row r="305" spans="1:11">
      <c r="A305" s="8">
        <v>24</v>
      </c>
      <c r="C305" s="9" t="s">
        <v>130</v>
      </c>
      <c r="E305" s="8">
        <v>24</v>
      </c>
      <c r="F305" s="57"/>
      <c r="G305" s="97">
        <f>SUM(G301:G304)</f>
        <v>0</v>
      </c>
      <c r="H305" s="96">
        <f>SUM(H301:H304)</f>
        <v>0</v>
      </c>
      <c r="I305" s="96"/>
      <c r="J305" s="137"/>
      <c r="K305" s="137"/>
    </row>
    <row r="306" spans="1:11">
      <c r="A306" s="8">
        <v>25</v>
      </c>
      <c r="C306" s="9" t="s">
        <v>131</v>
      </c>
      <c r="E306" s="8">
        <v>25</v>
      </c>
      <c r="G306" s="99"/>
      <c r="H306" s="100"/>
      <c r="I306" s="100"/>
      <c r="J306" s="137"/>
      <c r="K306" s="137"/>
    </row>
    <row r="307" spans="1:11">
      <c r="A307" s="8">
        <v>26</v>
      </c>
      <c r="C307" s="9" t="s">
        <v>118</v>
      </c>
      <c r="D307" s="9" t="s">
        <v>119</v>
      </c>
      <c r="E307" s="8">
        <v>26</v>
      </c>
      <c r="G307" s="99">
        <f t="shared" ref="G307:H310" si="0">G283+G289+G295+G301</f>
        <v>0</v>
      </c>
      <c r="H307" s="100">
        <f t="shared" si="0"/>
        <v>0</v>
      </c>
      <c r="I307" s="100"/>
      <c r="J307" s="137"/>
      <c r="K307" s="99"/>
    </row>
    <row r="308" spans="1:11">
      <c r="A308" s="8">
        <v>27</v>
      </c>
      <c r="C308" s="9"/>
      <c r="D308" s="9" t="s">
        <v>120</v>
      </c>
      <c r="E308" s="8">
        <v>27</v>
      </c>
      <c r="G308" s="99">
        <f t="shared" si="0"/>
        <v>0</v>
      </c>
      <c r="H308" s="100">
        <f t="shared" si="0"/>
        <v>0</v>
      </c>
      <c r="I308" s="100"/>
      <c r="J308" s="137"/>
      <c r="K308" s="99"/>
    </row>
    <row r="309" spans="1:11">
      <c r="A309" s="8">
        <v>28</v>
      </c>
      <c r="C309" s="9" t="s">
        <v>121</v>
      </c>
      <c r="D309" s="9" t="s">
        <v>122</v>
      </c>
      <c r="E309" s="8">
        <v>28</v>
      </c>
      <c r="G309" s="99">
        <f t="shared" si="0"/>
        <v>0</v>
      </c>
      <c r="H309" s="100">
        <f t="shared" si="0"/>
        <v>0</v>
      </c>
      <c r="I309" s="100"/>
      <c r="J309" s="137"/>
      <c r="K309" s="99"/>
    </row>
    <row r="310" spans="1:11">
      <c r="A310" s="8">
        <v>29</v>
      </c>
      <c r="D310" s="9" t="s">
        <v>123</v>
      </c>
      <c r="E310" s="8">
        <v>29</v>
      </c>
      <c r="G310" s="99">
        <f t="shared" si="0"/>
        <v>0</v>
      </c>
      <c r="H310" s="100">
        <f t="shared" si="0"/>
        <v>0</v>
      </c>
      <c r="I310" s="100"/>
      <c r="J310" s="137"/>
      <c r="K310" s="99"/>
    </row>
    <row r="311" spans="1:11">
      <c r="A311" s="8">
        <v>30</v>
      </c>
      <c r="E311" s="8">
        <v>30</v>
      </c>
      <c r="G311" s="97"/>
      <c r="H311" s="96"/>
      <c r="I311" s="100"/>
      <c r="J311" s="137"/>
      <c r="K311" s="97"/>
    </row>
    <row r="312" spans="1:11">
      <c r="A312" s="8">
        <v>31</v>
      </c>
      <c r="C312" s="9" t="s">
        <v>132</v>
      </c>
      <c r="E312" s="8">
        <v>31</v>
      </c>
      <c r="G312" s="99">
        <f>SUM(G307:G308)</f>
        <v>0</v>
      </c>
      <c r="H312" s="100">
        <f>SUM(H307:H308)</f>
        <v>0</v>
      </c>
      <c r="I312" s="100"/>
      <c r="J312" s="137"/>
      <c r="K312" s="99"/>
    </row>
    <row r="313" spans="1:11">
      <c r="A313" s="8">
        <v>32</v>
      </c>
      <c r="C313" s="9" t="s">
        <v>133</v>
      </c>
      <c r="E313" s="8">
        <v>32</v>
      </c>
      <c r="G313" s="99">
        <f>SUM(G309:G310)</f>
        <v>0</v>
      </c>
      <c r="H313" s="100">
        <f>SUM(H309:H310)</f>
        <v>0</v>
      </c>
      <c r="I313" s="100"/>
      <c r="J313" s="137"/>
      <c r="K313" s="99"/>
    </row>
    <row r="314" spans="1:11">
      <c r="A314" s="8">
        <v>33</v>
      </c>
      <c r="C314" s="9" t="s">
        <v>134</v>
      </c>
      <c r="E314" s="8">
        <v>33</v>
      </c>
      <c r="F314" s="57"/>
      <c r="G314" s="97">
        <f>SUM(G307,G309)</f>
        <v>0</v>
      </c>
      <c r="H314" s="96">
        <f>SUM(H307,H309)</f>
        <v>0</v>
      </c>
      <c r="I314" s="96"/>
      <c r="J314" s="137"/>
      <c r="K314" s="97"/>
    </row>
    <row r="315" spans="1:11">
      <c r="A315" s="8">
        <v>34</v>
      </c>
      <c r="C315" s="9" t="s">
        <v>135</v>
      </c>
      <c r="E315" s="8">
        <v>34</v>
      </c>
      <c r="F315" s="57"/>
      <c r="G315" s="97">
        <f>SUM(G308,G310)</f>
        <v>0</v>
      </c>
      <c r="H315" s="96">
        <f>SUM(H308,H310)</f>
        <v>0</v>
      </c>
      <c r="I315" s="96"/>
      <c r="J315" s="137"/>
      <c r="K315" s="97"/>
    </row>
    <row r="316" spans="1:11">
      <c r="A316" s="9"/>
      <c r="C316" s="19" t="s">
        <v>6</v>
      </c>
      <c r="D316" s="19" t="s">
        <v>6</v>
      </c>
      <c r="E316" s="19" t="s">
        <v>6</v>
      </c>
      <c r="F316" s="19" t="s">
        <v>6</v>
      </c>
      <c r="G316" s="19" t="s">
        <v>6</v>
      </c>
      <c r="H316" s="19" t="s">
        <v>6</v>
      </c>
      <c r="I316" s="19"/>
      <c r="J316" s="19"/>
      <c r="K316" s="19"/>
    </row>
    <row r="317" spans="1:11">
      <c r="A317" s="8">
        <v>35</v>
      </c>
      <c r="C317" s="137" t="s">
        <v>136</v>
      </c>
      <c r="E317" s="8">
        <v>35</v>
      </c>
      <c r="G317" s="99">
        <f>SUM(G314:G315)</f>
        <v>0</v>
      </c>
      <c r="H317" s="100">
        <f>SUM(H314:H315)</f>
        <v>0</v>
      </c>
      <c r="I317" s="100"/>
      <c r="J317" s="100"/>
      <c r="K317" s="99"/>
    </row>
    <row r="318" spans="1:11">
      <c r="C318" s="9" t="s">
        <v>238</v>
      </c>
      <c r="F318" s="70" t="s">
        <v>6</v>
      </c>
      <c r="G318" s="20"/>
      <c r="H318" s="21"/>
      <c r="I318" s="70"/>
      <c r="J318" s="70"/>
      <c r="K318" s="20"/>
    </row>
    <row r="319" spans="1:11">
      <c r="C319" s="9"/>
      <c r="F319" s="70"/>
      <c r="G319" s="20"/>
      <c r="H319" s="21"/>
      <c r="I319" s="70"/>
      <c r="J319" s="137"/>
      <c r="K319" s="137"/>
    </row>
    <row r="320" spans="1:11">
      <c r="J320" s="137"/>
      <c r="K320" s="137"/>
    </row>
    <row r="321" spans="1:11" ht="36" customHeight="1">
      <c r="A321" s="137">
        <v>36</v>
      </c>
      <c r="B321" s="33"/>
      <c r="C321" s="221" t="s">
        <v>233</v>
      </c>
      <c r="D321" s="221"/>
      <c r="E321" s="221"/>
      <c r="F321" s="221"/>
      <c r="G321" s="221"/>
      <c r="H321" s="221"/>
      <c r="I321" s="221"/>
      <c r="J321" s="221"/>
      <c r="K321" s="137"/>
    </row>
    <row r="322" spans="1:11">
      <c r="C322" s="137" t="s">
        <v>137</v>
      </c>
      <c r="F322" s="70"/>
      <c r="G322" s="20"/>
      <c r="H322" s="40"/>
      <c r="I322" s="70"/>
      <c r="J322" s="20"/>
      <c r="K322" s="40"/>
    </row>
    <row r="323" spans="1:11">
      <c r="C323" s="137" t="s">
        <v>2</v>
      </c>
      <c r="F323" s="70"/>
      <c r="G323" s="20"/>
      <c r="H323" s="40"/>
      <c r="I323" s="70"/>
      <c r="J323" s="20"/>
      <c r="K323" s="40"/>
    </row>
    <row r="324" spans="1:11">
      <c r="A324" s="9"/>
    </row>
    <row r="325" spans="1:11" s="36" customFormat="1">
      <c r="A325" s="16" t="str">
        <f>$A$83</f>
        <v xml:space="preserve">Institution No.:  </v>
      </c>
      <c r="E325" s="37"/>
      <c r="G325" s="38"/>
      <c r="H325" s="39"/>
      <c r="J325" s="38"/>
      <c r="K325" s="71" t="s">
        <v>138</v>
      </c>
    </row>
    <row r="326" spans="1:11" s="36" customFormat="1" ht="14.25">
      <c r="D326" s="58" t="s">
        <v>246</v>
      </c>
      <c r="E326" s="37"/>
      <c r="G326" s="38"/>
      <c r="H326" s="39"/>
      <c r="J326" s="38"/>
      <c r="K326" s="39"/>
    </row>
    <row r="327" spans="1:11">
      <c r="A327" s="16" t="str">
        <f>$A$42</f>
        <v xml:space="preserve">NAME: </v>
      </c>
      <c r="C327" s="137" t="str">
        <f>$D$20</f>
        <v>University of Colorado</v>
      </c>
      <c r="F327" s="72"/>
      <c r="G327" s="66"/>
      <c r="H327" s="67"/>
      <c r="J327" s="14"/>
      <c r="K327" s="18" t="str">
        <f>$K$3</f>
        <v>Date: October 09, 2017</v>
      </c>
    </row>
    <row r="328" spans="1:11">
      <c r="A328" s="19" t="s">
        <v>6</v>
      </c>
      <c r="B328" s="19" t="s">
        <v>6</v>
      </c>
      <c r="C328" s="19" t="s">
        <v>6</v>
      </c>
      <c r="D328" s="19" t="s">
        <v>6</v>
      </c>
      <c r="E328" s="19" t="s">
        <v>6</v>
      </c>
      <c r="F328" s="19" t="s">
        <v>6</v>
      </c>
      <c r="G328" s="20" t="s">
        <v>6</v>
      </c>
      <c r="H328" s="21" t="s">
        <v>6</v>
      </c>
      <c r="I328" s="19" t="s">
        <v>6</v>
      </c>
      <c r="J328" s="20" t="s">
        <v>6</v>
      </c>
      <c r="K328" s="21" t="s">
        <v>6</v>
      </c>
    </row>
    <row r="329" spans="1:11">
      <c r="A329" s="22" t="s">
        <v>7</v>
      </c>
      <c r="E329" s="22" t="s">
        <v>7</v>
      </c>
      <c r="G329" s="24"/>
      <c r="H329" s="25" t="str">
        <f>H279</f>
        <v>2016-17</v>
      </c>
      <c r="I329" s="23"/>
      <c r="J329" s="24"/>
      <c r="K329" s="25" t="s">
        <v>261</v>
      </c>
    </row>
    <row r="330" spans="1:11">
      <c r="A330" s="22" t="s">
        <v>9</v>
      </c>
      <c r="C330" s="26" t="s">
        <v>51</v>
      </c>
      <c r="E330" s="22" t="s">
        <v>9</v>
      </c>
      <c r="G330" s="14"/>
      <c r="H330" s="25" t="s">
        <v>12</v>
      </c>
      <c r="J330" s="14"/>
      <c r="K330" s="25" t="s">
        <v>13</v>
      </c>
    </row>
    <row r="331" spans="1:11">
      <c r="A331" s="19" t="s">
        <v>6</v>
      </c>
      <c r="B331" s="19" t="s">
        <v>6</v>
      </c>
      <c r="C331" s="19" t="s">
        <v>6</v>
      </c>
      <c r="D331" s="19" t="s">
        <v>6</v>
      </c>
      <c r="E331" s="19" t="s">
        <v>6</v>
      </c>
      <c r="F331" s="19" t="s">
        <v>6</v>
      </c>
      <c r="G331" s="20" t="s">
        <v>6</v>
      </c>
      <c r="H331" s="21" t="s">
        <v>6</v>
      </c>
      <c r="I331" s="19" t="s">
        <v>6</v>
      </c>
      <c r="J331" s="20" t="s">
        <v>6</v>
      </c>
      <c r="K331" s="21" t="s">
        <v>6</v>
      </c>
    </row>
    <row r="332" spans="1:11" ht="13.5">
      <c r="A332" s="73">
        <v>1</v>
      </c>
      <c r="C332" s="9" t="s">
        <v>247</v>
      </c>
      <c r="E332" s="73">
        <v>1</v>
      </c>
      <c r="G332" s="14"/>
      <c r="H332" s="40" t="s">
        <v>226</v>
      </c>
      <c r="J332" s="14"/>
      <c r="K332" s="40" t="s">
        <v>226</v>
      </c>
    </row>
    <row r="333" spans="1:11">
      <c r="A333" s="73">
        <v>2</v>
      </c>
      <c r="C333" s="9"/>
      <c r="E333" s="73">
        <v>2</v>
      </c>
      <c r="G333" s="14"/>
      <c r="H333" s="147">
        <v>0</v>
      </c>
      <c r="J333" s="14"/>
      <c r="K333" s="147">
        <v>0</v>
      </c>
    </row>
    <row r="334" spans="1:11" ht="13.5">
      <c r="A334" s="137">
        <v>3</v>
      </c>
      <c r="C334" s="137" t="s">
        <v>248</v>
      </c>
      <c r="E334" s="137">
        <v>3</v>
      </c>
      <c r="F334" s="40"/>
      <c r="G334" s="40"/>
      <c r="H334" s="40" t="s">
        <v>226</v>
      </c>
      <c r="I334" s="40"/>
      <c r="J334" s="40"/>
      <c r="K334" s="40" t="s">
        <v>226</v>
      </c>
    </row>
    <row r="335" spans="1:11">
      <c r="A335" s="73">
        <v>4</v>
      </c>
      <c r="C335" s="137" t="s">
        <v>139</v>
      </c>
      <c r="E335" s="73">
        <v>4</v>
      </c>
      <c r="F335" s="40"/>
      <c r="G335" s="40"/>
      <c r="H335" s="147"/>
      <c r="I335" s="40"/>
      <c r="J335" s="40"/>
      <c r="K335" s="147"/>
    </row>
    <row r="336" spans="1:11">
      <c r="A336" s="73">
        <v>5</v>
      </c>
      <c r="C336" s="137" t="s">
        <v>140</v>
      </c>
      <c r="E336" s="73">
        <v>5</v>
      </c>
      <c r="F336" s="40"/>
      <c r="G336" s="40"/>
      <c r="H336" s="147"/>
      <c r="I336" s="40"/>
      <c r="J336" s="40"/>
      <c r="K336" s="147"/>
    </row>
    <row r="337" spans="1:11">
      <c r="A337" s="73">
        <v>6</v>
      </c>
      <c r="E337" s="73">
        <v>6</v>
      </c>
      <c r="F337" s="40"/>
      <c r="G337" s="40"/>
      <c r="H337" s="147"/>
      <c r="I337" s="40"/>
      <c r="J337" s="40"/>
      <c r="K337" s="147"/>
    </row>
    <row r="338" spans="1:11">
      <c r="A338" s="73">
        <v>7</v>
      </c>
      <c r="E338" s="73">
        <v>7</v>
      </c>
      <c r="F338" s="40"/>
      <c r="G338" s="40"/>
      <c r="H338" s="147"/>
      <c r="I338" s="40"/>
      <c r="J338" s="40"/>
      <c r="K338" s="147"/>
    </row>
    <row r="339" spans="1:11">
      <c r="A339" s="73">
        <v>8</v>
      </c>
      <c r="E339" s="73">
        <v>8</v>
      </c>
      <c r="F339" s="40"/>
      <c r="G339" s="40"/>
      <c r="H339" s="147"/>
      <c r="I339" s="40"/>
      <c r="J339" s="40"/>
      <c r="K339" s="147"/>
    </row>
    <row r="340" spans="1:11">
      <c r="A340" s="73">
        <v>9</v>
      </c>
      <c r="E340" s="73">
        <v>9</v>
      </c>
      <c r="F340" s="40"/>
      <c r="G340" s="40"/>
      <c r="H340" s="147"/>
      <c r="I340" s="40"/>
      <c r="J340" s="40"/>
      <c r="K340" s="147"/>
    </row>
    <row r="341" spans="1:11">
      <c r="A341" s="73">
        <v>10</v>
      </c>
      <c r="E341" s="73">
        <v>10</v>
      </c>
      <c r="F341" s="40"/>
      <c r="G341" s="40"/>
      <c r="H341" s="147"/>
      <c r="I341" s="40"/>
      <c r="J341" s="40"/>
      <c r="K341" s="147"/>
    </row>
    <row r="342" spans="1:11">
      <c r="A342" s="73">
        <v>11</v>
      </c>
      <c r="E342" s="73">
        <v>11</v>
      </c>
      <c r="F342" s="40"/>
      <c r="G342" s="40"/>
      <c r="H342" s="147"/>
      <c r="I342" s="40"/>
      <c r="J342" s="40"/>
      <c r="K342" s="147"/>
    </row>
    <row r="343" spans="1:11">
      <c r="A343" s="73">
        <v>12</v>
      </c>
      <c r="E343" s="73">
        <v>12</v>
      </c>
      <c r="F343" s="40"/>
      <c r="G343" s="40"/>
      <c r="H343" s="147"/>
      <c r="I343" s="40"/>
      <c r="J343" s="40"/>
      <c r="K343" s="147"/>
    </row>
    <row r="344" spans="1:11">
      <c r="A344" s="73">
        <v>13</v>
      </c>
      <c r="E344" s="73">
        <v>13</v>
      </c>
      <c r="F344" s="40"/>
      <c r="G344" s="40"/>
      <c r="H344" s="147"/>
      <c r="I344" s="40"/>
      <c r="J344" s="40"/>
      <c r="K344" s="147"/>
    </row>
    <row r="345" spans="1:11">
      <c r="A345" s="73">
        <v>14</v>
      </c>
      <c r="C345" s="74" t="s">
        <v>38</v>
      </c>
      <c r="D345" s="75"/>
      <c r="E345" s="73">
        <v>14</v>
      </c>
      <c r="F345" s="40"/>
      <c r="G345" s="40"/>
      <c r="H345" s="147"/>
      <c r="I345" s="40"/>
      <c r="J345" s="40"/>
      <c r="K345" s="147"/>
    </row>
    <row r="346" spans="1:11">
      <c r="A346" s="73">
        <v>15</v>
      </c>
      <c r="C346" s="74"/>
      <c r="D346" s="75"/>
      <c r="E346" s="73">
        <v>15</v>
      </c>
      <c r="F346" s="40"/>
      <c r="G346" s="40"/>
      <c r="H346" s="147"/>
      <c r="I346" s="40"/>
      <c r="J346" s="40"/>
      <c r="K346" s="147"/>
    </row>
    <row r="347" spans="1:11">
      <c r="A347" s="73">
        <v>16</v>
      </c>
      <c r="E347" s="73">
        <v>16</v>
      </c>
      <c r="F347" s="40"/>
      <c r="G347" s="40"/>
      <c r="H347" s="147"/>
      <c r="I347" s="40"/>
      <c r="J347" s="40"/>
      <c r="K347" s="147"/>
    </row>
    <row r="348" spans="1:11">
      <c r="A348" s="73">
        <v>17</v>
      </c>
      <c r="C348" s="9" t="s">
        <v>38</v>
      </c>
      <c r="E348" s="73">
        <v>17</v>
      </c>
      <c r="F348" s="40"/>
      <c r="G348" s="40"/>
      <c r="H348" s="147"/>
      <c r="I348" s="40"/>
      <c r="J348" s="40"/>
      <c r="K348" s="147"/>
    </row>
    <row r="349" spans="1:11">
      <c r="A349" s="73">
        <v>18</v>
      </c>
      <c r="E349" s="73">
        <v>18</v>
      </c>
      <c r="F349" s="40"/>
      <c r="G349" s="40"/>
      <c r="H349" s="147"/>
      <c r="I349" s="40"/>
      <c r="J349" s="40" t="s">
        <v>38</v>
      </c>
      <c r="K349" s="147"/>
    </row>
    <row r="350" spans="1:11">
      <c r="A350" s="73">
        <v>19</v>
      </c>
      <c r="E350" s="73">
        <v>19</v>
      </c>
      <c r="F350" s="40"/>
      <c r="G350" s="40"/>
      <c r="H350" s="147"/>
      <c r="I350" s="40"/>
      <c r="J350" s="40"/>
      <c r="K350" s="147"/>
    </row>
    <row r="351" spans="1:11">
      <c r="A351" s="73"/>
      <c r="C351" s="74"/>
      <c r="E351" s="73"/>
      <c r="F351" s="70" t="s">
        <v>6</v>
      </c>
      <c r="G351" s="20" t="s">
        <v>6</v>
      </c>
      <c r="H351" s="21" t="s">
        <v>6</v>
      </c>
      <c r="I351" s="70" t="s">
        <v>6</v>
      </c>
      <c r="J351" s="20" t="s">
        <v>6</v>
      </c>
      <c r="K351" s="21" t="s">
        <v>6</v>
      </c>
    </row>
    <row r="352" spans="1:11">
      <c r="A352" s="73">
        <v>20</v>
      </c>
      <c r="C352" s="74" t="s">
        <v>141</v>
      </c>
      <c r="E352" s="73">
        <v>20</v>
      </c>
      <c r="G352" s="96"/>
      <c r="H352" s="100">
        <f>SUM(H332:H350)</f>
        <v>0</v>
      </c>
      <c r="I352" s="100"/>
      <c r="J352" s="96"/>
      <c r="K352" s="100">
        <f>SUM(K332:K350)</f>
        <v>0</v>
      </c>
    </row>
    <row r="353" spans="1:11">
      <c r="A353" s="76"/>
      <c r="C353" s="9"/>
      <c r="E353" s="35"/>
      <c r="F353" s="70" t="s">
        <v>6</v>
      </c>
      <c r="G353" s="20" t="s">
        <v>6</v>
      </c>
      <c r="H353" s="21" t="s">
        <v>6</v>
      </c>
      <c r="I353" s="70" t="s">
        <v>6</v>
      </c>
      <c r="J353" s="20" t="s">
        <v>6</v>
      </c>
      <c r="K353" s="21" t="s">
        <v>6</v>
      </c>
    </row>
    <row r="354" spans="1:11" ht="13.5">
      <c r="C354" s="137" t="s">
        <v>254</v>
      </c>
      <c r="F354" s="70"/>
      <c r="G354" s="20"/>
      <c r="H354" s="40"/>
      <c r="I354" s="70"/>
      <c r="J354" s="20"/>
      <c r="K354" s="40"/>
    </row>
    <row r="355" spans="1:11" ht="13.5">
      <c r="C355" s="137" t="s">
        <v>253</v>
      </c>
      <c r="F355" s="70"/>
      <c r="G355" s="20"/>
      <c r="H355" s="40"/>
      <c r="I355" s="70"/>
      <c r="J355" s="20"/>
      <c r="K355" s="40"/>
    </row>
    <row r="356" spans="1:11" ht="13.5">
      <c r="A356" s="9"/>
      <c r="C356" s="137" t="s">
        <v>255</v>
      </c>
    </row>
    <row r="357" spans="1:11">
      <c r="A357" s="9"/>
      <c r="C357" s="137" t="s">
        <v>240</v>
      </c>
    </row>
    <row r="358" spans="1:11" s="36" customFormat="1">
      <c r="A358" s="16" t="str">
        <f>$A$83</f>
        <v xml:space="preserve">Institution No.:  </v>
      </c>
      <c r="E358" s="37"/>
      <c r="G358" s="38"/>
      <c r="H358" s="39"/>
      <c r="J358" s="38"/>
      <c r="K358" s="15" t="s">
        <v>142</v>
      </c>
    </row>
    <row r="359" spans="1:11" s="36" customFormat="1" ht="14.25">
      <c r="D359" s="58" t="s">
        <v>241</v>
      </c>
      <c r="E359" s="37"/>
      <c r="G359" s="38"/>
      <c r="H359" s="39"/>
      <c r="J359" s="38"/>
      <c r="K359" s="39"/>
    </row>
    <row r="360" spans="1:11">
      <c r="A360" s="16" t="str">
        <f>$A$42</f>
        <v xml:space="preserve">NAME: </v>
      </c>
      <c r="C360" s="137" t="str">
        <f>$D$20</f>
        <v>University of Colorado</v>
      </c>
      <c r="F360" s="72"/>
      <c r="G360" s="66"/>
      <c r="H360" s="40"/>
      <c r="J360" s="14"/>
      <c r="K360" s="18" t="str">
        <f>$K$3</f>
        <v>Date: October 09, 2017</v>
      </c>
    </row>
    <row r="361" spans="1:11">
      <c r="A361" s="19" t="s">
        <v>6</v>
      </c>
      <c r="B361" s="19" t="s">
        <v>6</v>
      </c>
      <c r="C361" s="19" t="s">
        <v>6</v>
      </c>
      <c r="D361" s="19" t="s">
        <v>6</v>
      </c>
      <c r="E361" s="19" t="s">
        <v>6</v>
      </c>
      <c r="F361" s="19" t="s">
        <v>6</v>
      </c>
      <c r="G361" s="20" t="s">
        <v>6</v>
      </c>
      <c r="H361" s="21" t="s">
        <v>6</v>
      </c>
      <c r="I361" s="19" t="s">
        <v>6</v>
      </c>
      <c r="J361" s="20" t="s">
        <v>6</v>
      </c>
      <c r="K361" s="21" t="s">
        <v>6</v>
      </c>
    </row>
    <row r="362" spans="1:11">
      <c r="A362" s="22" t="s">
        <v>7</v>
      </c>
      <c r="E362" s="22" t="s">
        <v>7</v>
      </c>
      <c r="G362" s="24"/>
      <c r="H362" s="25" t="str">
        <f>H329</f>
        <v>2016-17</v>
      </c>
      <c r="I362" s="23"/>
      <c r="J362" s="24"/>
      <c r="K362" s="25" t="str">
        <f>K329</f>
        <v>2017-18</v>
      </c>
    </row>
    <row r="363" spans="1:11">
      <c r="A363" s="22" t="s">
        <v>9</v>
      </c>
      <c r="C363" s="26" t="s">
        <v>51</v>
      </c>
      <c r="E363" s="22" t="s">
        <v>9</v>
      </c>
      <c r="G363" s="14"/>
      <c r="H363" s="25" t="s">
        <v>12</v>
      </c>
      <c r="J363" s="14"/>
      <c r="K363" s="25" t="s">
        <v>13</v>
      </c>
    </row>
    <row r="364" spans="1:11">
      <c r="A364" s="19" t="s">
        <v>6</v>
      </c>
      <c r="B364" s="19" t="s">
        <v>6</v>
      </c>
      <c r="C364" s="19" t="s">
        <v>6</v>
      </c>
      <c r="D364" s="19" t="s">
        <v>6</v>
      </c>
      <c r="E364" s="19" t="s">
        <v>6</v>
      </c>
      <c r="F364" s="19" t="s">
        <v>6</v>
      </c>
      <c r="G364" s="20" t="s">
        <v>6</v>
      </c>
      <c r="H364" s="21" t="s">
        <v>6</v>
      </c>
      <c r="I364" s="19" t="s">
        <v>6</v>
      </c>
      <c r="J364" s="20" t="s">
        <v>6</v>
      </c>
      <c r="K364" s="21" t="s">
        <v>6</v>
      </c>
    </row>
    <row r="365" spans="1:11">
      <c r="A365" s="73"/>
      <c r="C365" s="31" t="s">
        <v>143</v>
      </c>
      <c r="E365" s="73"/>
      <c r="G365" s="96"/>
      <c r="H365" s="96"/>
      <c r="I365" s="100"/>
      <c r="J365" s="96"/>
      <c r="K365" s="96"/>
    </row>
    <row r="366" spans="1:11" ht="13.5">
      <c r="A366" s="73">
        <v>1</v>
      </c>
      <c r="C366" s="77" t="s">
        <v>250</v>
      </c>
      <c r="E366" s="73">
        <v>1</v>
      </c>
      <c r="G366" s="96"/>
      <c r="H366" s="148"/>
      <c r="I366" s="100"/>
      <c r="J366" s="96"/>
      <c r="K366" s="148"/>
    </row>
    <row r="367" spans="1:11">
      <c r="A367" s="73">
        <v>2</v>
      </c>
      <c r="C367" s="10" t="s">
        <v>144</v>
      </c>
      <c r="E367" s="73">
        <v>2</v>
      </c>
      <c r="F367" s="10"/>
      <c r="G367" s="103"/>
      <c r="H367" s="145">
        <v>50466</v>
      </c>
      <c r="I367" s="103"/>
      <c r="J367" s="103"/>
      <c r="K367" s="145">
        <v>43343</v>
      </c>
    </row>
    <row r="368" spans="1:11">
      <c r="A368" s="73">
        <v>3</v>
      </c>
      <c r="C368" s="10" t="s">
        <v>145</v>
      </c>
      <c r="E368" s="73">
        <v>3</v>
      </c>
      <c r="F368" s="10"/>
      <c r="G368" s="103"/>
      <c r="H368" s="145">
        <v>647212</v>
      </c>
      <c r="I368" s="103"/>
      <c r="J368" s="103"/>
      <c r="K368" s="145">
        <v>607967</v>
      </c>
    </row>
    <row r="369" spans="1:11" ht="13.5">
      <c r="A369" s="73">
        <v>4</v>
      </c>
      <c r="C369" s="10" t="s">
        <v>252</v>
      </c>
      <c r="E369" s="73">
        <v>4</v>
      </c>
      <c r="F369" s="10"/>
      <c r="G369" s="103"/>
      <c r="H369" s="145"/>
      <c r="I369" s="103"/>
      <c r="J369" s="103"/>
      <c r="K369" s="145"/>
    </row>
    <row r="370" spans="1:11">
      <c r="A370" s="73">
        <v>5</v>
      </c>
      <c r="C370" s="10" t="s">
        <v>146</v>
      </c>
      <c r="E370" s="73">
        <v>5</v>
      </c>
      <c r="F370" s="10"/>
      <c r="G370" s="103"/>
      <c r="H370" s="145"/>
      <c r="I370" s="103"/>
      <c r="J370" s="103"/>
      <c r="K370" s="145"/>
    </row>
    <row r="371" spans="1:11">
      <c r="A371" s="73">
        <v>6</v>
      </c>
      <c r="C371" s="10" t="s">
        <v>147</v>
      </c>
      <c r="E371" s="73">
        <v>6</v>
      </c>
      <c r="F371" s="10"/>
      <c r="G371" s="103"/>
      <c r="H371" s="145"/>
      <c r="I371" s="103"/>
      <c r="J371" s="103"/>
      <c r="K371" s="145"/>
    </row>
    <row r="372" spans="1:11">
      <c r="A372" s="73">
        <v>7</v>
      </c>
      <c r="C372" s="10" t="s">
        <v>148</v>
      </c>
      <c r="E372" s="73">
        <v>7</v>
      </c>
      <c r="F372" s="10"/>
      <c r="G372" s="103"/>
      <c r="H372" s="145"/>
      <c r="I372" s="103"/>
      <c r="J372" s="103"/>
      <c r="K372" s="145"/>
    </row>
    <row r="373" spans="1:11">
      <c r="A373" s="73">
        <v>8</v>
      </c>
      <c r="C373" s="10" t="s">
        <v>149</v>
      </c>
      <c r="E373" s="73">
        <v>8</v>
      </c>
      <c r="F373" s="70"/>
      <c r="G373" s="20"/>
      <c r="H373" s="149"/>
      <c r="I373" s="70"/>
      <c r="J373" s="20"/>
      <c r="K373" s="149"/>
    </row>
    <row r="374" spans="1:11" ht="13.5">
      <c r="A374" s="73">
        <v>9</v>
      </c>
      <c r="C374" s="137" t="s">
        <v>251</v>
      </c>
      <c r="E374" s="73">
        <v>9</v>
      </c>
      <c r="F374" s="70"/>
      <c r="G374" s="20"/>
      <c r="H374" s="149"/>
      <c r="I374" s="70"/>
      <c r="J374" s="20"/>
      <c r="K374" s="149"/>
    </row>
    <row r="375" spans="1:11">
      <c r="A375" s="73">
        <v>10</v>
      </c>
      <c r="C375" s="10"/>
      <c r="E375" s="73">
        <v>10</v>
      </c>
      <c r="F375" s="70"/>
      <c r="G375" s="20"/>
      <c r="H375" s="149"/>
      <c r="I375" s="70"/>
      <c r="J375" s="20"/>
      <c r="K375" s="149"/>
    </row>
    <row r="376" spans="1:11">
      <c r="A376" s="73">
        <v>11</v>
      </c>
      <c r="C376" s="10"/>
      <c r="E376" s="73">
        <v>11</v>
      </c>
      <c r="F376" s="70"/>
      <c r="G376" s="20"/>
      <c r="H376" s="149"/>
      <c r="I376" s="70"/>
      <c r="J376" s="20"/>
      <c r="K376" s="149"/>
    </row>
    <row r="377" spans="1:11">
      <c r="A377" s="73">
        <v>12</v>
      </c>
      <c r="C377" s="10"/>
      <c r="E377" s="73">
        <v>12</v>
      </c>
      <c r="F377" s="70"/>
      <c r="G377" s="20"/>
      <c r="H377" s="149"/>
      <c r="I377" s="70"/>
      <c r="J377" s="20"/>
      <c r="K377" s="149"/>
    </row>
    <row r="378" spans="1:11">
      <c r="A378" s="73">
        <v>13</v>
      </c>
      <c r="C378" s="10"/>
      <c r="E378" s="73">
        <v>13</v>
      </c>
      <c r="F378" s="70"/>
      <c r="G378" s="20"/>
      <c r="H378" s="149"/>
      <c r="I378" s="70"/>
      <c r="J378" s="20"/>
      <c r="K378" s="149"/>
    </row>
    <row r="379" spans="1:11">
      <c r="A379" s="73">
        <v>14</v>
      </c>
      <c r="C379" s="10"/>
      <c r="E379" s="73">
        <v>14</v>
      </c>
      <c r="F379" s="70"/>
      <c r="G379" s="20"/>
      <c r="H379" s="149"/>
      <c r="I379" s="70"/>
      <c r="J379" s="20"/>
      <c r="K379" s="149"/>
    </row>
    <row r="380" spans="1:11">
      <c r="A380" s="73">
        <v>15</v>
      </c>
      <c r="E380" s="73">
        <v>15</v>
      </c>
      <c r="F380" s="10"/>
      <c r="G380" s="103"/>
      <c r="H380" s="145"/>
      <c r="I380" s="103"/>
      <c r="J380" s="103"/>
      <c r="K380" s="145"/>
    </row>
    <row r="381" spans="1:11">
      <c r="A381" s="73"/>
      <c r="C381" s="10"/>
      <c r="E381" s="73"/>
      <c r="F381" s="10"/>
      <c r="G381" s="103"/>
      <c r="H381" s="145"/>
      <c r="I381" s="103"/>
      <c r="J381" s="103"/>
      <c r="K381" s="145"/>
    </row>
    <row r="382" spans="1:11">
      <c r="A382" s="73">
        <v>16</v>
      </c>
      <c r="C382" s="10" t="s">
        <v>150</v>
      </c>
      <c r="E382" s="73">
        <v>16</v>
      </c>
      <c r="F382" s="10"/>
      <c r="G382" s="103"/>
      <c r="H382" s="145"/>
      <c r="I382" s="103"/>
      <c r="J382" s="103"/>
      <c r="K382" s="145"/>
    </row>
    <row r="383" spans="1:11">
      <c r="A383" s="73">
        <v>17</v>
      </c>
      <c r="C383" s="10" t="s">
        <v>151</v>
      </c>
      <c r="E383" s="73">
        <v>17</v>
      </c>
      <c r="F383" s="10"/>
      <c r="G383" s="103"/>
      <c r="H383" s="145">
        <v>13813586</v>
      </c>
      <c r="I383" s="103"/>
      <c r="J383" s="103"/>
      <c r="K383" s="145">
        <v>13554693</v>
      </c>
    </row>
    <row r="384" spans="1:11">
      <c r="A384" s="73">
        <v>18</v>
      </c>
      <c r="C384" s="10" t="s">
        <v>152</v>
      </c>
      <c r="E384" s="73">
        <v>18</v>
      </c>
      <c r="F384" s="10"/>
      <c r="G384" s="103"/>
      <c r="H384" s="145"/>
      <c r="I384" s="103"/>
      <c r="J384" s="103"/>
      <c r="K384" s="145"/>
    </row>
    <row r="385" spans="1:11">
      <c r="A385" s="73">
        <v>19</v>
      </c>
      <c r="C385" s="10" t="s">
        <v>38</v>
      </c>
      <c r="E385" s="73">
        <v>19</v>
      </c>
      <c r="F385" s="10"/>
      <c r="G385" s="103"/>
      <c r="H385" s="145"/>
      <c r="I385" s="103"/>
      <c r="J385" s="103"/>
      <c r="K385" s="145"/>
    </row>
    <row r="386" spans="1:11">
      <c r="A386" s="137">
        <v>20</v>
      </c>
      <c r="C386" s="10"/>
      <c r="E386" s="137">
        <v>20</v>
      </c>
      <c r="F386" s="70"/>
      <c r="G386" s="20"/>
      <c r="H386" s="149"/>
      <c r="I386" s="70"/>
      <c r="J386" s="20"/>
      <c r="K386" s="149"/>
    </row>
    <row r="387" spans="1:11">
      <c r="A387" s="137">
        <v>21</v>
      </c>
      <c r="C387" s="10"/>
      <c r="E387" s="137">
        <v>21</v>
      </c>
      <c r="F387" s="70"/>
      <c r="G387" s="20"/>
      <c r="H387" s="149"/>
      <c r="I387" s="70"/>
      <c r="J387" s="20"/>
      <c r="K387" s="149"/>
    </row>
    <row r="388" spans="1:11">
      <c r="A388" s="137">
        <v>22</v>
      </c>
      <c r="C388" s="10"/>
      <c r="E388" s="137">
        <v>22</v>
      </c>
      <c r="F388" s="70"/>
      <c r="G388" s="20"/>
      <c r="H388" s="149"/>
      <c r="I388" s="70"/>
      <c r="J388" s="20"/>
      <c r="K388" s="149"/>
    </row>
    <row r="389" spans="1:11">
      <c r="A389" s="137">
        <v>23</v>
      </c>
      <c r="C389" s="10"/>
      <c r="E389" s="137">
        <v>23</v>
      </c>
      <c r="F389" s="70"/>
      <c r="G389" s="20"/>
      <c r="H389" s="149"/>
      <c r="I389" s="70"/>
      <c r="J389" s="20"/>
      <c r="K389" s="149"/>
    </row>
    <row r="390" spans="1:11">
      <c r="A390" s="137">
        <v>24</v>
      </c>
      <c r="C390" s="10"/>
      <c r="E390" s="137">
        <v>24</v>
      </c>
      <c r="F390" s="70"/>
      <c r="G390" s="20"/>
      <c r="H390" s="149"/>
      <c r="I390" s="70"/>
      <c r="J390" s="20"/>
      <c r="K390" s="149"/>
    </row>
    <row r="391" spans="1:11">
      <c r="A391" s="73"/>
      <c r="C391" s="10"/>
      <c r="E391" s="73"/>
      <c r="F391" s="70" t="s">
        <v>6</v>
      </c>
      <c r="G391" s="20" t="s">
        <v>6</v>
      </c>
      <c r="H391" s="21"/>
      <c r="I391" s="70"/>
      <c r="J391" s="20"/>
      <c r="K391" s="21"/>
    </row>
    <row r="392" spans="1:11">
      <c r="A392" s="73">
        <v>25</v>
      </c>
      <c r="C392" s="9" t="s">
        <v>153</v>
      </c>
      <c r="E392" s="73">
        <v>25</v>
      </c>
      <c r="G392" s="96"/>
      <c r="H392" s="100">
        <f>SUM(H366:H390)</f>
        <v>14511264</v>
      </c>
      <c r="I392" s="100"/>
      <c r="J392" s="96"/>
      <c r="K392" s="100">
        <f>SUM(K366:K390)</f>
        <v>14206003</v>
      </c>
    </row>
    <row r="393" spans="1:11">
      <c r="A393" s="73"/>
      <c r="C393" s="9"/>
      <c r="E393" s="73"/>
      <c r="F393" s="70" t="s">
        <v>6</v>
      </c>
      <c r="G393" s="20" t="s">
        <v>6</v>
      </c>
      <c r="H393" s="21"/>
      <c r="I393" s="70"/>
      <c r="J393" s="20"/>
      <c r="K393" s="21"/>
    </row>
    <row r="394" spans="1:11" ht="13.5">
      <c r="A394" s="73">
        <v>26</v>
      </c>
      <c r="C394" s="9" t="s">
        <v>245</v>
      </c>
      <c r="E394" s="73">
        <v>26</v>
      </c>
      <c r="G394" s="96"/>
      <c r="H394" s="96">
        <v>-2226144</v>
      </c>
      <c r="I394" s="100"/>
      <c r="J394" s="96"/>
      <c r="K394" s="96">
        <v>-1228979</v>
      </c>
    </row>
    <row r="395" spans="1:11">
      <c r="A395" s="73">
        <v>27</v>
      </c>
      <c r="E395" s="73">
        <v>27</v>
      </c>
      <c r="G395" s="96"/>
      <c r="H395" s="96"/>
      <c r="I395" s="100"/>
      <c r="J395" s="96"/>
      <c r="K395" s="96"/>
    </row>
    <row r="396" spans="1:11">
      <c r="A396" s="73">
        <v>28</v>
      </c>
      <c r="E396" s="73">
        <v>28</v>
      </c>
      <c r="G396" s="100"/>
      <c r="H396" s="100"/>
      <c r="I396" s="100"/>
      <c r="J396" s="100"/>
      <c r="K396" s="100"/>
    </row>
    <row r="397" spans="1:11">
      <c r="A397" s="73">
        <v>29</v>
      </c>
      <c r="C397" s="137" t="s">
        <v>38</v>
      </c>
      <c r="E397" s="73">
        <v>29</v>
      </c>
      <c r="G397" s="100"/>
      <c r="H397" s="100"/>
      <c r="I397" s="100"/>
      <c r="J397" s="100"/>
      <c r="K397" s="100"/>
    </row>
    <row r="398" spans="1:11">
      <c r="A398" s="73"/>
      <c r="C398" s="74"/>
      <c r="E398" s="73"/>
      <c r="F398" s="70" t="s">
        <v>6</v>
      </c>
      <c r="G398" s="20" t="s">
        <v>6</v>
      </c>
      <c r="H398" s="21"/>
      <c r="I398" s="70"/>
      <c r="J398" s="20"/>
      <c r="K398" s="21"/>
    </row>
    <row r="399" spans="1:11">
      <c r="A399" s="73">
        <v>30</v>
      </c>
      <c r="C399" s="74" t="s">
        <v>154</v>
      </c>
      <c r="E399" s="73">
        <v>30</v>
      </c>
      <c r="G399" s="96"/>
      <c r="H399" s="100">
        <f>SUM(H392:H397)</f>
        <v>12285120</v>
      </c>
      <c r="I399" s="100"/>
      <c r="J399" s="96"/>
      <c r="K399" s="100">
        <f>SUM(K392:K397)</f>
        <v>12977024</v>
      </c>
    </row>
    <row r="400" spans="1:11">
      <c r="A400" s="76"/>
      <c r="C400" s="9"/>
      <c r="E400" s="35"/>
      <c r="F400" s="70" t="s">
        <v>6</v>
      </c>
      <c r="G400" s="20" t="s">
        <v>6</v>
      </c>
      <c r="H400" s="21" t="s">
        <v>6</v>
      </c>
      <c r="I400" s="70" t="s">
        <v>6</v>
      </c>
      <c r="J400" s="20" t="s">
        <v>6</v>
      </c>
      <c r="K400" s="21" t="s">
        <v>6</v>
      </c>
    </row>
    <row r="401" spans="1:11" ht="13.5">
      <c r="C401" s="137" t="s">
        <v>254</v>
      </c>
      <c r="F401" s="70"/>
      <c r="G401" s="20"/>
      <c r="H401" s="40"/>
      <c r="I401" s="70"/>
      <c r="J401" s="20"/>
      <c r="K401" s="40"/>
    </row>
    <row r="402" spans="1:11" ht="13.5">
      <c r="C402" s="137" t="s">
        <v>253</v>
      </c>
      <c r="F402" s="70"/>
      <c r="G402" s="20"/>
      <c r="H402" s="40"/>
      <c r="I402" s="70"/>
      <c r="J402" s="20"/>
      <c r="K402" s="40"/>
    </row>
    <row r="403" spans="1:11" ht="13.5">
      <c r="C403" s="137" t="s">
        <v>242</v>
      </c>
      <c r="F403" s="70"/>
      <c r="G403" s="20"/>
      <c r="H403" s="40"/>
      <c r="I403" s="70"/>
      <c r="J403" s="20"/>
      <c r="K403" s="40"/>
    </row>
    <row r="404" spans="1:11">
      <c r="C404" s="137" t="s">
        <v>155</v>
      </c>
      <c r="F404" s="70"/>
      <c r="G404" s="20"/>
      <c r="H404" s="40"/>
      <c r="I404" s="70"/>
      <c r="J404" s="20"/>
      <c r="K404" s="40"/>
    </row>
    <row r="405" spans="1:11" ht="13.5">
      <c r="C405" s="137" t="s">
        <v>243</v>
      </c>
      <c r="F405" s="70"/>
      <c r="G405" s="20"/>
      <c r="H405" s="40"/>
      <c r="I405" s="70"/>
      <c r="J405" s="20"/>
      <c r="K405" s="40"/>
    </row>
    <row r="406" spans="1:11">
      <c r="C406" s="137" t="s">
        <v>156</v>
      </c>
      <c r="F406" s="70"/>
      <c r="G406" s="20"/>
      <c r="H406" s="40"/>
      <c r="I406" s="70"/>
      <c r="J406" s="20"/>
      <c r="K406" s="40"/>
    </row>
    <row r="407" spans="1:11" ht="13.5">
      <c r="C407" s="137" t="s">
        <v>244</v>
      </c>
      <c r="F407" s="70"/>
      <c r="G407" s="20"/>
      <c r="H407" s="40"/>
      <c r="I407" s="70"/>
      <c r="J407" s="20"/>
      <c r="K407" s="40"/>
    </row>
    <row r="408" spans="1:11">
      <c r="A408" s="76"/>
      <c r="C408" s="137" t="s">
        <v>240</v>
      </c>
      <c r="E408" s="35"/>
      <c r="F408" s="70"/>
      <c r="G408" s="20"/>
      <c r="H408" s="21"/>
      <c r="I408" s="70"/>
      <c r="J408" s="20"/>
      <c r="K408" s="21"/>
    </row>
    <row r="409" spans="1:11" ht="13.5" customHeight="1"/>
    <row r="410" spans="1:11">
      <c r="A410" s="16" t="str">
        <f>$A$83</f>
        <v xml:space="preserve">Institution No.:  </v>
      </c>
      <c r="B410" s="36"/>
      <c r="C410" s="36"/>
      <c r="D410" s="36"/>
      <c r="E410" s="37"/>
      <c r="F410" s="36"/>
      <c r="G410" s="38"/>
      <c r="H410" s="39"/>
      <c r="I410" s="36"/>
      <c r="J410" s="38"/>
      <c r="K410" s="15" t="s">
        <v>262</v>
      </c>
    </row>
    <row r="411" spans="1:11">
      <c r="A411" s="36"/>
      <c r="B411" s="36"/>
      <c r="C411" s="36"/>
      <c r="D411" s="58" t="s">
        <v>266</v>
      </c>
      <c r="E411" s="37"/>
      <c r="F411" s="36"/>
      <c r="G411" s="38"/>
      <c r="H411" s="39"/>
      <c r="I411" s="36"/>
      <c r="J411" s="38"/>
      <c r="K411" s="39"/>
    </row>
    <row r="412" spans="1:11" s="36" customFormat="1">
      <c r="A412" s="16" t="str">
        <f>$A$42</f>
        <v xml:space="preserve">NAME: </v>
      </c>
      <c r="B412" s="137"/>
      <c r="C412" s="137" t="str">
        <f>$D$20</f>
        <v>University of Colorado</v>
      </c>
      <c r="D412" s="137"/>
      <c r="E412" s="137"/>
      <c r="F412" s="72"/>
      <c r="G412" s="66"/>
      <c r="H412" s="40"/>
      <c r="I412" s="137"/>
      <c r="J412" s="14"/>
      <c r="K412" s="18" t="str">
        <f>$K$3</f>
        <v>Date: October 09, 2017</v>
      </c>
    </row>
    <row r="413" spans="1:11" ht="12.75" customHeight="1">
      <c r="A413" s="19" t="s">
        <v>6</v>
      </c>
      <c r="B413" s="19" t="s">
        <v>6</v>
      </c>
      <c r="C413" s="19" t="s">
        <v>6</v>
      </c>
      <c r="D413" s="19" t="s">
        <v>6</v>
      </c>
      <c r="E413" s="19" t="s">
        <v>6</v>
      </c>
      <c r="F413" s="19" t="s">
        <v>6</v>
      </c>
      <c r="G413" s="20" t="s">
        <v>6</v>
      </c>
      <c r="H413" s="21" t="s">
        <v>6</v>
      </c>
      <c r="I413" s="19" t="s">
        <v>6</v>
      </c>
      <c r="J413" s="20" t="s">
        <v>6</v>
      </c>
      <c r="K413" s="21" t="s">
        <v>6</v>
      </c>
    </row>
    <row r="414" spans="1:11">
      <c r="A414" s="22" t="s">
        <v>7</v>
      </c>
      <c r="E414" s="22" t="s">
        <v>7</v>
      </c>
      <c r="G414" s="24"/>
      <c r="H414" s="25" t="s">
        <v>257</v>
      </c>
      <c r="I414" s="23"/>
      <c r="J414" s="24"/>
      <c r="K414" s="25" t="s">
        <v>261</v>
      </c>
    </row>
    <row r="415" spans="1:11">
      <c r="A415" s="22" t="s">
        <v>9</v>
      </c>
      <c r="C415" s="26" t="s">
        <v>51</v>
      </c>
      <c r="E415" s="22" t="s">
        <v>9</v>
      </c>
      <c r="G415" s="14"/>
      <c r="H415" s="25" t="s">
        <v>12</v>
      </c>
      <c r="J415" s="14"/>
      <c r="K415" s="25" t="s">
        <v>13</v>
      </c>
    </row>
    <row r="416" spans="1:11">
      <c r="A416" s="19" t="s">
        <v>6</v>
      </c>
      <c r="B416" s="19" t="s">
        <v>6</v>
      </c>
      <c r="C416" s="19" t="s">
        <v>6</v>
      </c>
      <c r="D416" s="19" t="s">
        <v>6</v>
      </c>
      <c r="E416" s="19" t="s">
        <v>6</v>
      </c>
      <c r="F416" s="19" t="s">
        <v>6</v>
      </c>
      <c r="G416" s="20" t="s">
        <v>6</v>
      </c>
      <c r="H416" s="21" t="s">
        <v>6</v>
      </c>
      <c r="I416" s="19" t="s">
        <v>6</v>
      </c>
      <c r="J416" s="20" t="s">
        <v>6</v>
      </c>
      <c r="K416" s="21" t="s">
        <v>6</v>
      </c>
    </row>
    <row r="417" spans="1:11">
      <c r="A417" s="73"/>
      <c r="C417" s="31" t="s">
        <v>265</v>
      </c>
      <c r="E417" s="73"/>
      <c r="G417" s="96"/>
      <c r="H417" s="96"/>
      <c r="I417" s="100"/>
      <c r="J417" s="96"/>
      <c r="K417" s="96"/>
    </row>
    <row r="418" spans="1:11">
      <c r="A418" s="73">
        <v>1</v>
      </c>
      <c r="C418" s="9" t="s">
        <v>263</v>
      </c>
      <c r="E418" s="73">
        <v>1</v>
      </c>
      <c r="G418" s="96"/>
      <c r="H418" s="148"/>
      <c r="I418" s="100"/>
      <c r="J418" s="96"/>
      <c r="K418" s="148"/>
    </row>
    <row r="419" spans="1:11">
      <c r="A419" s="73">
        <v>2</v>
      </c>
      <c r="C419" s="10"/>
      <c r="E419" s="73">
        <v>2</v>
      </c>
      <c r="F419" s="10"/>
      <c r="G419" s="103"/>
      <c r="H419" s="145"/>
      <c r="I419" s="103"/>
      <c r="J419" s="103"/>
      <c r="K419" s="145"/>
    </row>
    <row r="420" spans="1:11">
      <c r="A420" s="73">
        <v>3</v>
      </c>
      <c r="C420" s="10"/>
      <c r="E420" s="73">
        <v>3</v>
      </c>
      <c r="F420" s="10"/>
      <c r="G420" s="103"/>
      <c r="H420" s="145"/>
      <c r="I420" s="103"/>
      <c r="J420" s="103"/>
      <c r="K420" s="145"/>
    </row>
    <row r="421" spans="1:11">
      <c r="A421" s="73">
        <v>4</v>
      </c>
      <c r="C421" s="10"/>
      <c r="E421" s="73">
        <v>4</v>
      </c>
      <c r="F421" s="10"/>
      <c r="G421" s="103"/>
      <c r="H421" s="145"/>
      <c r="I421" s="103"/>
      <c r="J421" s="103"/>
      <c r="K421" s="145"/>
    </row>
    <row r="422" spans="1:11">
      <c r="A422" s="73">
        <v>5</v>
      </c>
      <c r="C422" s="10"/>
      <c r="E422" s="73">
        <v>5</v>
      </c>
      <c r="F422" s="10"/>
      <c r="G422" s="103"/>
      <c r="H422" s="145"/>
      <c r="I422" s="103"/>
      <c r="J422" s="103"/>
      <c r="K422" s="145"/>
    </row>
    <row r="423" spans="1:11">
      <c r="A423" s="73">
        <v>6</v>
      </c>
      <c r="C423" s="10"/>
      <c r="E423" s="73">
        <v>6</v>
      </c>
      <c r="F423" s="10"/>
      <c r="G423" s="103"/>
      <c r="H423" s="145"/>
      <c r="I423" s="103"/>
      <c r="J423" s="103"/>
      <c r="K423" s="145"/>
    </row>
    <row r="424" spans="1:11">
      <c r="A424" s="73">
        <v>7</v>
      </c>
      <c r="C424" s="10"/>
      <c r="E424" s="73">
        <v>7</v>
      </c>
      <c r="F424" s="10"/>
      <c r="G424" s="103"/>
      <c r="H424" s="145"/>
      <c r="I424" s="103"/>
      <c r="J424" s="103"/>
      <c r="K424" s="145"/>
    </row>
    <row r="425" spans="1:11">
      <c r="A425" s="73">
        <v>8</v>
      </c>
      <c r="C425" s="10"/>
      <c r="E425" s="73">
        <v>8</v>
      </c>
      <c r="F425" s="70"/>
      <c r="G425" s="20"/>
      <c r="H425" s="149"/>
      <c r="I425" s="70"/>
      <c r="J425" s="20"/>
      <c r="K425" s="149"/>
    </row>
    <row r="426" spans="1:11">
      <c r="A426" s="73">
        <v>9</v>
      </c>
      <c r="E426" s="73">
        <v>9</v>
      </c>
      <c r="F426" s="70"/>
      <c r="G426" s="20"/>
      <c r="H426" s="149"/>
      <c r="I426" s="70"/>
      <c r="J426" s="20"/>
      <c r="K426" s="149"/>
    </row>
    <row r="427" spans="1:11">
      <c r="A427" s="73">
        <v>10</v>
      </c>
      <c r="C427" s="10"/>
      <c r="E427" s="73">
        <v>10</v>
      </c>
      <c r="F427" s="70"/>
      <c r="G427" s="20"/>
      <c r="H427" s="149"/>
      <c r="I427" s="70"/>
      <c r="J427" s="20"/>
      <c r="K427" s="149"/>
    </row>
    <row r="428" spans="1:11">
      <c r="A428" s="73">
        <v>11</v>
      </c>
      <c r="C428" s="10"/>
      <c r="E428" s="73">
        <v>11</v>
      </c>
      <c r="F428" s="70"/>
      <c r="G428" s="20"/>
      <c r="H428" s="149"/>
      <c r="I428" s="70"/>
      <c r="J428" s="20"/>
      <c r="K428" s="149"/>
    </row>
    <row r="429" spans="1:11">
      <c r="A429" s="73">
        <v>12</v>
      </c>
      <c r="C429" s="10"/>
      <c r="E429" s="73">
        <v>12</v>
      </c>
      <c r="F429" s="70"/>
      <c r="G429" s="20"/>
      <c r="H429" s="149"/>
      <c r="I429" s="70"/>
      <c r="J429" s="20"/>
      <c r="K429" s="149"/>
    </row>
    <row r="430" spans="1:11">
      <c r="A430" s="73">
        <v>13</v>
      </c>
      <c r="C430" s="10"/>
      <c r="E430" s="73">
        <v>13</v>
      </c>
      <c r="F430" s="70"/>
      <c r="G430" s="20"/>
      <c r="H430" s="149"/>
      <c r="I430" s="70"/>
      <c r="J430" s="20"/>
      <c r="K430" s="149"/>
    </row>
    <row r="431" spans="1:11">
      <c r="A431" s="73">
        <v>14</v>
      </c>
      <c r="C431" s="10"/>
      <c r="E431" s="73">
        <v>14</v>
      </c>
      <c r="F431" s="70"/>
      <c r="G431" s="20"/>
      <c r="H431" s="149"/>
      <c r="I431" s="70"/>
      <c r="J431" s="20"/>
      <c r="K431" s="149"/>
    </row>
    <row r="432" spans="1:11">
      <c r="A432" s="73">
        <v>15</v>
      </c>
      <c r="E432" s="73">
        <v>15</v>
      </c>
      <c r="F432" s="10"/>
      <c r="G432" s="103"/>
      <c r="H432" s="145"/>
      <c r="I432" s="103"/>
      <c r="J432" s="103"/>
      <c r="K432" s="145"/>
    </row>
    <row r="433" spans="1:11">
      <c r="A433" s="73"/>
      <c r="C433" s="10"/>
      <c r="E433" s="73"/>
      <c r="F433" s="10"/>
      <c r="G433" s="103"/>
      <c r="H433" s="145"/>
      <c r="I433" s="103"/>
      <c r="J433" s="103"/>
      <c r="K433" s="145"/>
    </row>
    <row r="434" spans="1:11">
      <c r="A434" s="73">
        <v>16</v>
      </c>
      <c r="C434" s="10"/>
      <c r="E434" s="73">
        <v>16</v>
      </c>
      <c r="F434" s="10"/>
      <c r="G434" s="103"/>
      <c r="H434" s="145"/>
      <c r="I434" s="103"/>
      <c r="J434" s="103"/>
      <c r="K434" s="145"/>
    </row>
    <row r="435" spans="1:11">
      <c r="A435" s="73">
        <v>17</v>
      </c>
      <c r="C435" s="10"/>
      <c r="E435" s="73">
        <v>17</v>
      </c>
      <c r="F435" s="10"/>
      <c r="G435" s="103"/>
      <c r="H435" s="145"/>
      <c r="I435" s="103"/>
      <c r="J435" s="103"/>
      <c r="K435" s="145"/>
    </row>
    <row r="436" spans="1:11">
      <c r="A436" s="73">
        <v>18</v>
      </c>
      <c r="C436" s="10"/>
      <c r="E436" s="73">
        <v>18</v>
      </c>
      <c r="F436" s="10"/>
      <c r="G436" s="103"/>
      <c r="H436" s="145"/>
      <c r="I436" s="103"/>
      <c r="J436" s="103"/>
      <c r="K436" s="145"/>
    </row>
    <row r="437" spans="1:11">
      <c r="A437" s="73">
        <v>19</v>
      </c>
      <c r="C437" s="10" t="s">
        <v>38</v>
      </c>
      <c r="E437" s="73">
        <v>19</v>
      </c>
      <c r="F437" s="10"/>
      <c r="G437" s="103"/>
      <c r="H437" s="145"/>
      <c r="I437" s="103"/>
      <c r="J437" s="103"/>
      <c r="K437" s="145"/>
    </row>
    <row r="438" spans="1:11">
      <c r="A438" s="137">
        <v>20</v>
      </c>
      <c r="C438" s="10"/>
      <c r="E438" s="137">
        <v>20</v>
      </c>
      <c r="F438" s="70"/>
      <c r="G438" s="20"/>
      <c r="H438" s="149"/>
      <c r="I438" s="70"/>
      <c r="J438" s="20"/>
      <c r="K438" s="149"/>
    </row>
    <row r="439" spans="1:11">
      <c r="A439" s="137">
        <v>21</v>
      </c>
      <c r="C439" s="10"/>
      <c r="E439" s="137">
        <v>21</v>
      </c>
      <c r="F439" s="70"/>
      <c r="G439" s="20"/>
      <c r="H439" s="149"/>
      <c r="I439" s="70"/>
      <c r="J439" s="20"/>
      <c r="K439" s="149"/>
    </row>
    <row r="440" spans="1:11">
      <c r="A440" s="137">
        <v>22</v>
      </c>
      <c r="C440" s="10"/>
      <c r="E440" s="137">
        <v>22</v>
      </c>
      <c r="F440" s="70"/>
      <c r="G440" s="20"/>
      <c r="H440" s="149"/>
      <c r="I440" s="70"/>
      <c r="J440" s="20"/>
      <c r="K440" s="149"/>
    </row>
    <row r="441" spans="1:11">
      <c r="A441" s="137">
        <v>23</v>
      </c>
      <c r="C441" s="10"/>
      <c r="E441" s="137">
        <v>23</v>
      </c>
      <c r="F441" s="70"/>
      <c r="G441" s="20"/>
      <c r="H441" s="149"/>
      <c r="I441" s="70"/>
      <c r="J441" s="20"/>
      <c r="K441" s="149"/>
    </row>
    <row r="442" spans="1:11">
      <c r="A442" s="137">
        <v>24</v>
      </c>
      <c r="C442" s="10"/>
      <c r="E442" s="137">
        <v>24</v>
      </c>
      <c r="F442" s="70"/>
      <c r="G442" s="20"/>
      <c r="H442" s="149"/>
      <c r="I442" s="70"/>
      <c r="J442" s="20"/>
      <c r="K442" s="149"/>
    </row>
    <row r="443" spans="1:11">
      <c r="A443" s="73"/>
      <c r="C443" s="10"/>
      <c r="E443" s="73"/>
      <c r="F443" s="70" t="s">
        <v>6</v>
      </c>
      <c r="G443" s="20" t="s">
        <v>6</v>
      </c>
      <c r="H443" s="21"/>
      <c r="I443" s="70"/>
      <c r="J443" s="20"/>
      <c r="K443" s="21"/>
    </row>
    <row r="444" spans="1:11">
      <c r="A444" s="73">
        <v>25</v>
      </c>
      <c r="C444" s="9"/>
      <c r="E444" s="73">
        <v>25</v>
      </c>
      <c r="G444" s="96"/>
      <c r="H444" s="100">
        <f>SUM(H418:H442)</f>
        <v>0</v>
      </c>
      <c r="I444" s="100"/>
      <c r="J444" s="96"/>
      <c r="K444" s="100">
        <f>SUM(K418:K442)</f>
        <v>0</v>
      </c>
    </row>
    <row r="445" spans="1:11">
      <c r="A445" s="73"/>
      <c r="C445" s="9"/>
      <c r="E445" s="73"/>
      <c r="F445" s="70" t="s">
        <v>6</v>
      </c>
      <c r="G445" s="20" t="s">
        <v>6</v>
      </c>
      <c r="H445" s="21"/>
      <c r="I445" s="70"/>
      <c r="J445" s="20"/>
      <c r="K445" s="21"/>
    </row>
    <row r="446" spans="1:11">
      <c r="A446" s="73">
        <v>26</v>
      </c>
      <c r="C446" s="9"/>
      <c r="E446" s="73">
        <v>26</v>
      </c>
      <c r="G446" s="96"/>
      <c r="H446" s="96">
        <v>0</v>
      </c>
      <c r="I446" s="100"/>
      <c r="J446" s="96"/>
      <c r="K446" s="96">
        <v>0</v>
      </c>
    </row>
    <row r="447" spans="1:11">
      <c r="A447" s="73">
        <v>27</v>
      </c>
      <c r="E447" s="73">
        <v>27</v>
      </c>
      <c r="G447" s="96"/>
      <c r="H447" s="96"/>
      <c r="I447" s="100"/>
      <c r="J447" s="96"/>
      <c r="K447" s="96"/>
    </row>
    <row r="448" spans="1:11">
      <c r="A448" s="73">
        <v>28</v>
      </c>
      <c r="E448" s="73">
        <v>28</v>
      </c>
      <c r="G448" s="100"/>
      <c r="H448" s="100"/>
      <c r="I448" s="100"/>
      <c r="J448" s="100"/>
      <c r="K448" s="100"/>
    </row>
    <row r="449" spans="1:11">
      <c r="A449" s="73">
        <v>29</v>
      </c>
      <c r="C449" s="137" t="s">
        <v>38</v>
      </c>
      <c r="E449" s="73">
        <v>29</v>
      </c>
      <c r="G449" s="100"/>
      <c r="H449" s="100"/>
      <c r="I449" s="100"/>
      <c r="J449" s="100"/>
      <c r="K449" s="100"/>
    </row>
    <row r="450" spans="1:11" s="36" customFormat="1">
      <c r="A450" s="73"/>
      <c r="B450" s="137"/>
      <c r="C450" s="74"/>
      <c r="D450" s="137"/>
      <c r="E450" s="73"/>
      <c r="F450" s="70" t="s">
        <v>6</v>
      </c>
      <c r="G450" s="20" t="s">
        <v>6</v>
      </c>
      <c r="H450" s="21"/>
      <c r="I450" s="70"/>
      <c r="J450" s="20"/>
      <c r="K450" s="21"/>
    </row>
    <row r="451" spans="1:11" s="36" customFormat="1">
      <c r="A451" s="73">
        <v>30</v>
      </c>
      <c r="B451" s="137"/>
      <c r="C451" s="74" t="s">
        <v>267</v>
      </c>
      <c r="D451" s="137"/>
      <c r="E451" s="73">
        <v>30</v>
      </c>
      <c r="F451" s="137"/>
      <c r="G451" s="96"/>
      <c r="H451" s="100"/>
      <c r="I451" s="100"/>
      <c r="J451" s="96"/>
      <c r="K451" s="100">
        <f>SUM(K444:K449)</f>
        <v>0</v>
      </c>
    </row>
    <row r="452" spans="1:11">
      <c r="A452" s="76"/>
      <c r="C452" s="9"/>
      <c r="E452" s="35"/>
      <c r="F452" s="70" t="s">
        <v>6</v>
      </c>
      <c r="G452" s="20" t="s">
        <v>6</v>
      </c>
      <c r="H452" s="21" t="s">
        <v>6</v>
      </c>
      <c r="I452" s="70" t="s">
        <v>6</v>
      </c>
      <c r="J452" s="20" t="s">
        <v>6</v>
      </c>
      <c r="K452" s="21" t="s">
        <v>6</v>
      </c>
    </row>
    <row r="453" spans="1:11">
      <c r="F453" s="70"/>
      <c r="G453" s="20"/>
      <c r="H453" s="40"/>
      <c r="I453" s="70"/>
      <c r="J453" s="20"/>
      <c r="K453" s="40"/>
    </row>
    <row r="454" spans="1:11">
      <c r="F454" s="70"/>
      <c r="G454" s="20"/>
      <c r="H454" s="40"/>
      <c r="I454" s="70"/>
      <c r="J454" s="20"/>
      <c r="K454" s="40"/>
    </row>
    <row r="455" spans="1:11">
      <c r="C455" s="137" t="s">
        <v>38</v>
      </c>
      <c r="F455" s="70"/>
      <c r="G455" s="20"/>
      <c r="H455" s="40"/>
      <c r="I455" s="70"/>
      <c r="J455" s="20"/>
      <c r="K455" s="40"/>
    </row>
    <row r="456" spans="1:11">
      <c r="F456" s="70"/>
      <c r="G456" s="20"/>
      <c r="H456" s="40"/>
      <c r="I456" s="70"/>
      <c r="J456" s="20"/>
      <c r="K456" s="40"/>
    </row>
    <row r="457" spans="1:11">
      <c r="C457" s="137" t="s">
        <v>38</v>
      </c>
      <c r="F457" s="70"/>
      <c r="G457" s="20"/>
      <c r="H457" s="40"/>
      <c r="I457" s="70"/>
      <c r="J457" s="20"/>
      <c r="K457" s="40"/>
    </row>
    <row r="458" spans="1:11">
      <c r="F458" s="70"/>
      <c r="G458" s="20"/>
      <c r="H458" s="40"/>
      <c r="I458" s="70"/>
      <c r="J458" s="20"/>
      <c r="K458" s="40"/>
    </row>
    <row r="459" spans="1:11">
      <c r="F459" s="70"/>
      <c r="G459" s="20"/>
      <c r="H459" s="40"/>
      <c r="I459" s="70"/>
      <c r="J459" s="20"/>
      <c r="K459" s="40"/>
    </row>
    <row r="460" spans="1:11">
      <c r="A460" s="76"/>
      <c r="E460" s="35"/>
      <c r="F460" s="70"/>
      <c r="G460" s="20"/>
      <c r="H460" s="21"/>
      <c r="I460" s="70"/>
      <c r="J460" s="20"/>
      <c r="K460" s="21"/>
    </row>
    <row r="463" spans="1:11">
      <c r="A463" s="16" t="str">
        <f>$A$83</f>
        <v xml:space="preserve">Institution No.:  </v>
      </c>
      <c r="B463" s="36"/>
      <c r="C463" s="36"/>
      <c r="D463" s="36"/>
      <c r="E463" s="37"/>
      <c r="F463" s="36"/>
      <c r="G463" s="38"/>
      <c r="H463" s="39"/>
      <c r="I463" s="36"/>
      <c r="J463" s="38"/>
      <c r="K463" s="15" t="s">
        <v>157</v>
      </c>
    </row>
    <row r="464" spans="1:11">
      <c r="A464" s="222" t="s">
        <v>158</v>
      </c>
      <c r="B464" s="222"/>
      <c r="C464" s="222"/>
      <c r="D464" s="222"/>
      <c r="E464" s="222"/>
      <c r="F464" s="222"/>
      <c r="G464" s="222"/>
      <c r="H464" s="222"/>
      <c r="I464" s="222"/>
      <c r="J464" s="222"/>
      <c r="K464" s="222"/>
    </row>
    <row r="465" spans="1:11">
      <c r="A465" s="16" t="str">
        <f>$A$42</f>
        <v xml:space="preserve">NAME: </v>
      </c>
      <c r="C465" s="137" t="str">
        <f>$D$20</f>
        <v>University of Colorado</v>
      </c>
      <c r="H465" s="40"/>
      <c r="J465" s="14"/>
      <c r="K465" s="18" t="str">
        <f>$K$3</f>
        <v>Date: October 09, 2017</v>
      </c>
    </row>
    <row r="466" spans="1:11">
      <c r="A466" s="19" t="s">
        <v>6</v>
      </c>
      <c r="B466" s="19" t="s">
        <v>6</v>
      </c>
      <c r="C466" s="19" t="s">
        <v>6</v>
      </c>
      <c r="D466" s="19" t="s">
        <v>6</v>
      </c>
      <c r="E466" s="19" t="s">
        <v>6</v>
      </c>
      <c r="F466" s="19" t="s">
        <v>6</v>
      </c>
      <c r="G466" s="20" t="s">
        <v>6</v>
      </c>
      <c r="H466" s="21" t="s">
        <v>6</v>
      </c>
      <c r="I466" s="19" t="s">
        <v>6</v>
      </c>
      <c r="J466" s="20" t="s">
        <v>6</v>
      </c>
      <c r="K466" s="21" t="s">
        <v>6</v>
      </c>
    </row>
    <row r="467" spans="1:11">
      <c r="A467" s="22" t="s">
        <v>7</v>
      </c>
      <c r="E467" s="22" t="s">
        <v>7</v>
      </c>
      <c r="F467" s="23"/>
      <c r="G467" s="24"/>
      <c r="H467" s="25" t="str">
        <f>H362</f>
        <v>2016-17</v>
      </c>
      <c r="I467" s="23"/>
      <c r="J467" s="24"/>
      <c r="K467" s="25" t="str">
        <f>K362</f>
        <v>2017-18</v>
      </c>
    </row>
    <row r="468" spans="1:11">
      <c r="A468" s="22" t="s">
        <v>9</v>
      </c>
      <c r="C468" s="26" t="s">
        <v>51</v>
      </c>
      <c r="E468" s="22" t="s">
        <v>9</v>
      </c>
      <c r="F468" s="23"/>
      <c r="G468" s="24"/>
      <c r="H468" s="25" t="s">
        <v>12</v>
      </c>
      <c r="I468" s="23"/>
      <c r="J468" s="24"/>
      <c r="K468" s="25" t="s">
        <v>13</v>
      </c>
    </row>
    <row r="469" spans="1:11">
      <c r="A469" s="19" t="s">
        <v>6</v>
      </c>
      <c r="B469" s="19" t="s">
        <v>6</v>
      </c>
      <c r="C469" s="19" t="s">
        <v>6</v>
      </c>
      <c r="D469" s="19" t="s">
        <v>6</v>
      </c>
      <c r="E469" s="19" t="s">
        <v>6</v>
      </c>
      <c r="F469" s="19" t="s">
        <v>6</v>
      </c>
      <c r="G469" s="20" t="s">
        <v>6</v>
      </c>
      <c r="H469" s="21" t="s">
        <v>6</v>
      </c>
      <c r="I469" s="19" t="s">
        <v>6</v>
      </c>
      <c r="J469" s="20" t="s">
        <v>6</v>
      </c>
      <c r="K469" s="21" t="s">
        <v>6</v>
      </c>
    </row>
    <row r="470" spans="1:11">
      <c r="A470" s="78">
        <v>1</v>
      </c>
      <c r="C470" s="9" t="s">
        <v>159</v>
      </c>
      <c r="E470" s="78">
        <v>1</v>
      </c>
      <c r="F470" s="10"/>
      <c r="G470" s="11"/>
      <c r="H470" s="150"/>
      <c r="I470" s="10"/>
      <c r="J470" s="11"/>
      <c r="K470" s="152"/>
    </row>
    <row r="471" spans="1:11">
      <c r="A471" s="78">
        <f t="shared" ref="A471:A493" si="1">(A470+1)</f>
        <v>2</v>
      </c>
      <c r="C471" s="9" t="s">
        <v>160</v>
      </c>
      <c r="E471" s="78">
        <f t="shared" ref="E471:E493" si="2">(E470+1)</f>
        <v>2</v>
      </c>
      <c r="F471" s="10"/>
      <c r="G471" s="106"/>
      <c r="H471" s="151"/>
      <c r="I471" s="106"/>
      <c r="J471" s="106"/>
      <c r="K471" s="151"/>
    </row>
    <row r="472" spans="1:11">
      <c r="A472" s="78">
        <f t="shared" si="1"/>
        <v>3</v>
      </c>
      <c r="C472" s="9"/>
      <c r="E472" s="78">
        <f t="shared" si="2"/>
        <v>3</v>
      </c>
      <c r="F472" s="10"/>
      <c r="G472" s="106"/>
      <c r="H472" s="151"/>
      <c r="I472" s="106"/>
      <c r="J472" s="106"/>
      <c r="K472" s="151"/>
    </row>
    <row r="473" spans="1:11">
      <c r="A473" s="78">
        <f t="shared" si="1"/>
        <v>4</v>
      </c>
      <c r="C473" s="9"/>
      <c r="E473" s="78">
        <f t="shared" si="2"/>
        <v>4</v>
      </c>
      <c r="F473" s="10"/>
      <c r="G473" s="106"/>
      <c r="H473" s="151"/>
      <c r="I473" s="106"/>
      <c r="J473" s="106"/>
      <c r="K473" s="151"/>
    </row>
    <row r="474" spans="1:11">
      <c r="A474" s="78">
        <f>(A473+1)</f>
        <v>5</v>
      </c>
      <c r="C474" s="10"/>
      <c r="E474" s="78">
        <f>(E473+1)</f>
        <v>5</v>
      </c>
      <c r="F474" s="10"/>
      <c r="G474" s="106"/>
      <c r="H474" s="151"/>
      <c r="I474" s="106"/>
      <c r="J474" s="106"/>
      <c r="K474" s="151"/>
    </row>
    <row r="475" spans="1:11">
      <c r="A475" s="78">
        <f t="shared" si="1"/>
        <v>6</v>
      </c>
      <c r="C475" s="10"/>
      <c r="E475" s="78">
        <f t="shared" si="2"/>
        <v>6</v>
      </c>
      <c r="F475" s="10"/>
      <c r="G475" s="106"/>
      <c r="H475" s="151"/>
      <c r="I475" s="106"/>
      <c r="J475" s="106"/>
      <c r="K475" s="151"/>
    </row>
    <row r="476" spans="1:11" ht="12" customHeight="1">
      <c r="A476" s="78">
        <f>(A475+1)</f>
        <v>7</v>
      </c>
      <c r="C476" s="9"/>
      <c r="E476" s="78">
        <f>(E475+1)</f>
        <v>7</v>
      </c>
      <c r="F476" s="10"/>
      <c r="G476" s="106"/>
      <c r="H476" s="151"/>
      <c r="I476" s="106"/>
      <c r="J476" s="106"/>
      <c r="K476" s="151"/>
    </row>
    <row r="477" spans="1:11" s="82" customFormat="1" ht="12" customHeight="1">
      <c r="A477" s="78">
        <f>(A476+1)</f>
        <v>8</v>
      </c>
      <c r="B477" s="137"/>
      <c r="C477" s="10"/>
      <c r="D477" s="137"/>
      <c r="E477" s="78">
        <f>(E476+1)</f>
        <v>8</v>
      </c>
      <c r="F477" s="10"/>
      <c r="G477" s="106"/>
      <c r="H477" s="151"/>
      <c r="I477" s="106"/>
      <c r="J477" s="106"/>
      <c r="K477" s="151"/>
    </row>
    <row r="478" spans="1:11">
      <c r="A478" s="78">
        <f t="shared" si="1"/>
        <v>9</v>
      </c>
      <c r="C478" s="10"/>
      <c r="E478" s="78">
        <f t="shared" si="2"/>
        <v>9</v>
      </c>
      <c r="F478" s="10"/>
      <c r="G478" s="106"/>
      <c r="H478" s="151"/>
      <c r="I478" s="106"/>
      <c r="J478" s="106"/>
      <c r="K478" s="151"/>
    </row>
    <row r="479" spans="1:11">
      <c r="A479" s="78">
        <f t="shared" si="1"/>
        <v>10</v>
      </c>
      <c r="E479" s="78">
        <f t="shared" si="2"/>
        <v>10</v>
      </c>
      <c r="F479" s="10"/>
      <c r="G479" s="106"/>
      <c r="H479" s="151"/>
      <c r="I479" s="106"/>
      <c r="J479" s="106"/>
      <c r="K479" s="151"/>
    </row>
    <row r="480" spans="1:11">
      <c r="A480" s="78">
        <f t="shared" si="1"/>
        <v>11</v>
      </c>
      <c r="E480" s="78">
        <f t="shared" si="2"/>
        <v>11</v>
      </c>
      <c r="F480" s="10"/>
      <c r="G480" s="106"/>
      <c r="H480" s="151"/>
      <c r="I480" s="106"/>
      <c r="J480" s="106"/>
      <c r="K480" s="151"/>
    </row>
    <row r="481" spans="1:11">
      <c r="A481" s="78">
        <f t="shared" si="1"/>
        <v>12</v>
      </c>
      <c r="E481" s="78">
        <f t="shared" si="2"/>
        <v>12</v>
      </c>
      <c r="F481" s="10"/>
      <c r="G481" s="106"/>
      <c r="H481" s="151"/>
      <c r="I481" s="106"/>
      <c r="J481" s="106"/>
      <c r="K481" s="151"/>
    </row>
    <row r="482" spans="1:11">
      <c r="A482" s="78">
        <f t="shared" si="1"/>
        <v>13</v>
      </c>
      <c r="C482" s="10"/>
      <c r="E482" s="78">
        <f t="shared" si="2"/>
        <v>13</v>
      </c>
      <c r="F482" s="10"/>
      <c r="G482" s="106"/>
      <c r="H482" s="151"/>
      <c r="I482" s="106"/>
      <c r="J482" s="106"/>
      <c r="K482" s="151"/>
    </row>
    <row r="483" spans="1:11">
      <c r="A483" s="78">
        <f t="shared" si="1"/>
        <v>14</v>
      </c>
      <c r="C483" s="10" t="s">
        <v>161</v>
      </c>
      <c r="E483" s="78">
        <f t="shared" si="2"/>
        <v>14</v>
      </c>
      <c r="F483" s="10"/>
      <c r="G483" s="106"/>
      <c r="H483" s="151"/>
      <c r="I483" s="106"/>
      <c r="J483" s="106"/>
      <c r="K483" s="151"/>
    </row>
    <row r="484" spans="1:11">
      <c r="A484" s="78">
        <f t="shared" si="1"/>
        <v>15</v>
      </c>
      <c r="C484" s="10"/>
      <c r="E484" s="78">
        <f t="shared" si="2"/>
        <v>15</v>
      </c>
      <c r="F484" s="10"/>
      <c r="G484" s="106"/>
      <c r="H484" s="151"/>
      <c r="I484" s="106"/>
      <c r="J484" s="106"/>
      <c r="K484" s="151"/>
    </row>
    <row r="485" spans="1:11" ht="20.25" customHeight="1">
      <c r="A485" s="78">
        <f t="shared" si="1"/>
        <v>16</v>
      </c>
      <c r="C485" s="10"/>
      <c r="E485" s="78">
        <f t="shared" si="2"/>
        <v>16</v>
      </c>
      <c r="F485" s="10"/>
      <c r="G485" s="106"/>
      <c r="H485" s="151"/>
      <c r="I485" s="106"/>
      <c r="J485" s="106"/>
      <c r="K485" s="151"/>
    </row>
    <row r="486" spans="1:11">
      <c r="A486" s="78">
        <f t="shared" si="1"/>
        <v>17</v>
      </c>
      <c r="C486" s="10"/>
      <c r="E486" s="78">
        <f t="shared" si="2"/>
        <v>17</v>
      </c>
      <c r="F486" s="10"/>
      <c r="G486" s="106"/>
      <c r="H486" s="151"/>
      <c r="I486" s="106"/>
      <c r="J486" s="106"/>
      <c r="K486" s="151"/>
    </row>
    <row r="487" spans="1:11">
      <c r="A487" s="78">
        <f t="shared" si="1"/>
        <v>18</v>
      </c>
      <c r="C487" s="10"/>
      <c r="E487" s="78">
        <f t="shared" si="2"/>
        <v>18</v>
      </c>
      <c r="F487" s="10"/>
      <c r="G487" s="106"/>
      <c r="H487" s="151"/>
      <c r="I487" s="106"/>
      <c r="J487" s="106"/>
      <c r="K487" s="151"/>
    </row>
    <row r="488" spans="1:11">
      <c r="A488" s="78">
        <f t="shared" si="1"/>
        <v>19</v>
      </c>
      <c r="C488" s="10"/>
      <c r="E488" s="78">
        <f t="shared" si="2"/>
        <v>19</v>
      </c>
      <c r="F488" s="10"/>
      <c r="G488" s="106"/>
      <c r="H488" s="151"/>
      <c r="I488" s="106"/>
      <c r="J488" s="106"/>
      <c r="K488" s="151"/>
    </row>
    <row r="489" spans="1:11" s="36" customFormat="1">
      <c r="A489" s="78">
        <f t="shared" si="1"/>
        <v>20</v>
      </c>
      <c r="B489" s="137"/>
      <c r="C489" s="10"/>
      <c r="D489" s="137"/>
      <c r="E489" s="78">
        <f t="shared" si="2"/>
        <v>20</v>
      </c>
      <c r="F489" s="10"/>
      <c r="G489" s="106"/>
      <c r="H489" s="151"/>
      <c r="I489" s="106"/>
      <c r="J489" s="106"/>
      <c r="K489" s="151"/>
    </row>
    <row r="490" spans="1:11" s="36" customFormat="1">
      <c r="A490" s="78">
        <f t="shared" si="1"/>
        <v>21</v>
      </c>
      <c r="B490" s="137"/>
      <c r="C490" s="10"/>
      <c r="D490" s="137"/>
      <c r="E490" s="78">
        <f t="shared" si="2"/>
        <v>21</v>
      </c>
      <c r="F490" s="10"/>
      <c r="G490" s="106"/>
      <c r="H490" s="151"/>
      <c r="I490" s="106"/>
      <c r="J490" s="106"/>
      <c r="K490" s="151"/>
    </row>
    <row r="491" spans="1:11">
      <c r="A491" s="78">
        <f t="shared" si="1"/>
        <v>22</v>
      </c>
      <c r="C491" s="10"/>
      <c r="E491" s="78">
        <f t="shared" si="2"/>
        <v>22</v>
      </c>
      <c r="F491" s="10"/>
      <c r="G491" s="106"/>
      <c r="H491" s="151"/>
      <c r="I491" s="106"/>
      <c r="J491" s="106"/>
      <c r="K491" s="151"/>
    </row>
    <row r="492" spans="1:11">
      <c r="A492" s="78">
        <f t="shared" si="1"/>
        <v>23</v>
      </c>
      <c r="C492" s="10"/>
      <c r="E492" s="78">
        <f t="shared" si="2"/>
        <v>23</v>
      </c>
      <c r="F492" s="10"/>
      <c r="G492" s="106"/>
      <c r="H492" s="151"/>
      <c r="I492" s="106"/>
      <c r="J492" s="106"/>
      <c r="K492" s="151"/>
    </row>
    <row r="493" spans="1:11">
      <c r="A493" s="78">
        <f t="shared" si="1"/>
        <v>24</v>
      </c>
      <c r="C493" s="10"/>
      <c r="E493" s="78">
        <f t="shared" si="2"/>
        <v>24</v>
      </c>
      <c r="F493" s="10"/>
      <c r="G493" s="106"/>
      <c r="H493" s="151"/>
      <c r="I493" s="106"/>
      <c r="J493" s="106"/>
      <c r="K493" s="151"/>
    </row>
    <row r="494" spans="1:11">
      <c r="A494" s="79"/>
      <c r="E494" s="79"/>
      <c r="F494" s="70" t="s">
        <v>6</v>
      </c>
      <c r="G494" s="20" t="s">
        <v>6</v>
      </c>
      <c r="H494" s="21"/>
      <c r="I494" s="70"/>
      <c r="J494" s="20"/>
      <c r="K494" s="21"/>
    </row>
    <row r="495" spans="1:11">
      <c r="A495" s="78">
        <f>(A493+1)</f>
        <v>25</v>
      </c>
      <c r="C495" s="9" t="s">
        <v>162</v>
      </c>
      <c r="E495" s="78">
        <f>(E493+1)</f>
        <v>25</v>
      </c>
      <c r="G495" s="107"/>
      <c r="H495" s="108">
        <f>SUM(H470:H493)</f>
        <v>0</v>
      </c>
      <c r="I495" s="108"/>
      <c r="J495" s="107"/>
      <c r="K495" s="108">
        <f>SUM(K470:K493)</f>
        <v>0</v>
      </c>
    </row>
    <row r="496" spans="1:11">
      <c r="A496" s="78"/>
      <c r="C496" s="9"/>
      <c r="E496" s="78"/>
      <c r="F496" s="70" t="s">
        <v>6</v>
      </c>
      <c r="G496" s="20" t="s">
        <v>6</v>
      </c>
      <c r="H496" s="21"/>
      <c r="I496" s="70"/>
      <c r="J496" s="20"/>
      <c r="K496" s="21"/>
    </row>
    <row r="497" spans="1:11">
      <c r="E497" s="35"/>
    </row>
    <row r="498" spans="1:11">
      <c r="E498" s="35"/>
    </row>
    <row r="500" spans="1:11">
      <c r="E500" s="35"/>
      <c r="G500" s="14"/>
      <c r="H500" s="40"/>
      <c r="J500" s="14"/>
      <c r="K500" s="40"/>
    </row>
    <row r="501" spans="1:11">
      <c r="A501" s="16" t="str">
        <f>$A$83</f>
        <v xml:space="preserve">Institution No.:  </v>
      </c>
      <c r="B501" s="36"/>
      <c r="C501" s="36"/>
      <c r="D501" s="36"/>
      <c r="E501" s="37"/>
      <c r="F501" s="36"/>
      <c r="G501" s="38"/>
      <c r="H501" s="39"/>
      <c r="I501" s="36"/>
      <c r="J501" s="38"/>
      <c r="K501" s="15" t="s">
        <v>163</v>
      </c>
    </row>
    <row r="502" spans="1:11">
      <c r="A502" s="229" t="s">
        <v>164</v>
      </c>
      <c r="B502" s="229"/>
      <c r="C502" s="229"/>
      <c r="D502" s="229"/>
      <c r="E502" s="229"/>
      <c r="F502" s="229"/>
      <c r="G502" s="229"/>
      <c r="H502" s="229"/>
      <c r="I502" s="229"/>
      <c r="J502" s="229"/>
      <c r="K502" s="229"/>
    </row>
    <row r="503" spans="1:11">
      <c r="A503" s="16" t="str">
        <f>$A$42</f>
        <v xml:space="preserve">NAME: </v>
      </c>
      <c r="C503" s="137" t="str">
        <f>$D$20</f>
        <v>University of Colorado</v>
      </c>
      <c r="G503" s="80"/>
      <c r="H503" s="40"/>
      <c r="J503" s="14"/>
      <c r="K503" s="18" t="str">
        <f>$K$3</f>
        <v>Date: October 09, 2017</v>
      </c>
    </row>
    <row r="504" spans="1:11" ht="12.75" customHeight="1">
      <c r="A504" s="19" t="s">
        <v>6</v>
      </c>
      <c r="B504" s="19" t="s">
        <v>6</v>
      </c>
      <c r="C504" s="19" t="s">
        <v>6</v>
      </c>
      <c r="D504" s="19" t="s">
        <v>6</v>
      </c>
      <c r="E504" s="19" t="s">
        <v>6</v>
      </c>
      <c r="F504" s="19" t="s">
        <v>6</v>
      </c>
      <c r="G504" s="20" t="s">
        <v>6</v>
      </c>
      <c r="H504" s="21" t="s">
        <v>6</v>
      </c>
      <c r="I504" s="19" t="s">
        <v>6</v>
      </c>
      <c r="J504" s="20" t="s">
        <v>6</v>
      </c>
      <c r="K504" s="21" t="s">
        <v>6</v>
      </c>
    </row>
    <row r="505" spans="1:11">
      <c r="A505" s="22" t="s">
        <v>7</v>
      </c>
      <c r="E505" s="22" t="s">
        <v>7</v>
      </c>
      <c r="F505" s="23"/>
      <c r="G505" s="24"/>
      <c r="H505" s="25" t="str">
        <f>H467</f>
        <v>2016-17</v>
      </c>
      <c r="I505" s="23"/>
      <c r="J505" s="24"/>
      <c r="K505" s="25" t="str">
        <f>K467</f>
        <v>2017-18</v>
      </c>
    </row>
    <row r="506" spans="1:11">
      <c r="A506" s="22" t="s">
        <v>9</v>
      </c>
      <c r="C506" s="26" t="s">
        <v>51</v>
      </c>
      <c r="E506" s="22" t="s">
        <v>9</v>
      </c>
      <c r="F506" s="23"/>
      <c r="G506" s="24" t="s">
        <v>11</v>
      </c>
      <c r="H506" s="25" t="s">
        <v>12</v>
      </c>
      <c r="I506" s="23"/>
      <c r="J506" s="24" t="s">
        <v>11</v>
      </c>
      <c r="K506" s="25" t="s">
        <v>13</v>
      </c>
    </row>
    <row r="507" spans="1:11">
      <c r="A507" s="19" t="s">
        <v>6</v>
      </c>
      <c r="B507" s="19" t="s">
        <v>6</v>
      </c>
      <c r="C507" s="19" t="s">
        <v>6</v>
      </c>
      <c r="D507" s="19" t="s">
        <v>6</v>
      </c>
      <c r="E507" s="19" t="s">
        <v>6</v>
      </c>
      <c r="F507" s="19" t="s">
        <v>6</v>
      </c>
      <c r="G507" s="20" t="s">
        <v>6</v>
      </c>
      <c r="H507" s="21" t="s">
        <v>6</v>
      </c>
      <c r="I507" s="19" t="s">
        <v>6</v>
      </c>
      <c r="J507" s="20" t="s">
        <v>6</v>
      </c>
      <c r="K507" s="21" t="s">
        <v>6</v>
      </c>
    </row>
    <row r="508" spans="1:11">
      <c r="A508" s="8">
        <v>1</v>
      </c>
      <c r="B508" s="19"/>
      <c r="C508" s="9" t="s">
        <v>165</v>
      </c>
      <c r="D508" s="19"/>
      <c r="E508" s="8">
        <v>1</v>
      </c>
      <c r="F508" s="19"/>
      <c r="G508" s="153">
        <v>0</v>
      </c>
      <c r="H508" s="153">
        <v>0</v>
      </c>
      <c r="I508" s="109"/>
      <c r="J508" s="153">
        <v>0</v>
      </c>
      <c r="K508" s="153">
        <v>0</v>
      </c>
    </row>
    <row r="509" spans="1:11">
      <c r="A509" s="8">
        <v>2</v>
      </c>
      <c r="B509" s="19"/>
      <c r="C509" s="9" t="s">
        <v>166</v>
      </c>
      <c r="D509" s="19"/>
      <c r="E509" s="8">
        <v>2</v>
      </c>
      <c r="F509" s="19"/>
      <c r="G509" s="20"/>
      <c r="H509" s="153">
        <v>0</v>
      </c>
      <c r="I509" s="19"/>
      <c r="J509" s="20"/>
      <c r="K509" s="155">
        <v>0</v>
      </c>
    </row>
    <row r="510" spans="1:11">
      <c r="A510" s="8">
        <v>3</v>
      </c>
      <c r="C510" s="9" t="s">
        <v>167</v>
      </c>
      <c r="E510" s="8">
        <v>3</v>
      </c>
      <c r="F510" s="10"/>
      <c r="G510" s="153">
        <v>0</v>
      </c>
      <c r="H510" s="156">
        <v>0</v>
      </c>
      <c r="I510" s="110"/>
      <c r="J510" s="154">
        <v>0</v>
      </c>
      <c r="K510" s="156">
        <v>0</v>
      </c>
    </row>
    <row r="511" spans="1:11">
      <c r="A511" s="8">
        <v>4</v>
      </c>
      <c r="C511" s="9" t="s">
        <v>168</v>
      </c>
      <c r="E511" s="8">
        <v>4</v>
      </c>
      <c r="F511" s="10"/>
      <c r="G511" s="109"/>
      <c r="H511" s="156">
        <v>0</v>
      </c>
      <c r="I511" s="110"/>
      <c r="J511" s="109"/>
      <c r="K511" s="156">
        <v>0</v>
      </c>
    </row>
    <row r="512" spans="1:11">
      <c r="A512" s="8">
        <v>5</v>
      </c>
      <c r="C512" s="9" t="s">
        <v>169</v>
      </c>
      <c r="E512" s="8">
        <v>5</v>
      </c>
      <c r="F512" s="10"/>
      <c r="G512" s="109">
        <f>G508+G510</f>
        <v>0</v>
      </c>
      <c r="H512" s="109">
        <f>SUM(H508:H511)</f>
        <v>0</v>
      </c>
      <c r="I512" s="110"/>
      <c r="J512" s="109">
        <f>SUM(J508:J511)</f>
        <v>0</v>
      </c>
      <c r="K512" s="109">
        <f>SUM(K508:K511)</f>
        <v>0</v>
      </c>
    </row>
    <row r="513" spans="1:11">
      <c r="A513" s="8">
        <v>6</v>
      </c>
      <c r="C513" s="9" t="s">
        <v>170</v>
      </c>
      <c r="E513" s="8">
        <v>6</v>
      </c>
      <c r="F513" s="10"/>
      <c r="G513" s="153">
        <v>0</v>
      </c>
      <c r="H513" s="156">
        <v>0</v>
      </c>
      <c r="I513" s="110"/>
      <c r="J513" s="109"/>
      <c r="K513" s="110"/>
    </row>
    <row r="514" spans="1:11">
      <c r="A514" s="8">
        <v>7</v>
      </c>
      <c r="C514" s="9" t="s">
        <v>171</v>
      </c>
      <c r="E514" s="8">
        <v>7</v>
      </c>
      <c r="F514" s="10"/>
      <c r="G514" s="109"/>
      <c r="H514" s="156"/>
      <c r="I514" s="110"/>
      <c r="J514" s="109"/>
      <c r="K514" s="110"/>
    </row>
    <row r="515" spans="1:11" ht="12" customHeight="1">
      <c r="A515" s="8">
        <v>8</v>
      </c>
      <c r="C515" s="9" t="s">
        <v>172</v>
      </c>
      <c r="E515" s="8">
        <v>8</v>
      </c>
      <c r="F515" s="10"/>
      <c r="G515" s="109">
        <f>G512+G513+G514</f>
        <v>0</v>
      </c>
      <c r="H515" s="109">
        <f>H512+H513+H514</f>
        <v>0</v>
      </c>
      <c r="I515" s="109"/>
      <c r="J515" s="109">
        <f>J512+J513+J514</f>
        <v>0</v>
      </c>
      <c r="K515" s="109">
        <f>K512+K513+K514</f>
        <v>0</v>
      </c>
    </row>
    <row r="516" spans="1:11" s="82" customFormat="1" ht="12" customHeight="1">
      <c r="A516" s="8">
        <v>9</v>
      </c>
      <c r="B516" s="137"/>
      <c r="C516" s="137"/>
      <c r="D516" s="137"/>
      <c r="E516" s="8">
        <v>9</v>
      </c>
      <c r="F516" s="10"/>
      <c r="G516" s="109"/>
      <c r="H516" s="110"/>
      <c r="I516" s="108"/>
      <c r="J516" s="109"/>
      <c r="K516" s="110"/>
    </row>
    <row r="517" spans="1:11">
      <c r="A517" s="8">
        <v>10</v>
      </c>
      <c r="C517" s="9" t="s">
        <v>173</v>
      </c>
      <c r="E517" s="8">
        <v>10</v>
      </c>
      <c r="F517" s="10"/>
      <c r="G517" s="153">
        <v>0</v>
      </c>
      <c r="H517" s="156">
        <v>0</v>
      </c>
      <c r="I517" s="110"/>
      <c r="J517" s="153">
        <v>0</v>
      </c>
      <c r="K517" s="156">
        <v>0</v>
      </c>
    </row>
    <row r="518" spans="1:11">
      <c r="A518" s="8">
        <v>11</v>
      </c>
      <c r="C518" s="9" t="s">
        <v>174</v>
      </c>
      <c r="E518" s="8">
        <v>11</v>
      </c>
      <c r="F518" s="10"/>
      <c r="G518" s="153">
        <v>0</v>
      </c>
      <c r="H518" s="156">
        <v>0</v>
      </c>
      <c r="I518" s="110"/>
      <c r="J518" s="153">
        <v>0</v>
      </c>
      <c r="K518" s="156">
        <v>0</v>
      </c>
    </row>
    <row r="519" spans="1:11">
      <c r="A519" s="8">
        <v>12</v>
      </c>
      <c r="C519" s="9" t="s">
        <v>175</v>
      </c>
      <c r="E519" s="8">
        <v>12</v>
      </c>
      <c r="F519" s="10"/>
      <c r="G519" s="109"/>
      <c r="H519" s="156">
        <v>0</v>
      </c>
      <c r="I519" s="110"/>
      <c r="J519" s="109"/>
      <c r="K519" s="156">
        <v>0</v>
      </c>
    </row>
    <row r="520" spans="1:11">
      <c r="A520" s="8">
        <v>13</v>
      </c>
      <c r="C520" s="9" t="s">
        <v>176</v>
      </c>
      <c r="E520" s="8">
        <v>13</v>
      </c>
      <c r="F520" s="10"/>
      <c r="G520" s="109">
        <f>SUM(G517:G519)</f>
        <v>0</v>
      </c>
      <c r="H520" s="110">
        <f>SUM(H517:H519)</f>
        <v>0</v>
      </c>
      <c r="I520" s="107"/>
      <c r="J520" s="109">
        <f>SUM(J517:J519)</f>
        <v>0</v>
      </c>
      <c r="K520" s="110">
        <f>SUM(K517:K519)</f>
        <v>0</v>
      </c>
    </row>
    <row r="521" spans="1:11">
      <c r="A521" s="8">
        <v>14</v>
      </c>
      <c r="E521" s="8">
        <v>14</v>
      </c>
      <c r="F521" s="10"/>
      <c r="G521" s="111"/>
      <c r="H521" s="110"/>
      <c r="I521" s="108"/>
      <c r="J521" s="111"/>
      <c r="K521" s="110"/>
    </row>
    <row r="522" spans="1:11">
      <c r="A522" s="8">
        <v>15</v>
      </c>
      <c r="C522" s="9" t="s">
        <v>177</v>
      </c>
      <c r="E522" s="8">
        <v>15</v>
      </c>
      <c r="G522" s="112">
        <f>SUM(G515+G520)</f>
        <v>0</v>
      </c>
      <c r="H522" s="108">
        <f>SUM(H515+H520)</f>
        <v>0</v>
      </c>
      <c r="I522" s="108"/>
      <c r="J522" s="112">
        <f>SUM(J515+J520)</f>
        <v>0</v>
      </c>
      <c r="K522" s="108">
        <f>SUM(K515+K520)</f>
        <v>0</v>
      </c>
    </row>
    <row r="523" spans="1:11">
      <c r="A523" s="8">
        <v>16</v>
      </c>
      <c r="E523" s="8">
        <v>16</v>
      </c>
      <c r="G523" s="112"/>
      <c r="H523" s="108"/>
      <c r="I523" s="108"/>
      <c r="J523" s="112"/>
      <c r="K523" s="108"/>
    </row>
    <row r="524" spans="1:11">
      <c r="A524" s="8">
        <v>17</v>
      </c>
      <c r="C524" s="9" t="s">
        <v>178</v>
      </c>
      <c r="E524" s="8">
        <v>17</v>
      </c>
      <c r="F524" s="10"/>
      <c r="G524" s="109"/>
      <c r="H524" s="156">
        <v>0</v>
      </c>
      <c r="I524" s="110"/>
      <c r="J524" s="109"/>
      <c r="K524" s="156">
        <v>0</v>
      </c>
    </row>
    <row r="525" spans="1:11">
      <c r="A525" s="8">
        <v>18</v>
      </c>
      <c r="E525" s="8">
        <v>18</v>
      </c>
      <c r="F525" s="10"/>
      <c r="G525" s="109"/>
      <c r="H525" s="110"/>
      <c r="I525" s="110"/>
      <c r="J525" s="109"/>
      <c r="K525" s="110"/>
    </row>
    <row r="526" spans="1:11" s="36" customFormat="1">
      <c r="A526" s="8">
        <v>19</v>
      </c>
      <c r="B526" s="137"/>
      <c r="C526" s="9" t="s">
        <v>179</v>
      </c>
      <c r="D526" s="137"/>
      <c r="E526" s="8">
        <v>19</v>
      </c>
      <c r="F526" s="10"/>
      <c r="G526" s="109"/>
      <c r="H526" s="156">
        <v>0</v>
      </c>
      <c r="I526" s="110"/>
      <c r="J526" s="109"/>
      <c r="K526" s="156"/>
    </row>
    <row r="527" spans="1:11" s="36" customFormat="1">
      <c r="A527" s="8">
        <v>20</v>
      </c>
      <c r="B527" s="137"/>
      <c r="C527" s="81" t="s">
        <v>180</v>
      </c>
      <c r="D527" s="137"/>
      <c r="E527" s="8">
        <v>20</v>
      </c>
      <c r="F527" s="10"/>
      <c r="G527" s="109"/>
      <c r="H527" s="156">
        <v>0</v>
      </c>
      <c r="I527" s="110"/>
      <c r="J527" s="109"/>
      <c r="K527" s="156">
        <v>0</v>
      </c>
    </row>
    <row r="528" spans="1:11">
      <c r="A528" s="8">
        <v>21</v>
      </c>
      <c r="C528" s="81"/>
      <c r="E528" s="8">
        <v>21</v>
      </c>
      <c r="F528" s="10"/>
      <c r="G528" s="109"/>
      <c r="H528" s="110"/>
      <c r="I528" s="110"/>
      <c r="J528" s="109"/>
      <c r="K528" s="110"/>
    </row>
    <row r="529" spans="1:13">
      <c r="A529" s="8">
        <v>22</v>
      </c>
      <c r="C529" s="9"/>
      <c r="E529" s="8">
        <v>22</v>
      </c>
      <c r="G529" s="109"/>
      <c r="H529" s="110"/>
      <c r="I529" s="110"/>
      <c r="J529" s="109"/>
      <c r="K529" s="110"/>
    </row>
    <row r="530" spans="1:13">
      <c r="A530" s="8">
        <v>23</v>
      </c>
      <c r="C530" s="9" t="s">
        <v>181</v>
      </c>
      <c r="E530" s="8">
        <v>23</v>
      </c>
      <c r="G530" s="109"/>
      <c r="H530" s="156">
        <v>0</v>
      </c>
      <c r="I530" s="110"/>
      <c r="J530" s="109"/>
      <c r="K530" s="156">
        <v>0</v>
      </c>
    </row>
    <row r="531" spans="1:13">
      <c r="A531" s="8">
        <v>24</v>
      </c>
      <c r="C531" s="9"/>
      <c r="E531" s="8">
        <v>24</v>
      </c>
      <c r="G531" s="109"/>
      <c r="H531" s="110"/>
      <c r="I531" s="110"/>
      <c r="J531" s="109"/>
      <c r="K531" s="110"/>
    </row>
    <row r="532" spans="1:13">
      <c r="A532" s="8"/>
      <c r="E532" s="8"/>
      <c r="F532" s="70" t="s">
        <v>6</v>
      </c>
      <c r="G532" s="83"/>
      <c r="H532" s="21"/>
      <c r="I532" s="70"/>
      <c r="J532" s="83"/>
      <c r="K532" s="21"/>
    </row>
    <row r="533" spans="1:13">
      <c r="A533" s="8">
        <v>25</v>
      </c>
      <c r="C533" s="9" t="s">
        <v>182</v>
      </c>
      <c r="E533" s="8">
        <v>25</v>
      </c>
      <c r="G533" s="108">
        <f>SUM(G522:G531)</f>
        <v>0</v>
      </c>
      <c r="H533" s="108">
        <f>SUM(H522:H531)</f>
        <v>0</v>
      </c>
      <c r="I533" s="113"/>
      <c r="J533" s="108">
        <f>SUM(J522:J531)</f>
        <v>0</v>
      </c>
      <c r="K533" s="108">
        <f>SUM(K522:K531)</f>
        <v>0</v>
      </c>
    </row>
    <row r="534" spans="1:13">
      <c r="F534" s="70" t="s">
        <v>6</v>
      </c>
      <c r="G534" s="20"/>
      <c r="H534" s="21"/>
      <c r="I534" s="70"/>
      <c r="J534" s="20"/>
      <c r="K534" s="21"/>
    </row>
    <row r="535" spans="1:13">
      <c r="F535" s="70"/>
      <c r="G535" s="20"/>
      <c r="H535" s="21"/>
      <c r="I535" s="70"/>
      <c r="J535" s="20"/>
      <c r="K535" s="21"/>
    </row>
    <row r="536" spans="1:13" ht="15.75">
      <c r="C536" s="84"/>
      <c r="D536" s="84"/>
      <c r="E536" s="84"/>
      <c r="F536" s="70"/>
      <c r="G536" s="20"/>
      <c r="H536" s="21"/>
      <c r="I536" s="70"/>
      <c r="J536" s="20"/>
      <c r="K536" s="21"/>
    </row>
    <row r="537" spans="1:13">
      <c r="C537" s="137" t="s">
        <v>49</v>
      </c>
      <c r="F537" s="70"/>
      <c r="G537" s="20"/>
      <c r="H537" s="21"/>
      <c r="I537" s="70"/>
      <c r="J537" s="20"/>
      <c r="K537" s="21"/>
    </row>
    <row r="538" spans="1:13">
      <c r="A538" s="9"/>
    </row>
    <row r="539" spans="1:13">
      <c r="E539" s="35"/>
      <c r="G539" s="14"/>
      <c r="H539" s="40"/>
      <c r="J539" s="14"/>
      <c r="K539" s="40"/>
    </row>
    <row r="540" spans="1:13">
      <c r="A540" s="16" t="str">
        <f>$A$83</f>
        <v xml:space="preserve">Institution No.:  </v>
      </c>
      <c r="B540" s="36"/>
      <c r="C540" s="36"/>
      <c r="D540" s="36"/>
      <c r="E540" s="37"/>
      <c r="F540" s="36"/>
      <c r="G540" s="38"/>
      <c r="H540" s="39"/>
      <c r="I540" s="36"/>
      <c r="J540" s="38"/>
      <c r="K540" s="15" t="s">
        <v>183</v>
      </c>
    </row>
    <row r="541" spans="1:13">
      <c r="A541" s="229" t="s">
        <v>184</v>
      </c>
      <c r="B541" s="229"/>
      <c r="C541" s="229"/>
      <c r="D541" s="229"/>
      <c r="E541" s="229"/>
      <c r="F541" s="229"/>
      <c r="G541" s="229"/>
      <c r="H541" s="229"/>
      <c r="I541" s="229"/>
      <c r="J541" s="229"/>
      <c r="K541" s="229"/>
      <c r="M541" s="137" t="s">
        <v>38</v>
      </c>
    </row>
    <row r="542" spans="1:13">
      <c r="A542" s="16" t="str">
        <f>$A$42</f>
        <v xml:space="preserve">NAME: </v>
      </c>
      <c r="C542" s="137" t="str">
        <f>$D$20</f>
        <v>University of Colorado</v>
      </c>
      <c r="G542" s="80"/>
      <c r="H542" s="40"/>
      <c r="J542" s="14"/>
      <c r="K542" s="18" t="str">
        <f>$K$3</f>
        <v>Date: October 09, 2017</v>
      </c>
    </row>
    <row r="543" spans="1:13">
      <c r="A543" s="19" t="s">
        <v>6</v>
      </c>
      <c r="B543" s="19" t="s">
        <v>6</v>
      </c>
      <c r="C543" s="19" t="s">
        <v>6</v>
      </c>
      <c r="D543" s="19" t="s">
        <v>6</v>
      </c>
      <c r="E543" s="19" t="s">
        <v>6</v>
      </c>
      <c r="F543" s="19" t="s">
        <v>6</v>
      </c>
      <c r="G543" s="20" t="s">
        <v>6</v>
      </c>
      <c r="H543" s="21" t="s">
        <v>6</v>
      </c>
      <c r="I543" s="19" t="s">
        <v>6</v>
      </c>
      <c r="J543" s="20" t="s">
        <v>6</v>
      </c>
      <c r="K543" s="21" t="s">
        <v>6</v>
      </c>
    </row>
    <row r="544" spans="1:13">
      <c r="A544" s="22" t="s">
        <v>7</v>
      </c>
      <c r="E544" s="22" t="s">
        <v>7</v>
      </c>
      <c r="F544" s="23"/>
      <c r="G544" s="24"/>
      <c r="H544" s="25" t="str">
        <f>H505</f>
        <v>2016-17</v>
      </c>
      <c r="I544" s="23"/>
      <c r="J544" s="24"/>
      <c r="K544" s="25" t="str">
        <f>K505</f>
        <v>2017-18</v>
      </c>
    </row>
    <row r="545" spans="1:11">
      <c r="A545" s="22" t="s">
        <v>9</v>
      </c>
      <c r="C545" s="26" t="s">
        <v>51</v>
      </c>
      <c r="E545" s="22" t="s">
        <v>9</v>
      </c>
      <c r="F545" s="23"/>
      <c r="G545" s="24" t="s">
        <v>11</v>
      </c>
      <c r="H545" s="25" t="s">
        <v>12</v>
      </c>
      <c r="I545" s="23"/>
      <c r="J545" s="24" t="s">
        <v>11</v>
      </c>
      <c r="K545" s="25" t="s">
        <v>13</v>
      </c>
    </row>
    <row r="546" spans="1:11">
      <c r="A546" s="19" t="s">
        <v>6</v>
      </c>
      <c r="B546" s="19" t="s">
        <v>6</v>
      </c>
      <c r="C546" s="19" t="s">
        <v>6</v>
      </c>
      <c r="D546" s="19" t="s">
        <v>6</v>
      </c>
      <c r="E546" s="19" t="s">
        <v>6</v>
      </c>
      <c r="F546" s="19" t="s">
        <v>6</v>
      </c>
      <c r="G546" s="20" t="s">
        <v>6</v>
      </c>
      <c r="H546" s="21" t="s">
        <v>6</v>
      </c>
      <c r="I546" s="19" t="s">
        <v>6</v>
      </c>
      <c r="J546" s="20" t="s">
        <v>6</v>
      </c>
      <c r="K546" s="21" t="s">
        <v>6</v>
      </c>
    </row>
    <row r="547" spans="1:11">
      <c r="A547" s="8">
        <v>1</v>
      </c>
      <c r="B547" s="19"/>
      <c r="C547" s="9" t="s">
        <v>165</v>
      </c>
      <c r="D547" s="19"/>
      <c r="E547" s="8">
        <v>1</v>
      </c>
      <c r="F547" s="19"/>
      <c r="G547" s="153">
        <v>0</v>
      </c>
      <c r="H547" s="153">
        <v>0</v>
      </c>
      <c r="I547" s="19"/>
      <c r="J547" s="153">
        <v>0</v>
      </c>
      <c r="K547" s="155">
        <v>0</v>
      </c>
    </row>
    <row r="548" spans="1:11">
      <c r="A548" s="8">
        <v>2</v>
      </c>
      <c r="B548" s="19"/>
      <c r="C548" s="9" t="s">
        <v>166</v>
      </c>
      <c r="D548" s="19"/>
      <c r="E548" s="8">
        <v>2</v>
      </c>
      <c r="F548" s="19"/>
      <c r="G548" s="109"/>
      <c r="H548" s="153">
        <v>0</v>
      </c>
      <c r="I548" s="109"/>
      <c r="J548" s="109"/>
      <c r="K548" s="155">
        <v>0</v>
      </c>
    </row>
    <row r="549" spans="1:11">
      <c r="A549" s="8">
        <v>3</v>
      </c>
      <c r="C549" s="9" t="s">
        <v>167</v>
      </c>
      <c r="E549" s="8">
        <v>3</v>
      </c>
      <c r="F549" s="10"/>
      <c r="G549" s="153"/>
      <c r="H549" s="156">
        <v>0</v>
      </c>
      <c r="I549" s="110"/>
      <c r="J549" s="153">
        <v>0</v>
      </c>
      <c r="K549" s="156"/>
    </row>
    <row r="550" spans="1:11">
      <c r="A550" s="8">
        <v>4</v>
      </c>
      <c r="C550" s="9" t="s">
        <v>168</v>
      </c>
      <c r="E550" s="8">
        <v>4</v>
      </c>
      <c r="F550" s="10"/>
      <c r="G550" s="109"/>
      <c r="H550" s="156">
        <v>0</v>
      </c>
      <c r="I550" s="110"/>
      <c r="J550" s="109"/>
      <c r="K550" s="156"/>
    </row>
    <row r="551" spans="1:11">
      <c r="A551" s="8">
        <v>5</v>
      </c>
      <c r="C551" s="9" t="s">
        <v>169</v>
      </c>
      <c r="E551" s="8">
        <v>5</v>
      </c>
      <c r="F551" s="10"/>
      <c r="G551" s="109">
        <f>SUM(G547:G550)</f>
        <v>0</v>
      </c>
      <c r="H551" s="109">
        <f>SUM(H547:H550)</f>
        <v>0</v>
      </c>
      <c r="I551" s="110"/>
      <c r="J551" s="109">
        <f>SUM(J547:J550)</f>
        <v>0</v>
      </c>
      <c r="K551" s="109">
        <f>SUM(K547:K550)</f>
        <v>0</v>
      </c>
    </row>
    <row r="552" spans="1:11">
      <c r="A552" s="8">
        <v>6</v>
      </c>
      <c r="C552" s="9" t="s">
        <v>170</v>
      </c>
      <c r="E552" s="8">
        <v>6</v>
      </c>
      <c r="F552" s="10"/>
      <c r="G552" s="109"/>
      <c r="H552" s="110"/>
      <c r="I552" s="110"/>
      <c r="J552" s="109"/>
      <c r="K552" s="110"/>
    </row>
    <row r="553" spans="1:11">
      <c r="A553" s="8">
        <v>7</v>
      </c>
      <c r="C553" s="9" t="s">
        <v>171</v>
      </c>
      <c r="E553" s="8">
        <v>7</v>
      </c>
      <c r="F553" s="10"/>
      <c r="G553" s="109"/>
      <c r="H553" s="110"/>
      <c r="I553" s="110"/>
      <c r="J553" s="109"/>
      <c r="K553" s="110"/>
    </row>
    <row r="554" spans="1:11">
      <c r="A554" s="8">
        <v>8</v>
      </c>
      <c r="C554" s="9" t="s">
        <v>185</v>
      </c>
      <c r="E554" s="8">
        <v>8</v>
      </c>
      <c r="F554" s="10"/>
      <c r="G554" s="109">
        <f>G551+G552+G553</f>
        <v>0</v>
      </c>
      <c r="H554" s="109">
        <f>H551+H552+H553</f>
        <v>0</v>
      </c>
      <c r="I554" s="109"/>
      <c r="J554" s="109">
        <f>J551+J552+J553</f>
        <v>0</v>
      </c>
      <c r="K554" s="109">
        <f>K551+K552+K553</f>
        <v>0</v>
      </c>
    </row>
    <row r="555" spans="1:11">
      <c r="A555" s="8">
        <v>9</v>
      </c>
      <c r="E555" s="8">
        <v>9</v>
      </c>
      <c r="F555" s="10"/>
      <c r="G555" s="109"/>
      <c r="H555" s="110"/>
      <c r="I555" s="108"/>
      <c r="J555" s="109"/>
      <c r="K555" s="110"/>
    </row>
    <row r="556" spans="1:11">
      <c r="A556" s="8">
        <v>10</v>
      </c>
      <c r="C556" s="9" t="s">
        <v>173</v>
      </c>
      <c r="E556" s="8">
        <v>10</v>
      </c>
      <c r="F556" s="10"/>
      <c r="G556" s="153">
        <v>0</v>
      </c>
      <c r="H556" s="156">
        <v>0</v>
      </c>
      <c r="I556" s="110"/>
      <c r="J556" s="153">
        <v>0</v>
      </c>
      <c r="K556" s="156">
        <v>0</v>
      </c>
    </row>
    <row r="557" spans="1:11">
      <c r="A557" s="8">
        <v>11</v>
      </c>
      <c r="C557" s="9" t="s">
        <v>174</v>
      </c>
      <c r="E557" s="8">
        <v>11</v>
      </c>
      <c r="F557" s="10"/>
      <c r="G557" s="153">
        <v>0</v>
      </c>
      <c r="H557" s="156">
        <v>0</v>
      </c>
      <c r="I557" s="110"/>
      <c r="J557" s="153">
        <v>0</v>
      </c>
      <c r="K557" s="156"/>
    </row>
    <row r="558" spans="1:11">
      <c r="A558" s="8">
        <v>12</v>
      </c>
      <c r="C558" s="9" t="s">
        <v>175</v>
      </c>
      <c r="E558" s="8">
        <v>12</v>
      </c>
      <c r="F558" s="10"/>
      <c r="G558" s="109"/>
      <c r="H558" s="156">
        <v>0</v>
      </c>
      <c r="I558" s="110"/>
      <c r="J558" s="109"/>
      <c r="K558" s="156"/>
    </row>
    <row r="559" spans="1:11">
      <c r="A559" s="8">
        <v>13</v>
      </c>
      <c r="C559" s="9" t="s">
        <v>186</v>
      </c>
      <c r="E559" s="8">
        <v>13</v>
      </c>
      <c r="F559" s="10"/>
      <c r="G559" s="109">
        <f>SUM(G556:G558)</f>
        <v>0</v>
      </c>
      <c r="H559" s="110">
        <f>SUM(H556:H558)</f>
        <v>0</v>
      </c>
      <c r="I559" s="107"/>
      <c r="J559" s="109">
        <f>SUM(J556:J558)</f>
        <v>0</v>
      </c>
      <c r="K559" s="110">
        <f>SUM(K556:K558)</f>
        <v>0</v>
      </c>
    </row>
    <row r="560" spans="1:11">
      <c r="A560" s="8">
        <v>14</v>
      </c>
      <c r="E560" s="8">
        <v>14</v>
      </c>
      <c r="F560" s="10"/>
      <c r="G560" s="111"/>
      <c r="H560" s="110"/>
      <c r="I560" s="108"/>
      <c r="J560" s="111"/>
      <c r="K560" s="110"/>
    </row>
    <row r="561" spans="1:11">
      <c r="A561" s="8">
        <v>15</v>
      </c>
      <c r="C561" s="9" t="s">
        <v>177</v>
      </c>
      <c r="E561" s="8">
        <v>15</v>
      </c>
      <c r="G561" s="112">
        <f>SUM(G554+G559)</f>
        <v>0</v>
      </c>
      <c r="H561" s="108">
        <f>SUM(H554+H559)</f>
        <v>0</v>
      </c>
      <c r="I561" s="108"/>
      <c r="J561" s="112">
        <f>SUM(J554+J559)</f>
        <v>0</v>
      </c>
      <c r="K561" s="108">
        <f>SUM(K554+K559)</f>
        <v>0</v>
      </c>
    </row>
    <row r="562" spans="1:11">
      <c r="A562" s="8">
        <v>16</v>
      </c>
      <c r="E562" s="8">
        <v>16</v>
      </c>
      <c r="G562" s="112"/>
      <c r="H562" s="108"/>
      <c r="I562" s="108"/>
      <c r="J562" s="112"/>
      <c r="K562" s="108"/>
    </row>
    <row r="563" spans="1:11" s="36" customFormat="1">
      <c r="A563" s="8">
        <v>17</v>
      </c>
      <c r="B563" s="137"/>
      <c r="C563" s="9" t="s">
        <v>178</v>
      </c>
      <c r="D563" s="137"/>
      <c r="E563" s="8">
        <v>17</v>
      </c>
      <c r="F563" s="10"/>
      <c r="G563" s="109"/>
      <c r="H563" s="156">
        <v>0</v>
      </c>
      <c r="I563" s="110"/>
      <c r="J563" s="109"/>
      <c r="K563" s="156"/>
    </row>
    <row r="564" spans="1:11" s="36" customFormat="1">
      <c r="A564" s="8">
        <v>18</v>
      </c>
      <c r="B564" s="137"/>
      <c r="C564" s="137"/>
      <c r="D564" s="137"/>
      <c r="E564" s="8">
        <v>18</v>
      </c>
      <c r="F564" s="10"/>
      <c r="G564" s="109"/>
      <c r="H564" s="110"/>
      <c r="I564" s="110"/>
      <c r="J564" s="109"/>
      <c r="K564" s="110"/>
    </row>
    <row r="565" spans="1:11">
      <c r="A565" s="8">
        <v>19</v>
      </c>
      <c r="C565" s="9" t="s">
        <v>179</v>
      </c>
      <c r="E565" s="8">
        <v>19</v>
      </c>
      <c r="F565" s="10"/>
      <c r="G565" s="109"/>
      <c r="H565" s="156">
        <v>0</v>
      </c>
      <c r="I565" s="110"/>
      <c r="J565" s="109"/>
      <c r="K565" s="156"/>
    </row>
    <row r="566" spans="1:11">
      <c r="A566" s="8">
        <v>20</v>
      </c>
      <c r="C566" s="81" t="s">
        <v>180</v>
      </c>
      <c r="E566" s="8">
        <v>20</v>
      </c>
      <c r="F566" s="10"/>
      <c r="G566" s="109"/>
      <c r="H566" s="156">
        <v>0</v>
      </c>
      <c r="I566" s="110"/>
      <c r="J566" s="109"/>
      <c r="K566" s="156">
        <v>0</v>
      </c>
    </row>
    <row r="567" spans="1:11">
      <c r="A567" s="8">
        <v>21</v>
      </c>
      <c r="C567" s="81"/>
      <c r="E567" s="8">
        <v>21</v>
      </c>
      <c r="F567" s="10"/>
      <c r="G567" s="109"/>
      <c r="H567" s="110"/>
      <c r="I567" s="110"/>
      <c r="J567" s="109"/>
      <c r="K567" s="110"/>
    </row>
    <row r="568" spans="1:11">
      <c r="A568" s="8">
        <v>22</v>
      </c>
      <c r="C568" s="9"/>
      <c r="E568" s="8">
        <v>22</v>
      </c>
      <c r="G568" s="109"/>
      <c r="H568" s="110"/>
      <c r="I568" s="110"/>
      <c r="J568" s="109"/>
      <c r="K568" s="110"/>
    </row>
    <row r="569" spans="1:11">
      <c r="A569" s="8">
        <v>23</v>
      </c>
      <c r="C569" s="9" t="s">
        <v>181</v>
      </c>
      <c r="E569" s="8">
        <v>23</v>
      </c>
      <c r="G569" s="109"/>
      <c r="H569" s="156">
        <v>0</v>
      </c>
      <c r="I569" s="110"/>
      <c r="J569" s="109"/>
      <c r="K569" s="156">
        <v>0</v>
      </c>
    </row>
    <row r="570" spans="1:11">
      <c r="A570" s="8">
        <v>24</v>
      </c>
      <c r="C570" s="9"/>
      <c r="E570" s="8">
        <v>24</v>
      </c>
      <c r="G570" s="109"/>
      <c r="H570" s="110"/>
      <c r="I570" s="110"/>
      <c r="J570" s="109"/>
      <c r="K570" s="110"/>
    </row>
    <row r="571" spans="1:11">
      <c r="A571" s="8"/>
      <c r="E571" s="8"/>
      <c r="F571" s="70" t="s">
        <v>6</v>
      </c>
      <c r="G571" s="83"/>
      <c r="H571" s="21"/>
      <c r="I571" s="70"/>
      <c r="J571" s="83"/>
      <c r="K571" s="21"/>
    </row>
    <row r="572" spans="1:11">
      <c r="A572" s="8">
        <v>25</v>
      </c>
      <c r="C572" s="9" t="s">
        <v>187</v>
      </c>
      <c r="E572" s="8">
        <v>25</v>
      </c>
      <c r="G572" s="108">
        <f>SUM(G561:G570)</f>
        <v>0</v>
      </c>
      <c r="H572" s="108">
        <f>SUM(H561:H570)</f>
        <v>0</v>
      </c>
      <c r="I572" s="113"/>
      <c r="J572" s="108">
        <f>SUM(J561:J570)</f>
        <v>0</v>
      </c>
      <c r="K572" s="108">
        <f>SUM(K561:K570)</f>
        <v>0</v>
      </c>
    </row>
    <row r="573" spans="1:11">
      <c r="F573" s="70" t="s">
        <v>6</v>
      </c>
      <c r="G573" s="20"/>
      <c r="H573" s="21"/>
      <c r="I573" s="70"/>
      <c r="J573" s="20"/>
      <c r="K573" s="21"/>
    </row>
    <row r="574" spans="1:11">
      <c r="C574" s="137" t="s">
        <v>49</v>
      </c>
      <c r="F574" s="70"/>
      <c r="G574" s="20"/>
      <c r="H574" s="21"/>
      <c r="I574" s="70"/>
      <c r="J574" s="20"/>
      <c r="K574" s="21"/>
    </row>
    <row r="575" spans="1:11">
      <c r="A575" s="9"/>
    </row>
    <row r="576" spans="1:11">
      <c r="H576" s="40"/>
      <c r="K576" s="40"/>
    </row>
    <row r="577" spans="1:11">
      <c r="A577" s="16" t="str">
        <f>$A$83</f>
        <v xml:space="preserve">Institution No.:  </v>
      </c>
      <c r="B577" s="36"/>
      <c r="C577" s="36"/>
      <c r="D577" s="36"/>
      <c r="E577" s="37"/>
      <c r="F577" s="36"/>
      <c r="G577" s="38"/>
      <c r="H577" s="39"/>
      <c r="I577" s="36"/>
      <c r="J577" s="38"/>
      <c r="K577" s="15" t="s">
        <v>188</v>
      </c>
    </row>
    <row r="578" spans="1:11">
      <c r="A578" s="229" t="s">
        <v>189</v>
      </c>
      <c r="B578" s="229"/>
      <c r="C578" s="229"/>
      <c r="D578" s="229"/>
      <c r="E578" s="229"/>
      <c r="F578" s="229"/>
      <c r="G578" s="229"/>
      <c r="H578" s="229"/>
      <c r="I578" s="229"/>
      <c r="J578" s="229"/>
      <c r="K578" s="229"/>
    </row>
    <row r="579" spans="1:11">
      <c r="A579" s="16" t="str">
        <f>$A$42</f>
        <v xml:space="preserve">NAME: </v>
      </c>
      <c r="C579" s="137" t="str">
        <f>$D$20</f>
        <v>University of Colorado</v>
      </c>
      <c r="G579" s="80"/>
      <c r="H579" s="67"/>
      <c r="J579" s="14"/>
      <c r="K579" s="18" t="str">
        <f>$K$3</f>
        <v>Date: October 09, 2017</v>
      </c>
    </row>
    <row r="580" spans="1:11">
      <c r="A580" s="19" t="s">
        <v>6</v>
      </c>
      <c r="B580" s="19" t="s">
        <v>6</v>
      </c>
      <c r="C580" s="19" t="s">
        <v>6</v>
      </c>
      <c r="D580" s="19" t="s">
        <v>6</v>
      </c>
      <c r="E580" s="19" t="s">
        <v>6</v>
      </c>
      <c r="F580" s="19" t="s">
        <v>6</v>
      </c>
      <c r="G580" s="20" t="s">
        <v>6</v>
      </c>
      <c r="H580" s="21" t="s">
        <v>6</v>
      </c>
      <c r="I580" s="19" t="s">
        <v>6</v>
      </c>
      <c r="J580" s="20" t="s">
        <v>6</v>
      </c>
      <c r="K580" s="21" t="s">
        <v>6</v>
      </c>
    </row>
    <row r="581" spans="1:11">
      <c r="A581" s="22" t="s">
        <v>7</v>
      </c>
      <c r="E581" s="22" t="s">
        <v>7</v>
      </c>
      <c r="F581" s="23"/>
      <c r="G581" s="24"/>
      <c r="H581" s="25" t="str">
        <f>H544</f>
        <v>2016-17</v>
      </c>
      <c r="I581" s="23"/>
      <c r="J581" s="24"/>
      <c r="K581" s="25" t="str">
        <f>K544</f>
        <v>2017-18</v>
      </c>
    </row>
    <row r="582" spans="1:11">
      <c r="A582" s="22" t="s">
        <v>9</v>
      </c>
      <c r="C582" s="26" t="s">
        <v>51</v>
      </c>
      <c r="E582" s="22" t="s">
        <v>9</v>
      </c>
      <c r="F582" s="23"/>
      <c r="G582" s="24" t="s">
        <v>11</v>
      </c>
      <c r="H582" s="25" t="s">
        <v>12</v>
      </c>
      <c r="I582" s="23"/>
      <c r="J582" s="24" t="s">
        <v>11</v>
      </c>
      <c r="K582" s="25" t="s">
        <v>13</v>
      </c>
    </row>
    <row r="583" spans="1:11">
      <c r="A583" s="19" t="s">
        <v>6</v>
      </c>
      <c r="B583" s="19" t="s">
        <v>6</v>
      </c>
      <c r="C583" s="19" t="s">
        <v>6</v>
      </c>
      <c r="D583" s="19" t="s">
        <v>6</v>
      </c>
      <c r="E583" s="19" t="s">
        <v>6</v>
      </c>
      <c r="F583" s="19" t="s">
        <v>6</v>
      </c>
      <c r="G583" s="20" t="s">
        <v>6</v>
      </c>
      <c r="H583" s="21" t="s">
        <v>6</v>
      </c>
      <c r="I583" s="19" t="s">
        <v>6</v>
      </c>
      <c r="J583" s="20" t="s">
        <v>6</v>
      </c>
      <c r="K583" s="21" t="s">
        <v>6</v>
      </c>
    </row>
    <row r="584" spans="1:11">
      <c r="A584" s="117">
        <v>1</v>
      </c>
      <c r="B584" s="118"/>
      <c r="C584" s="118" t="s">
        <v>227</v>
      </c>
      <c r="D584" s="118"/>
      <c r="E584" s="117">
        <v>1</v>
      </c>
      <c r="F584" s="119"/>
      <c r="G584" s="120"/>
      <c r="H584" s="121"/>
      <c r="I584" s="122"/>
      <c r="J584" s="123"/>
      <c r="K584" s="124"/>
    </row>
    <row r="585" spans="1:11">
      <c r="A585" s="117">
        <v>2</v>
      </c>
      <c r="B585" s="118"/>
      <c r="C585" s="118" t="s">
        <v>227</v>
      </c>
      <c r="D585" s="118"/>
      <c r="E585" s="117">
        <v>2</v>
      </c>
      <c r="F585" s="119"/>
      <c r="G585" s="120"/>
      <c r="H585" s="121"/>
      <c r="I585" s="122"/>
      <c r="J585" s="123"/>
      <c r="K585" s="121"/>
    </row>
    <row r="586" spans="1:11">
      <c r="A586" s="117">
        <v>3</v>
      </c>
      <c r="B586" s="118"/>
      <c r="C586" s="118" t="s">
        <v>227</v>
      </c>
      <c r="D586" s="118"/>
      <c r="E586" s="117">
        <v>3</v>
      </c>
      <c r="F586" s="119"/>
      <c r="G586" s="120"/>
      <c r="H586" s="121"/>
      <c r="I586" s="122"/>
      <c r="J586" s="123"/>
      <c r="K586" s="121"/>
    </row>
    <row r="587" spans="1:11">
      <c r="A587" s="117">
        <v>4</v>
      </c>
      <c r="B587" s="118"/>
      <c r="C587" s="118" t="s">
        <v>227</v>
      </c>
      <c r="D587" s="118"/>
      <c r="E587" s="117">
        <v>4</v>
      </c>
      <c r="F587" s="119"/>
      <c r="G587" s="120"/>
      <c r="H587" s="121"/>
      <c r="I587" s="125"/>
      <c r="J587" s="123"/>
      <c r="K587" s="121"/>
    </row>
    <row r="588" spans="1:11">
      <c r="A588" s="117">
        <v>5</v>
      </c>
      <c r="B588" s="118"/>
      <c r="C588" s="118" t="s">
        <v>227</v>
      </c>
      <c r="D588" s="118"/>
      <c r="E588" s="117">
        <v>5</v>
      </c>
      <c r="F588" s="119"/>
      <c r="G588" s="120"/>
      <c r="H588" s="121"/>
      <c r="I588" s="125"/>
      <c r="J588" s="123"/>
      <c r="K588" s="121"/>
    </row>
    <row r="589" spans="1:11">
      <c r="A589" s="8">
        <v>6</v>
      </c>
      <c r="C589" s="9" t="s">
        <v>190</v>
      </c>
      <c r="E589" s="8">
        <v>6</v>
      </c>
      <c r="F589" s="10"/>
      <c r="G589" s="157"/>
      <c r="H589" s="145"/>
      <c r="I589" s="30"/>
      <c r="J589" s="144"/>
      <c r="K589" s="145"/>
    </row>
    <row r="590" spans="1:11">
      <c r="A590" s="8">
        <v>7</v>
      </c>
      <c r="C590" s="9" t="s">
        <v>191</v>
      </c>
      <c r="E590" s="8">
        <v>7</v>
      </c>
      <c r="F590" s="10"/>
      <c r="G590" s="114"/>
      <c r="H590" s="145"/>
      <c r="I590" s="85"/>
      <c r="J590" s="104"/>
      <c r="K590" s="145"/>
    </row>
    <row r="591" spans="1:11">
      <c r="A591" s="8">
        <v>8</v>
      </c>
      <c r="C591" s="9" t="s">
        <v>192</v>
      </c>
      <c r="E591" s="8">
        <v>8</v>
      </c>
      <c r="F591" s="10"/>
      <c r="G591" s="114">
        <f>SUM(G589:G590)</f>
        <v>0</v>
      </c>
      <c r="H591" s="114">
        <f>SUM(H589:H590)</f>
        <v>0</v>
      </c>
      <c r="I591" s="85"/>
      <c r="J591" s="114">
        <f>SUM(J589:J590)</f>
        <v>0</v>
      </c>
      <c r="K591" s="114">
        <f>SUM(K589:K590)</f>
        <v>0</v>
      </c>
    </row>
    <row r="592" spans="1:11">
      <c r="A592" s="8">
        <v>9</v>
      </c>
      <c r="C592" s="9"/>
      <c r="E592" s="8">
        <v>9</v>
      </c>
      <c r="F592" s="10"/>
      <c r="G592" s="114"/>
      <c r="H592" s="103"/>
      <c r="I592" s="29"/>
      <c r="J592" s="104"/>
      <c r="K592" s="103"/>
    </row>
    <row r="593" spans="1:12">
      <c r="A593" s="8">
        <v>10</v>
      </c>
      <c r="C593" s="9"/>
      <c r="E593" s="8">
        <v>10</v>
      </c>
      <c r="F593" s="10"/>
      <c r="G593" s="114"/>
      <c r="H593" s="103"/>
      <c r="I593" s="30"/>
      <c r="J593" s="104"/>
      <c r="K593" s="103"/>
    </row>
    <row r="594" spans="1:12">
      <c r="A594" s="8">
        <v>11</v>
      </c>
      <c r="C594" s="9" t="s">
        <v>174</v>
      </c>
      <c r="E594" s="8">
        <v>11</v>
      </c>
      <c r="G594" s="143"/>
      <c r="H594" s="143"/>
      <c r="I594" s="29"/>
      <c r="J594" s="143"/>
      <c r="K594" s="146"/>
    </row>
    <row r="595" spans="1:12">
      <c r="A595" s="8">
        <v>12</v>
      </c>
      <c r="C595" s="9" t="s">
        <v>175</v>
      </c>
      <c r="E595" s="8">
        <v>12</v>
      </c>
      <c r="G595" s="115"/>
      <c r="H595" s="146"/>
      <c r="I595" s="30"/>
      <c r="J595" s="99"/>
      <c r="K595" s="146"/>
    </row>
    <row r="596" spans="1:12">
      <c r="A596" s="8">
        <v>13</v>
      </c>
      <c r="C596" s="9" t="s">
        <v>193</v>
      </c>
      <c r="E596" s="8">
        <v>13</v>
      </c>
      <c r="F596" s="10"/>
      <c r="G596" s="114">
        <f>SUM(G594:G595)</f>
        <v>0</v>
      </c>
      <c r="H596" s="114">
        <f>SUM(H594:H595)</f>
        <v>0</v>
      </c>
      <c r="I596" s="85"/>
      <c r="J596" s="114">
        <f>SUM(J594:J595)</f>
        <v>0</v>
      </c>
      <c r="K596" s="114">
        <f>SUM(K594:K595)</f>
        <v>0</v>
      </c>
    </row>
    <row r="597" spans="1:12">
      <c r="A597" s="8">
        <v>14</v>
      </c>
      <c r="E597" s="8">
        <v>14</v>
      </c>
      <c r="F597" s="10"/>
      <c r="G597" s="114"/>
      <c r="H597" s="103"/>
      <c r="I597" s="85"/>
      <c r="J597" s="104"/>
      <c r="K597" s="103"/>
    </row>
    <row r="598" spans="1:12">
      <c r="A598" s="8">
        <v>15</v>
      </c>
      <c r="C598" s="9" t="s">
        <v>177</v>
      </c>
      <c r="E598" s="8">
        <v>15</v>
      </c>
      <c r="F598" s="10"/>
      <c r="G598" s="114">
        <f>G591+G596</f>
        <v>0</v>
      </c>
      <c r="H598" s="114">
        <f>H591+H596</f>
        <v>0</v>
      </c>
      <c r="I598" s="85"/>
      <c r="J598" s="114">
        <f>J591+J596</f>
        <v>0</v>
      </c>
      <c r="K598" s="114">
        <f>K591+K596</f>
        <v>0</v>
      </c>
    </row>
    <row r="599" spans="1:12">
      <c r="A599" s="8">
        <v>16</v>
      </c>
      <c r="E599" s="8">
        <v>16</v>
      </c>
      <c r="F599" s="10"/>
      <c r="G599" s="114"/>
      <c r="H599" s="103"/>
      <c r="I599" s="85"/>
      <c r="J599" s="104"/>
      <c r="K599" s="103"/>
      <c r="L599" s="137" t="s">
        <v>38</v>
      </c>
    </row>
    <row r="600" spans="1:12" s="36" customFormat="1">
      <c r="A600" s="8">
        <v>17</v>
      </c>
      <c r="B600" s="137"/>
      <c r="C600" s="9" t="s">
        <v>178</v>
      </c>
      <c r="D600" s="137"/>
      <c r="E600" s="8">
        <v>17</v>
      </c>
      <c r="F600" s="10"/>
      <c r="G600" s="157"/>
      <c r="H600" s="145"/>
      <c r="I600" s="85"/>
      <c r="J600" s="144"/>
      <c r="K600" s="145"/>
    </row>
    <row r="601" spans="1:12" s="36" customFormat="1">
      <c r="A601" s="8">
        <v>18</v>
      </c>
      <c r="B601" s="137"/>
      <c r="C601" s="9"/>
      <c r="D601" s="137"/>
      <c r="E601" s="8">
        <v>18</v>
      </c>
      <c r="F601" s="10"/>
      <c r="G601" s="114"/>
      <c r="H601" s="103"/>
      <c r="I601" s="85"/>
      <c r="J601" s="104"/>
      <c r="K601" s="103"/>
    </row>
    <row r="602" spans="1:12">
      <c r="A602" s="8">
        <v>19</v>
      </c>
      <c r="C602" s="9" t="s">
        <v>179</v>
      </c>
      <c r="E602" s="8">
        <v>19</v>
      </c>
      <c r="F602" s="10"/>
      <c r="G602" s="157"/>
      <c r="H602" s="145"/>
      <c r="I602" s="85"/>
      <c r="J602" s="144"/>
      <c r="K602" s="145"/>
    </row>
    <row r="603" spans="1:12">
      <c r="A603" s="8">
        <v>20</v>
      </c>
      <c r="C603" s="9" t="s">
        <v>180</v>
      </c>
      <c r="E603" s="8">
        <v>20</v>
      </c>
      <c r="F603" s="10"/>
      <c r="G603" s="157"/>
      <c r="H603" s="145"/>
      <c r="I603" s="85"/>
      <c r="J603" s="144"/>
      <c r="K603" s="145"/>
    </row>
    <row r="604" spans="1:12">
      <c r="A604" s="8">
        <v>21</v>
      </c>
      <c r="C604" s="9"/>
      <c r="E604" s="8">
        <v>21</v>
      </c>
      <c r="F604" s="10"/>
      <c r="G604" s="114"/>
      <c r="H604" s="103"/>
      <c r="I604" s="85"/>
      <c r="J604" s="104"/>
      <c r="K604" s="103"/>
    </row>
    <row r="605" spans="1:12">
      <c r="A605" s="8">
        <v>22</v>
      </c>
      <c r="C605" s="9"/>
      <c r="E605" s="8">
        <v>22</v>
      </c>
      <c r="F605" s="10"/>
      <c r="G605" s="114"/>
      <c r="H605" s="103"/>
      <c r="I605" s="85"/>
      <c r="J605" s="104"/>
      <c r="K605" s="103"/>
    </row>
    <row r="606" spans="1:12">
      <c r="A606" s="8">
        <v>23</v>
      </c>
      <c r="C606" s="9" t="s">
        <v>194</v>
      </c>
      <c r="E606" s="8">
        <v>23</v>
      </c>
      <c r="F606" s="10"/>
      <c r="G606" s="157"/>
      <c r="H606" s="145"/>
      <c r="I606" s="85"/>
      <c r="J606" s="144"/>
      <c r="K606" s="145"/>
    </row>
    <row r="607" spans="1:12">
      <c r="A607" s="8">
        <v>24</v>
      </c>
      <c r="C607" s="9"/>
      <c r="E607" s="8">
        <v>24</v>
      </c>
      <c r="F607" s="10"/>
      <c r="G607" s="114"/>
      <c r="H607" s="103"/>
      <c r="I607" s="85"/>
      <c r="J607" s="104"/>
      <c r="K607" s="103"/>
    </row>
    <row r="608" spans="1:12">
      <c r="E608" s="35"/>
      <c r="F608" s="70" t="s">
        <v>6</v>
      </c>
      <c r="G608" s="21" t="s">
        <v>6</v>
      </c>
      <c r="H608" s="21" t="s">
        <v>6</v>
      </c>
      <c r="I608" s="70" t="s">
        <v>6</v>
      </c>
      <c r="J608" s="21" t="s">
        <v>6</v>
      </c>
      <c r="K608" s="21" t="s">
        <v>6</v>
      </c>
    </row>
    <row r="609" spans="1:11">
      <c r="A609" s="8">
        <v>25</v>
      </c>
      <c r="C609" s="9" t="s">
        <v>195</v>
      </c>
      <c r="E609" s="8">
        <v>25</v>
      </c>
      <c r="G609" s="99">
        <f>SUM(G598:G608)</f>
        <v>0</v>
      </c>
      <c r="H609" s="99">
        <f>SUM(H598:H608)</f>
        <v>0</v>
      </c>
      <c r="I609" s="100"/>
      <c r="J609" s="99">
        <f>SUM(J598:J608)</f>
        <v>0</v>
      </c>
      <c r="K609" s="99">
        <f>SUM(K598:K608)</f>
        <v>0</v>
      </c>
    </row>
    <row r="610" spans="1:11">
      <c r="E610" s="35"/>
      <c r="F610" s="70" t="s">
        <v>6</v>
      </c>
      <c r="G610" s="20" t="s">
        <v>6</v>
      </c>
      <c r="H610" s="21" t="s">
        <v>6</v>
      </c>
      <c r="I610" s="70" t="s">
        <v>6</v>
      </c>
      <c r="J610" s="20" t="s">
        <v>6</v>
      </c>
      <c r="K610" s="21" t="s">
        <v>6</v>
      </c>
    </row>
    <row r="611" spans="1:11">
      <c r="C611" s="137" t="s">
        <v>49</v>
      </c>
      <c r="E611" s="35"/>
      <c r="F611" s="70"/>
      <c r="G611" s="20"/>
      <c r="H611" s="21"/>
      <c r="I611" s="70"/>
      <c r="J611" s="20"/>
      <c r="K611" s="21"/>
    </row>
    <row r="612" spans="1:11">
      <c r="A612" s="9"/>
      <c r="H612" s="40"/>
      <c r="K612" s="40"/>
    </row>
    <row r="613" spans="1:11">
      <c r="H613" s="40"/>
      <c r="K613" s="40"/>
    </row>
    <row r="614" spans="1:11">
      <c r="A614" s="16" t="str">
        <f>$A$83</f>
        <v xml:space="preserve">Institution No.:  </v>
      </c>
      <c r="B614" s="36"/>
      <c r="C614" s="36"/>
      <c r="D614" s="36"/>
      <c r="E614" s="37"/>
      <c r="F614" s="36"/>
      <c r="G614" s="38"/>
      <c r="H614" s="39"/>
      <c r="I614" s="36"/>
      <c r="J614" s="38"/>
      <c r="K614" s="15" t="s">
        <v>196</v>
      </c>
    </row>
    <row r="615" spans="1:11">
      <c r="A615" s="229" t="s">
        <v>197</v>
      </c>
      <c r="B615" s="229"/>
      <c r="C615" s="229"/>
      <c r="D615" s="229"/>
      <c r="E615" s="229"/>
      <c r="F615" s="229"/>
      <c r="G615" s="229"/>
      <c r="H615" s="229"/>
      <c r="I615" s="229"/>
      <c r="J615" s="229"/>
      <c r="K615" s="229"/>
    </row>
    <row r="616" spans="1:11">
      <c r="A616" s="16" t="str">
        <f>$A$42</f>
        <v xml:space="preserve">NAME: </v>
      </c>
      <c r="B616" s="16"/>
      <c r="C616" s="137" t="str">
        <f>$D$20</f>
        <v>University of Colorado</v>
      </c>
      <c r="G616" s="80"/>
      <c r="H616" s="67"/>
      <c r="J616" s="14"/>
      <c r="K616" s="18" t="str">
        <f>$K$3</f>
        <v>Date: October 09, 2017</v>
      </c>
    </row>
    <row r="617" spans="1:11">
      <c r="A617" s="19" t="s">
        <v>6</v>
      </c>
      <c r="B617" s="19" t="s">
        <v>6</v>
      </c>
      <c r="C617" s="19" t="s">
        <v>6</v>
      </c>
      <c r="D617" s="19" t="s">
        <v>6</v>
      </c>
      <c r="E617" s="19" t="s">
        <v>6</v>
      </c>
      <c r="F617" s="19" t="s">
        <v>6</v>
      </c>
      <c r="G617" s="20" t="s">
        <v>6</v>
      </c>
      <c r="H617" s="21" t="s">
        <v>6</v>
      </c>
      <c r="I617" s="19" t="s">
        <v>6</v>
      </c>
      <c r="J617" s="20" t="s">
        <v>6</v>
      </c>
      <c r="K617" s="21" t="s">
        <v>6</v>
      </c>
    </row>
    <row r="618" spans="1:11">
      <c r="A618" s="22" t="s">
        <v>7</v>
      </c>
      <c r="E618" s="22" t="s">
        <v>7</v>
      </c>
      <c r="F618" s="23"/>
      <c r="G618" s="24"/>
      <c r="H618" s="25" t="str">
        <f>+H581</f>
        <v>2016-17</v>
      </c>
      <c r="I618" s="23"/>
      <c r="J618" s="24"/>
      <c r="K618" s="25" t="str">
        <f>+K581</f>
        <v>2017-18</v>
      </c>
    </row>
    <row r="619" spans="1:11">
      <c r="A619" s="22" t="s">
        <v>9</v>
      </c>
      <c r="C619" s="26" t="s">
        <v>51</v>
      </c>
      <c r="E619" s="22" t="s">
        <v>9</v>
      </c>
      <c r="F619" s="23"/>
      <c r="G619" s="24" t="s">
        <v>11</v>
      </c>
      <c r="H619" s="25" t="s">
        <v>12</v>
      </c>
      <c r="I619" s="23"/>
      <c r="J619" s="24" t="s">
        <v>11</v>
      </c>
      <c r="K619" s="25" t="s">
        <v>13</v>
      </c>
    </row>
    <row r="620" spans="1:11">
      <c r="A620" s="19" t="s">
        <v>6</v>
      </c>
      <c r="B620" s="19" t="s">
        <v>6</v>
      </c>
      <c r="C620" s="19" t="s">
        <v>6</v>
      </c>
      <c r="D620" s="19" t="s">
        <v>6</v>
      </c>
      <c r="E620" s="19" t="s">
        <v>6</v>
      </c>
      <c r="F620" s="19" t="s">
        <v>6</v>
      </c>
      <c r="G620" s="20" t="s">
        <v>6</v>
      </c>
      <c r="H620" s="21" t="s">
        <v>6</v>
      </c>
      <c r="I620" s="19" t="s">
        <v>6</v>
      </c>
      <c r="J620" s="86" t="s">
        <v>6</v>
      </c>
      <c r="K620" s="21" t="s">
        <v>6</v>
      </c>
    </row>
    <row r="621" spans="1:11">
      <c r="A621" s="117">
        <v>1</v>
      </c>
      <c r="B621" s="118"/>
      <c r="C621" s="118" t="s">
        <v>227</v>
      </c>
      <c r="D621" s="118"/>
      <c r="E621" s="117">
        <v>1</v>
      </c>
      <c r="F621" s="119"/>
      <c r="G621" s="120"/>
      <c r="H621" s="121"/>
      <c r="I621" s="122"/>
      <c r="J621" s="123"/>
      <c r="K621" s="124"/>
    </row>
    <row r="622" spans="1:11">
      <c r="A622" s="117">
        <v>2</v>
      </c>
      <c r="B622" s="118"/>
      <c r="C622" s="118" t="s">
        <v>227</v>
      </c>
      <c r="D622" s="118"/>
      <c r="E622" s="117">
        <v>2</v>
      </c>
      <c r="F622" s="119"/>
      <c r="G622" s="120"/>
      <c r="H622" s="121"/>
      <c r="I622" s="122"/>
      <c r="J622" s="123"/>
      <c r="K622" s="121"/>
    </row>
    <row r="623" spans="1:11">
      <c r="A623" s="117">
        <v>3</v>
      </c>
      <c r="B623" s="118"/>
      <c r="C623" s="118" t="s">
        <v>227</v>
      </c>
      <c r="D623" s="118"/>
      <c r="E623" s="117">
        <v>3</v>
      </c>
      <c r="F623" s="119"/>
      <c r="G623" s="120"/>
      <c r="H623" s="121"/>
      <c r="I623" s="122"/>
      <c r="J623" s="123"/>
      <c r="K623" s="121"/>
    </row>
    <row r="624" spans="1:11">
      <c r="A624" s="117">
        <v>4</v>
      </c>
      <c r="B624" s="118"/>
      <c r="C624" s="118" t="s">
        <v>227</v>
      </c>
      <c r="D624" s="118"/>
      <c r="E624" s="117">
        <v>4</v>
      </c>
      <c r="F624" s="119"/>
      <c r="G624" s="120"/>
      <c r="H624" s="121"/>
      <c r="I624" s="125"/>
      <c r="J624" s="123"/>
      <c r="K624" s="121"/>
    </row>
    <row r="625" spans="1:11">
      <c r="A625" s="117">
        <v>5</v>
      </c>
      <c r="B625" s="118"/>
      <c r="C625" s="118" t="s">
        <v>227</v>
      </c>
      <c r="D625" s="118"/>
      <c r="E625" s="117">
        <v>5</v>
      </c>
      <c r="F625" s="119"/>
      <c r="G625" s="123"/>
      <c r="H625" s="121"/>
      <c r="I625" s="125"/>
      <c r="J625" s="123"/>
      <c r="K625" s="121"/>
    </row>
    <row r="626" spans="1:11">
      <c r="A626" s="8">
        <v>6</v>
      </c>
      <c r="C626" s="9" t="s">
        <v>190</v>
      </c>
      <c r="E626" s="8">
        <v>6</v>
      </c>
      <c r="F626" s="10"/>
      <c r="G626" s="144">
        <v>0</v>
      </c>
      <c r="H626" s="145">
        <v>0</v>
      </c>
      <c r="I626" s="30"/>
      <c r="J626" s="144">
        <v>0</v>
      </c>
      <c r="K626" s="145">
        <v>0</v>
      </c>
    </row>
    <row r="627" spans="1:11">
      <c r="A627" s="8">
        <v>7</v>
      </c>
      <c r="C627" s="9" t="s">
        <v>191</v>
      </c>
      <c r="E627" s="8">
        <v>7</v>
      </c>
      <c r="F627" s="10"/>
      <c r="G627" s="104"/>
      <c r="H627" s="145">
        <v>0</v>
      </c>
      <c r="I627" s="85"/>
      <c r="J627" s="104"/>
      <c r="K627" s="145">
        <v>0</v>
      </c>
    </row>
    <row r="628" spans="1:11">
      <c r="A628" s="8">
        <v>8</v>
      </c>
      <c r="C628" s="9" t="s">
        <v>192</v>
      </c>
      <c r="E628" s="8">
        <v>8</v>
      </c>
      <c r="F628" s="10"/>
      <c r="G628" s="104">
        <f>SUM(G626:G627)</f>
        <v>0</v>
      </c>
      <c r="H628" s="104">
        <f>SUM(H626:H627)</f>
        <v>0</v>
      </c>
      <c r="I628" s="85"/>
      <c r="J628" s="114">
        <f>SUM(J626:J627)</f>
        <v>0</v>
      </c>
      <c r="K628" s="114">
        <f>SUM(K626:K627)</f>
        <v>0</v>
      </c>
    </row>
    <row r="629" spans="1:11">
      <c r="A629" s="8">
        <v>9</v>
      </c>
      <c r="C629" s="9"/>
      <c r="E629" s="8">
        <v>9</v>
      </c>
      <c r="F629" s="10"/>
      <c r="G629" s="104"/>
      <c r="H629" s="103"/>
      <c r="I629" s="29"/>
      <c r="J629" s="104"/>
      <c r="K629" s="103"/>
    </row>
    <row r="630" spans="1:11">
      <c r="A630" s="8">
        <v>10</v>
      </c>
      <c r="C630" s="9"/>
      <c r="E630" s="8">
        <v>10</v>
      </c>
      <c r="F630" s="10"/>
      <c r="G630" s="104"/>
      <c r="H630" s="103"/>
      <c r="I630" s="30"/>
      <c r="J630" s="104"/>
      <c r="K630" s="103"/>
    </row>
    <row r="631" spans="1:11">
      <c r="A631" s="8">
        <v>11</v>
      </c>
      <c r="C631" s="9" t="s">
        <v>174</v>
      </c>
      <c r="E631" s="8">
        <v>11</v>
      </c>
      <c r="G631" s="143">
        <v>0</v>
      </c>
      <c r="H631" s="143">
        <v>0</v>
      </c>
      <c r="I631" s="29"/>
      <c r="J631" s="143">
        <v>0</v>
      </c>
      <c r="K631" s="146">
        <v>0</v>
      </c>
    </row>
    <row r="632" spans="1:11">
      <c r="A632" s="8">
        <v>12</v>
      </c>
      <c r="C632" s="9" t="s">
        <v>175</v>
      </c>
      <c r="E632" s="8">
        <v>12</v>
      </c>
      <c r="G632" s="99"/>
      <c r="H632" s="146">
        <v>0</v>
      </c>
      <c r="I632" s="30"/>
      <c r="J632" s="99"/>
      <c r="K632" s="146">
        <v>0</v>
      </c>
    </row>
    <row r="633" spans="1:11">
      <c r="A633" s="8">
        <v>13</v>
      </c>
      <c r="C633" s="9" t="s">
        <v>193</v>
      </c>
      <c r="E633" s="8">
        <v>13</v>
      </c>
      <c r="F633" s="10"/>
      <c r="G633" s="104">
        <f>SUM(G631:G632)</f>
        <v>0</v>
      </c>
      <c r="H633" s="104">
        <f>SUM(H631:H632)</f>
        <v>0</v>
      </c>
      <c r="I633" s="85"/>
      <c r="J633" s="114">
        <f>SUM(J631:J632)</f>
        <v>0</v>
      </c>
      <c r="K633" s="114">
        <f>SUM(K631:K632)</f>
        <v>0</v>
      </c>
    </row>
    <row r="634" spans="1:11">
      <c r="A634" s="8">
        <v>14</v>
      </c>
      <c r="E634" s="8">
        <v>14</v>
      </c>
      <c r="F634" s="10"/>
      <c r="G634" s="104"/>
      <c r="H634" s="103"/>
      <c r="I634" s="85"/>
      <c r="J634" s="104"/>
      <c r="K634" s="103"/>
    </row>
    <row r="635" spans="1:11">
      <c r="A635" s="8">
        <v>15</v>
      </c>
      <c r="C635" s="9" t="s">
        <v>177</v>
      </c>
      <c r="E635" s="8">
        <v>15</v>
      </c>
      <c r="F635" s="10"/>
      <c r="G635" s="104">
        <f>G628+G633</f>
        <v>0</v>
      </c>
      <c r="H635" s="114">
        <f>H628+H633</f>
        <v>0</v>
      </c>
      <c r="I635" s="85"/>
      <c r="J635" s="114">
        <f>J628+J633</f>
        <v>0</v>
      </c>
      <c r="K635" s="114">
        <f>K628+K633</f>
        <v>0</v>
      </c>
    </row>
    <row r="636" spans="1:11">
      <c r="A636" s="8">
        <v>16</v>
      </c>
      <c r="E636" s="8">
        <v>16</v>
      </c>
      <c r="F636" s="10"/>
      <c r="G636" s="104"/>
      <c r="H636" s="103"/>
      <c r="I636" s="85"/>
      <c r="J636" s="104"/>
      <c r="K636" s="103"/>
    </row>
    <row r="637" spans="1:11" s="36" customFormat="1">
      <c r="A637" s="8">
        <v>17</v>
      </c>
      <c r="B637" s="137"/>
      <c r="C637" s="9" t="s">
        <v>178</v>
      </c>
      <c r="D637" s="137"/>
      <c r="E637" s="8">
        <v>17</v>
      </c>
      <c r="F637" s="10"/>
      <c r="G637" s="157"/>
      <c r="H637" s="145">
        <v>0</v>
      </c>
      <c r="I637" s="85"/>
      <c r="J637" s="144"/>
      <c r="K637" s="145">
        <v>0</v>
      </c>
    </row>
    <row r="638" spans="1:11" s="36" customFormat="1">
      <c r="A638" s="8">
        <v>18</v>
      </c>
      <c r="B638" s="137"/>
      <c r="C638" s="9"/>
      <c r="D638" s="137"/>
      <c r="E638" s="8">
        <v>18</v>
      </c>
      <c r="F638" s="10"/>
      <c r="G638" s="114"/>
      <c r="H638" s="103"/>
      <c r="I638" s="85"/>
      <c r="J638" s="104"/>
      <c r="K638" s="103"/>
    </row>
    <row r="639" spans="1:11">
      <c r="A639" s="8">
        <v>19</v>
      </c>
      <c r="C639" s="9" t="s">
        <v>179</v>
      </c>
      <c r="E639" s="8">
        <v>19</v>
      </c>
      <c r="F639" s="10"/>
      <c r="G639" s="114"/>
      <c r="H639" s="145">
        <v>0</v>
      </c>
      <c r="I639" s="85"/>
      <c r="J639" s="104"/>
      <c r="K639" s="145"/>
    </row>
    <row r="640" spans="1:11">
      <c r="A640" s="8">
        <v>20</v>
      </c>
      <c r="C640" s="9" t="s">
        <v>180</v>
      </c>
      <c r="E640" s="8">
        <v>20</v>
      </c>
      <c r="F640" s="10"/>
      <c r="G640" s="114"/>
      <c r="H640" s="145">
        <v>0</v>
      </c>
      <c r="I640" s="85"/>
      <c r="J640" s="104"/>
      <c r="K640" s="145">
        <v>0</v>
      </c>
    </row>
    <row r="641" spans="1:11">
      <c r="A641" s="8">
        <v>21</v>
      </c>
      <c r="C641" s="9"/>
      <c r="E641" s="8">
        <v>21</v>
      </c>
      <c r="F641" s="10"/>
      <c r="G641" s="114"/>
      <c r="H641" s="103"/>
      <c r="I641" s="85"/>
      <c r="J641" s="104"/>
      <c r="K641" s="103"/>
    </row>
    <row r="642" spans="1:11">
      <c r="A642" s="8">
        <v>22</v>
      </c>
      <c r="C642" s="9"/>
      <c r="E642" s="8">
        <v>22</v>
      </c>
      <c r="F642" s="10"/>
      <c r="G642" s="114"/>
      <c r="H642" s="103"/>
      <c r="I642" s="85"/>
      <c r="J642" s="104"/>
      <c r="K642" s="103"/>
    </row>
    <row r="643" spans="1:11">
      <c r="A643" s="8">
        <v>23</v>
      </c>
      <c r="C643" s="9" t="s">
        <v>194</v>
      </c>
      <c r="E643" s="8">
        <v>23</v>
      </c>
      <c r="F643" s="10"/>
      <c r="G643" s="114"/>
      <c r="H643" s="145">
        <v>0</v>
      </c>
      <c r="I643" s="85"/>
      <c r="J643" s="104"/>
      <c r="K643" s="145">
        <v>0</v>
      </c>
    </row>
    <row r="644" spans="1:11">
      <c r="A644" s="8">
        <v>24</v>
      </c>
      <c r="C644" s="9"/>
      <c r="E644" s="8">
        <v>24</v>
      </c>
      <c r="F644" s="10"/>
      <c r="G644" s="114"/>
      <c r="H644" s="103"/>
      <c r="I644" s="85"/>
      <c r="J644" s="104"/>
      <c r="K644" s="103"/>
    </row>
    <row r="645" spans="1:11">
      <c r="E645" s="35"/>
      <c r="F645" s="70" t="s">
        <v>6</v>
      </c>
      <c r="G645" s="21" t="s">
        <v>6</v>
      </c>
      <c r="H645" s="21" t="s">
        <v>6</v>
      </c>
      <c r="I645" s="70" t="s">
        <v>6</v>
      </c>
      <c r="J645" s="21" t="s">
        <v>6</v>
      </c>
      <c r="K645" s="21" t="s">
        <v>6</v>
      </c>
    </row>
    <row r="646" spans="1:11">
      <c r="A646" s="8">
        <v>25</v>
      </c>
      <c r="C646" s="9" t="s">
        <v>198</v>
      </c>
      <c r="E646" s="8">
        <v>25</v>
      </c>
      <c r="G646" s="99">
        <f>SUM(G635:G645)</f>
        <v>0</v>
      </c>
      <c r="H646" s="99">
        <f>SUM(H635:H645)</f>
        <v>0</v>
      </c>
      <c r="I646" s="100"/>
      <c r="J646" s="99">
        <f>SUM(J635:J645)</f>
        <v>0</v>
      </c>
      <c r="K646" s="99">
        <f>SUM(K635:K645)</f>
        <v>0</v>
      </c>
    </row>
    <row r="647" spans="1:11">
      <c r="A647" s="8"/>
      <c r="C647" s="9"/>
      <c r="E647" s="8"/>
      <c r="F647" s="70" t="s">
        <v>6</v>
      </c>
      <c r="G647" s="20" t="s">
        <v>6</v>
      </c>
      <c r="H647" s="21" t="s">
        <v>6</v>
      </c>
      <c r="I647" s="70" t="s">
        <v>6</v>
      </c>
      <c r="J647" s="20" t="s">
        <v>6</v>
      </c>
      <c r="K647" s="21" t="s">
        <v>6</v>
      </c>
    </row>
    <row r="648" spans="1:11">
      <c r="A648" s="8"/>
      <c r="C648" s="137" t="s">
        <v>49</v>
      </c>
      <c r="E648" s="8"/>
      <c r="G648" s="99"/>
      <c r="H648" s="99"/>
      <c r="I648" s="100"/>
      <c r="J648" s="99"/>
      <c r="K648" s="99"/>
    </row>
    <row r="649" spans="1:11">
      <c r="E649" s="35"/>
      <c r="F649" s="70"/>
      <c r="G649" s="20"/>
      <c r="H649" s="21"/>
      <c r="I649" s="70"/>
      <c r="J649" s="20"/>
      <c r="K649" s="21"/>
    </row>
    <row r="650" spans="1:11">
      <c r="A650" s="9"/>
      <c r="H650" s="40"/>
      <c r="K650" s="40"/>
    </row>
    <row r="651" spans="1:11">
      <c r="A651" s="16" t="str">
        <f>$A$83</f>
        <v xml:space="preserve">Institution No.:  </v>
      </c>
      <c r="B651" s="36"/>
      <c r="C651" s="36"/>
      <c r="D651" s="36"/>
      <c r="E651" s="37"/>
      <c r="F651" s="36"/>
      <c r="G651" s="38"/>
      <c r="H651" s="39"/>
      <c r="I651" s="36"/>
      <c r="J651" s="38"/>
      <c r="K651" s="15" t="s">
        <v>199</v>
      </c>
    </row>
    <row r="652" spans="1:11">
      <c r="A652" s="229" t="s">
        <v>200</v>
      </c>
      <c r="B652" s="229"/>
      <c r="C652" s="229"/>
      <c r="D652" s="229"/>
      <c r="E652" s="229"/>
      <c r="F652" s="229"/>
      <c r="G652" s="229"/>
      <c r="H652" s="229"/>
      <c r="I652" s="229"/>
      <c r="J652" s="229"/>
      <c r="K652" s="229"/>
    </row>
    <row r="653" spans="1:11">
      <c r="A653" s="16" t="str">
        <f>$A$42</f>
        <v xml:space="preserve">NAME: </v>
      </c>
      <c r="C653" s="137" t="str">
        <f>$D$20</f>
        <v>University of Colorado</v>
      </c>
      <c r="G653" s="80"/>
      <c r="H653" s="67"/>
      <c r="J653" s="14"/>
      <c r="K653" s="18" t="str">
        <f>$K$3</f>
        <v>Date: October 09, 2017</v>
      </c>
    </row>
    <row r="654" spans="1:11">
      <c r="A654" s="19" t="s">
        <v>6</v>
      </c>
      <c r="B654" s="19" t="s">
        <v>6</v>
      </c>
      <c r="C654" s="19" t="s">
        <v>6</v>
      </c>
      <c r="D654" s="19" t="s">
        <v>6</v>
      </c>
      <c r="E654" s="19" t="s">
        <v>6</v>
      </c>
      <c r="F654" s="19" t="s">
        <v>6</v>
      </c>
      <c r="G654" s="20" t="s">
        <v>6</v>
      </c>
      <c r="H654" s="21" t="s">
        <v>6</v>
      </c>
      <c r="I654" s="19" t="s">
        <v>6</v>
      </c>
      <c r="J654" s="20" t="s">
        <v>6</v>
      </c>
      <c r="K654" s="21" t="s">
        <v>6</v>
      </c>
    </row>
    <row r="655" spans="1:11">
      <c r="A655" s="22" t="s">
        <v>7</v>
      </c>
      <c r="E655" s="22" t="s">
        <v>7</v>
      </c>
      <c r="F655" s="23"/>
      <c r="G655" s="24"/>
      <c r="H655" s="25" t="str">
        <f>+H618</f>
        <v>2016-17</v>
      </c>
      <c r="I655" s="23"/>
      <c r="J655" s="24"/>
      <c r="K655" s="25" t="str">
        <f>+K618</f>
        <v>2017-18</v>
      </c>
    </row>
    <row r="656" spans="1:11">
      <c r="A656" s="22" t="s">
        <v>9</v>
      </c>
      <c r="C656" s="26" t="s">
        <v>51</v>
      </c>
      <c r="E656" s="22" t="s">
        <v>9</v>
      </c>
      <c r="F656" s="23"/>
      <c r="G656" s="24" t="s">
        <v>11</v>
      </c>
      <c r="H656" s="25" t="s">
        <v>12</v>
      </c>
      <c r="I656" s="23"/>
      <c r="J656" s="24" t="s">
        <v>11</v>
      </c>
      <c r="K656" s="25" t="s">
        <v>13</v>
      </c>
    </row>
    <row r="657" spans="1:11">
      <c r="A657" s="19" t="s">
        <v>6</v>
      </c>
      <c r="B657" s="19" t="s">
        <v>6</v>
      </c>
      <c r="C657" s="19" t="s">
        <v>6</v>
      </c>
      <c r="D657" s="19" t="s">
        <v>6</v>
      </c>
      <c r="E657" s="19" t="s">
        <v>6</v>
      </c>
      <c r="F657" s="19" t="s">
        <v>6</v>
      </c>
      <c r="G657" s="20" t="s">
        <v>6</v>
      </c>
      <c r="H657" s="21" t="s">
        <v>6</v>
      </c>
      <c r="I657" s="19" t="s">
        <v>6</v>
      </c>
      <c r="J657" s="20" t="s">
        <v>6</v>
      </c>
      <c r="K657" s="21" t="s">
        <v>6</v>
      </c>
    </row>
    <row r="658" spans="1:11">
      <c r="A658" s="117">
        <v>1</v>
      </c>
      <c r="B658" s="118"/>
      <c r="C658" s="118" t="s">
        <v>227</v>
      </c>
      <c r="D658" s="118"/>
      <c r="E658" s="117">
        <v>1</v>
      </c>
      <c r="F658" s="119"/>
      <c r="G658" s="120"/>
      <c r="H658" s="121"/>
      <c r="I658" s="122"/>
      <c r="J658" s="123"/>
      <c r="K658" s="124"/>
    </row>
    <row r="659" spans="1:11">
      <c r="A659" s="117">
        <v>2</v>
      </c>
      <c r="B659" s="118"/>
      <c r="C659" s="118" t="s">
        <v>227</v>
      </c>
      <c r="D659" s="118"/>
      <c r="E659" s="117">
        <v>2</v>
      </c>
      <c r="F659" s="119"/>
      <c r="G659" s="120"/>
      <c r="H659" s="121"/>
      <c r="I659" s="122"/>
      <c r="J659" s="123"/>
      <c r="K659" s="121"/>
    </row>
    <row r="660" spans="1:11">
      <c r="A660" s="117">
        <v>3</v>
      </c>
      <c r="B660" s="118"/>
      <c r="C660" s="118" t="s">
        <v>227</v>
      </c>
      <c r="D660" s="118"/>
      <c r="E660" s="117">
        <v>3</v>
      </c>
      <c r="F660" s="119"/>
      <c r="G660" s="120"/>
      <c r="H660" s="121"/>
      <c r="I660" s="122"/>
      <c r="J660" s="123"/>
      <c r="K660" s="121"/>
    </row>
    <row r="661" spans="1:11">
      <c r="A661" s="117">
        <v>4</v>
      </c>
      <c r="B661" s="118"/>
      <c r="C661" s="118" t="s">
        <v>227</v>
      </c>
      <c r="D661" s="118"/>
      <c r="E661" s="117">
        <v>4</v>
      </c>
      <c r="F661" s="119"/>
      <c r="G661" s="120"/>
      <c r="H661" s="121"/>
      <c r="I661" s="125"/>
      <c r="J661" s="123"/>
      <c r="K661" s="121"/>
    </row>
    <row r="662" spans="1:11">
      <c r="A662" s="117">
        <v>5</v>
      </c>
      <c r="B662" s="118"/>
      <c r="C662" s="118" t="s">
        <v>227</v>
      </c>
      <c r="D662" s="118"/>
      <c r="E662" s="117">
        <v>5</v>
      </c>
      <c r="F662" s="119"/>
      <c r="G662" s="120"/>
      <c r="H662" s="121"/>
      <c r="I662" s="125"/>
      <c r="J662" s="123"/>
      <c r="K662" s="121"/>
    </row>
    <row r="663" spans="1:11">
      <c r="A663" s="8">
        <v>6</v>
      </c>
      <c r="C663" s="9" t="s">
        <v>190</v>
      </c>
      <c r="E663" s="8">
        <v>6</v>
      </c>
      <c r="F663" s="10"/>
      <c r="G663" s="157">
        <v>0</v>
      </c>
      <c r="H663" s="145">
        <v>0</v>
      </c>
      <c r="I663" s="30"/>
      <c r="J663" s="144">
        <v>0</v>
      </c>
      <c r="K663" s="145">
        <v>0</v>
      </c>
    </row>
    <row r="664" spans="1:11">
      <c r="A664" s="8">
        <v>7</v>
      </c>
      <c r="C664" s="9" t="s">
        <v>191</v>
      </c>
      <c r="E664" s="8">
        <v>7</v>
      </c>
      <c r="F664" s="10"/>
      <c r="G664" s="114"/>
      <c r="H664" s="145">
        <v>0</v>
      </c>
      <c r="I664" s="85"/>
      <c r="J664" s="104"/>
      <c r="K664" s="145">
        <v>0</v>
      </c>
    </row>
    <row r="665" spans="1:11">
      <c r="A665" s="8">
        <v>8</v>
      </c>
      <c r="C665" s="9" t="s">
        <v>192</v>
      </c>
      <c r="E665" s="8">
        <v>8</v>
      </c>
      <c r="F665" s="10"/>
      <c r="G665" s="114">
        <f>SUM(G663:G664)</f>
        <v>0</v>
      </c>
      <c r="H665" s="114">
        <f>SUM(H663:H664)</f>
        <v>0</v>
      </c>
      <c r="I665" s="85"/>
      <c r="J665" s="114">
        <f>SUM(J663:J664)</f>
        <v>0</v>
      </c>
      <c r="K665" s="114">
        <f>SUM(K663:K664)</f>
        <v>0</v>
      </c>
    </row>
    <row r="666" spans="1:11">
      <c r="A666" s="8">
        <v>9</v>
      </c>
      <c r="C666" s="9"/>
      <c r="E666" s="8">
        <v>9</v>
      </c>
      <c r="F666" s="10"/>
      <c r="G666" s="114"/>
      <c r="H666" s="103"/>
      <c r="I666" s="29"/>
      <c r="J666" s="104"/>
      <c r="K666" s="103"/>
    </row>
    <row r="667" spans="1:11">
      <c r="A667" s="8">
        <v>10</v>
      </c>
      <c r="C667" s="9"/>
      <c r="E667" s="8">
        <v>10</v>
      </c>
      <c r="F667" s="10"/>
      <c r="G667" s="114"/>
      <c r="H667" s="103"/>
      <c r="I667" s="30"/>
      <c r="J667" s="104"/>
      <c r="K667" s="103"/>
    </row>
    <row r="668" spans="1:11">
      <c r="A668" s="8">
        <v>11</v>
      </c>
      <c r="C668" s="9" t="s">
        <v>174</v>
      </c>
      <c r="E668" s="8">
        <v>11</v>
      </c>
      <c r="G668" s="143">
        <v>0</v>
      </c>
      <c r="H668" s="143">
        <v>0</v>
      </c>
      <c r="I668" s="29"/>
      <c r="J668" s="143">
        <v>0</v>
      </c>
      <c r="K668" s="146">
        <v>0</v>
      </c>
    </row>
    <row r="669" spans="1:11">
      <c r="A669" s="8">
        <v>12</v>
      </c>
      <c r="C669" s="9" t="s">
        <v>175</v>
      </c>
      <c r="E669" s="8">
        <v>12</v>
      </c>
      <c r="G669" s="115"/>
      <c r="H669" s="146">
        <v>0</v>
      </c>
      <c r="I669" s="30"/>
      <c r="J669" s="99"/>
      <c r="K669" s="146">
        <v>0</v>
      </c>
    </row>
    <row r="670" spans="1:11">
      <c r="A670" s="8">
        <v>13</v>
      </c>
      <c r="C670" s="9" t="s">
        <v>193</v>
      </c>
      <c r="E670" s="8">
        <v>13</v>
      </c>
      <c r="F670" s="10"/>
      <c r="G670" s="114">
        <f>SUM(G668:G669)</f>
        <v>0</v>
      </c>
      <c r="H670" s="114">
        <f>SUM(H668:H669)</f>
        <v>0</v>
      </c>
      <c r="I670" s="85"/>
      <c r="J670" s="114">
        <f>SUM(J668:J669)</f>
        <v>0</v>
      </c>
      <c r="K670" s="114">
        <f>SUM(K668:K669)</f>
        <v>0</v>
      </c>
    </row>
    <row r="671" spans="1:11">
      <c r="A671" s="8">
        <v>14</v>
      </c>
      <c r="E671" s="8">
        <v>14</v>
      </c>
      <c r="F671" s="10"/>
      <c r="G671" s="114"/>
      <c r="H671" s="103"/>
      <c r="I671" s="85"/>
      <c r="J671" s="104"/>
      <c r="K671" s="103"/>
    </row>
    <row r="672" spans="1:11">
      <c r="A672" s="8">
        <v>15</v>
      </c>
      <c r="C672" s="9" t="s">
        <v>177</v>
      </c>
      <c r="E672" s="8">
        <v>15</v>
      </c>
      <c r="F672" s="10"/>
      <c r="G672" s="114">
        <f>G665+G670</f>
        <v>0</v>
      </c>
      <c r="H672" s="114">
        <f>H665+H670</f>
        <v>0</v>
      </c>
      <c r="I672" s="85"/>
      <c r="J672" s="114">
        <f>J665+J670</f>
        <v>0</v>
      </c>
      <c r="K672" s="114">
        <f>K665+K670</f>
        <v>0</v>
      </c>
    </row>
    <row r="673" spans="1:11">
      <c r="A673" s="8">
        <v>16</v>
      </c>
      <c r="E673" s="8">
        <v>16</v>
      </c>
      <c r="F673" s="10"/>
      <c r="G673" s="114"/>
      <c r="H673" s="103"/>
      <c r="I673" s="85"/>
      <c r="J673" s="104"/>
      <c r="K673" s="103"/>
    </row>
    <row r="674" spans="1:11" s="36" customFormat="1">
      <c r="A674" s="8">
        <v>17</v>
      </c>
      <c r="B674" s="137"/>
      <c r="C674" s="9" t="s">
        <v>178</v>
      </c>
      <c r="D674" s="137"/>
      <c r="E674" s="8">
        <v>17</v>
      </c>
      <c r="F674" s="10"/>
      <c r="G674" s="114"/>
      <c r="H674" s="145">
        <v>0</v>
      </c>
      <c r="I674" s="85"/>
      <c r="J674" s="104"/>
      <c r="K674" s="145">
        <v>0</v>
      </c>
    </row>
    <row r="675" spans="1:11" s="36" customFormat="1">
      <c r="A675" s="8">
        <v>18</v>
      </c>
      <c r="B675" s="137"/>
      <c r="C675" s="9"/>
      <c r="D675" s="137"/>
      <c r="E675" s="8">
        <v>18</v>
      </c>
      <c r="F675" s="10"/>
      <c r="G675" s="114"/>
      <c r="H675" s="103"/>
      <c r="I675" s="85"/>
      <c r="J675" s="104"/>
      <c r="K675" s="103"/>
    </row>
    <row r="676" spans="1:11">
      <c r="A676" s="8">
        <v>19</v>
      </c>
      <c r="C676" s="9" t="s">
        <v>179</v>
      </c>
      <c r="E676" s="8">
        <v>19</v>
      </c>
      <c r="F676" s="10"/>
      <c r="G676" s="114"/>
      <c r="H676" s="145">
        <v>0</v>
      </c>
      <c r="I676" s="85"/>
      <c r="J676" s="104"/>
      <c r="K676" s="145"/>
    </row>
    <row r="677" spans="1:11">
      <c r="A677" s="8">
        <v>20</v>
      </c>
      <c r="C677" s="9" t="s">
        <v>180</v>
      </c>
      <c r="E677" s="8">
        <v>20</v>
      </c>
      <c r="F677" s="10"/>
      <c r="G677" s="114"/>
      <c r="H677" s="145">
        <v>0</v>
      </c>
      <c r="I677" s="85"/>
      <c r="J677" s="104"/>
      <c r="K677" s="145">
        <v>0</v>
      </c>
    </row>
    <row r="678" spans="1:11">
      <c r="A678" s="8">
        <v>21</v>
      </c>
      <c r="C678" s="9"/>
      <c r="E678" s="8">
        <v>21</v>
      </c>
      <c r="F678" s="10"/>
      <c r="G678" s="114"/>
      <c r="H678" s="103"/>
      <c r="I678" s="85"/>
      <c r="J678" s="104"/>
      <c r="K678" s="103"/>
    </row>
    <row r="679" spans="1:11">
      <c r="A679" s="8">
        <v>22</v>
      </c>
      <c r="C679" s="9"/>
      <c r="E679" s="8">
        <v>22</v>
      </c>
      <c r="F679" s="10"/>
      <c r="G679" s="114"/>
      <c r="H679" s="103"/>
      <c r="I679" s="85"/>
      <c r="J679" s="104"/>
      <c r="K679" s="103"/>
    </row>
    <row r="680" spans="1:11">
      <c r="A680" s="8">
        <v>23</v>
      </c>
      <c r="C680" s="9" t="s">
        <v>194</v>
      </c>
      <c r="E680" s="8">
        <v>23</v>
      </c>
      <c r="F680" s="10"/>
      <c r="G680" s="114"/>
      <c r="H680" s="145"/>
      <c r="I680" s="85"/>
      <c r="J680" s="104"/>
      <c r="K680" s="145"/>
    </row>
    <row r="681" spans="1:11">
      <c r="A681" s="8">
        <v>24</v>
      </c>
      <c r="C681" s="9"/>
      <c r="E681" s="8">
        <v>24</v>
      </c>
      <c r="F681" s="10"/>
      <c r="G681" s="114"/>
      <c r="H681" s="103"/>
      <c r="I681" s="85"/>
      <c r="J681" s="104"/>
      <c r="K681" s="103"/>
    </row>
    <row r="682" spans="1:11">
      <c r="E682" s="35"/>
      <c r="F682" s="70" t="s">
        <v>6</v>
      </c>
      <c r="G682" s="21" t="s">
        <v>6</v>
      </c>
      <c r="H682" s="21" t="s">
        <v>6</v>
      </c>
      <c r="I682" s="70" t="s">
        <v>6</v>
      </c>
      <c r="J682" s="21" t="s">
        <v>6</v>
      </c>
      <c r="K682" s="21" t="s">
        <v>6</v>
      </c>
    </row>
    <row r="683" spans="1:11">
      <c r="A683" s="8">
        <v>25</v>
      </c>
      <c r="C683" s="9" t="s">
        <v>201</v>
      </c>
      <c r="E683" s="8">
        <v>25</v>
      </c>
      <c r="G683" s="99">
        <f>SUM(G672:G682)</f>
        <v>0</v>
      </c>
      <c r="H683" s="99">
        <f>SUM(H672:H682)</f>
        <v>0</v>
      </c>
      <c r="I683" s="100"/>
      <c r="J683" s="99">
        <f>SUM(J672:J682)</f>
        <v>0</v>
      </c>
      <c r="K683" s="99">
        <f>SUM(K672:K682)</f>
        <v>0</v>
      </c>
    </row>
    <row r="684" spans="1:11">
      <c r="E684" s="35"/>
      <c r="F684" s="70" t="s">
        <v>6</v>
      </c>
      <c r="G684" s="20" t="s">
        <v>6</v>
      </c>
      <c r="H684" s="21" t="s">
        <v>6</v>
      </c>
      <c r="I684" s="70" t="s">
        <v>6</v>
      </c>
      <c r="J684" s="20" t="s">
        <v>6</v>
      </c>
      <c r="K684" s="21" t="s">
        <v>6</v>
      </c>
    </row>
    <row r="685" spans="1:11">
      <c r="C685" s="137" t="s">
        <v>49</v>
      </c>
      <c r="E685" s="35"/>
      <c r="F685" s="70"/>
      <c r="G685" s="20"/>
      <c r="H685" s="21"/>
      <c r="I685" s="70"/>
      <c r="J685" s="20"/>
      <c r="K685" s="21"/>
    </row>
    <row r="687" spans="1:11">
      <c r="A687" s="9"/>
    </row>
    <row r="688" spans="1:11">
      <c r="A688" s="16" t="str">
        <f>$A$83</f>
        <v xml:space="preserve">Institution No.:  </v>
      </c>
      <c r="B688" s="36"/>
      <c r="C688" s="36"/>
      <c r="D688" s="36"/>
      <c r="E688" s="37"/>
      <c r="F688" s="36"/>
      <c r="G688" s="38"/>
      <c r="H688" s="39"/>
      <c r="I688" s="36"/>
      <c r="J688" s="38"/>
      <c r="K688" s="15" t="s">
        <v>202</v>
      </c>
    </row>
    <row r="689" spans="1:11">
      <c r="A689" s="229" t="s">
        <v>203</v>
      </c>
      <c r="B689" s="229"/>
      <c r="C689" s="229"/>
      <c r="D689" s="229"/>
      <c r="E689" s="229"/>
      <c r="F689" s="229"/>
      <c r="G689" s="229"/>
      <c r="H689" s="229"/>
      <c r="I689" s="229"/>
      <c r="J689" s="229"/>
      <c r="K689" s="229"/>
    </row>
    <row r="690" spans="1:11">
      <c r="A690" s="16" t="str">
        <f>$A$42</f>
        <v xml:space="preserve">NAME: </v>
      </c>
      <c r="C690" s="137" t="str">
        <f>$D$20</f>
        <v>University of Colorado</v>
      </c>
      <c r="F690" s="72"/>
      <c r="G690" s="66"/>
      <c r="H690" s="40"/>
      <c r="J690" s="14"/>
      <c r="K690" s="18" t="str">
        <f>$K$3</f>
        <v>Date: October 09, 2017</v>
      </c>
    </row>
    <row r="691" spans="1:11">
      <c r="A691" s="19" t="s">
        <v>6</v>
      </c>
      <c r="B691" s="19" t="s">
        <v>6</v>
      </c>
      <c r="C691" s="19" t="s">
        <v>6</v>
      </c>
      <c r="D691" s="19" t="s">
        <v>6</v>
      </c>
      <c r="E691" s="19" t="s">
        <v>6</v>
      </c>
      <c r="F691" s="19" t="s">
        <v>6</v>
      </c>
      <c r="G691" s="20" t="s">
        <v>6</v>
      </c>
      <c r="H691" s="21" t="s">
        <v>6</v>
      </c>
      <c r="I691" s="19" t="s">
        <v>6</v>
      </c>
      <c r="J691" s="20" t="s">
        <v>6</v>
      </c>
      <c r="K691" s="21" t="s">
        <v>6</v>
      </c>
    </row>
    <row r="692" spans="1:11">
      <c r="A692" s="22" t="s">
        <v>7</v>
      </c>
      <c r="E692" s="22" t="s">
        <v>7</v>
      </c>
      <c r="F692" s="23"/>
      <c r="G692" s="24"/>
      <c r="H692" s="25" t="str">
        <f>H655</f>
        <v>2016-17</v>
      </c>
      <c r="I692" s="23"/>
      <c r="J692" s="24"/>
      <c r="K692" s="25" t="str">
        <f>K655</f>
        <v>2017-18</v>
      </c>
    </row>
    <row r="693" spans="1:11">
      <c r="A693" s="22" t="s">
        <v>9</v>
      </c>
      <c r="C693" s="26" t="s">
        <v>51</v>
      </c>
      <c r="E693" s="22" t="s">
        <v>9</v>
      </c>
      <c r="F693" s="23"/>
      <c r="G693" s="24" t="s">
        <v>11</v>
      </c>
      <c r="H693" s="25" t="s">
        <v>12</v>
      </c>
      <c r="I693" s="23"/>
      <c r="J693" s="24" t="s">
        <v>11</v>
      </c>
      <c r="K693" s="25" t="s">
        <v>13</v>
      </c>
    </row>
    <row r="694" spans="1:11">
      <c r="A694" s="19" t="s">
        <v>6</v>
      </c>
      <c r="B694" s="19" t="s">
        <v>6</v>
      </c>
      <c r="C694" s="19" t="s">
        <v>6</v>
      </c>
      <c r="D694" s="19" t="s">
        <v>6</v>
      </c>
      <c r="E694" s="19" t="s">
        <v>6</v>
      </c>
      <c r="F694" s="19" t="s">
        <v>6</v>
      </c>
      <c r="G694" s="20" t="s">
        <v>6</v>
      </c>
      <c r="H694" s="21" t="s">
        <v>6</v>
      </c>
      <c r="I694" s="19" t="s">
        <v>6</v>
      </c>
      <c r="J694" s="20" t="s">
        <v>6</v>
      </c>
      <c r="K694" s="21" t="s">
        <v>6</v>
      </c>
    </row>
    <row r="695" spans="1:11">
      <c r="A695" s="117">
        <v>1</v>
      </c>
      <c r="B695" s="118"/>
      <c r="C695" s="118" t="s">
        <v>227</v>
      </c>
      <c r="D695" s="118"/>
      <c r="E695" s="117">
        <v>1</v>
      </c>
      <c r="F695" s="119"/>
      <c r="G695" s="120"/>
      <c r="H695" s="121"/>
      <c r="I695" s="122"/>
      <c r="J695" s="123"/>
      <c r="K695" s="124"/>
    </row>
    <row r="696" spans="1:11">
      <c r="A696" s="117">
        <v>2</v>
      </c>
      <c r="B696" s="118"/>
      <c r="C696" s="118" t="s">
        <v>227</v>
      </c>
      <c r="D696" s="118"/>
      <c r="E696" s="117">
        <v>2</v>
      </c>
      <c r="F696" s="119"/>
      <c r="G696" s="120"/>
      <c r="H696" s="121"/>
      <c r="I696" s="122"/>
      <c r="J696" s="123"/>
      <c r="K696" s="121"/>
    </row>
    <row r="697" spans="1:11">
      <c r="A697" s="117">
        <v>3</v>
      </c>
      <c r="B697" s="118"/>
      <c r="C697" s="118" t="s">
        <v>227</v>
      </c>
      <c r="D697" s="118"/>
      <c r="E697" s="117">
        <v>3</v>
      </c>
      <c r="F697" s="119"/>
      <c r="G697" s="120"/>
      <c r="H697" s="121"/>
      <c r="I697" s="122"/>
      <c r="J697" s="123"/>
      <c r="K697" s="121"/>
    </row>
    <row r="698" spans="1:11">
      <c r="A698" s="117">
        <v>4</v>
      </c>
      <c r="B698" s="118"/>
      <c r="C698" s="118" t="s">
        <v>227</v>
      </c>
      <c r="D698" s="118"/>
      <c r="E698" s="117">
        <v>4</v>
      </c>
      <c r="F698" s="119"/>
      <c r="G698" s="120"/>
      <c r="H698" s="121"/>
      <c r="I698" s="125"/>
      <c r="J698" s="123"/>
      <c r="K698" s="121"/>
    </row>
    <row r="699" spans="1:11">
      <c r="A699" s="117">
        <v>5</v>
      </c>
      <c r="B699" s="118"/>
      <c r="C699" s="118" t="s">
        <v>227</v>
      </c>
      <c r="D699" s="118"/>
      <c r="E699" s="117">
        <v>5</v>
      </c>
      <c r="F699" s="119"/>
      <c r="G699" s="123"/>
      <c r="H699" s="121"/>
      <c r="I699" s="125"/>
      <c r="J699" s="123"/>
      <c r="K699" s="121"/>
    </row>
    <row r="700" spans="1:11">
      <c r="A700" s="8">
        <v>6</v>
      </c>
      <c r="C700" s="9" t="s">
        <v>190</v>
      </c>
      <c r="E700" s="8">
        <v>6</v>
      </c>
      <c r="F700" s="10"/>
      <c r="G700" s="144">
        <v>0</v>
      </c>
      <c r="H700" s="145">
        <v>0</v>
      </c>
      <c r="I700" s="30"/>
      <c r="J700" s="144">
        <v>0</v>
      </c>
      <c r="K700" s="145">
        <v>0</v>
      </c>
    </row>
    <row r="701" spans="1:11">
      <c r="A701" s="8">
        <v>7</v>
      </c>
      <c r="C701" s="9" t="s">
        <v>191</v>
      </c>
      <c r="E701" s="8">
        <v>7</v>
      </c>
      <c r="F701" s="10"/>
      <c r="G701" s="104"/>
      <c r="H701" s="145">
        <v>0</v>
      </c>
      <c r="I701" s="85"/>
      <c r="J701" s="104"/>
      <c r="K701" s="145">
        <v>0</v>
      </c>
    </row>
    <row r="702" spans="1:11">
      <c r="A702" s="8">
        <v>8</v>
      </c>
      <c r="C702" s="9" t="s">
        <v>192</v>
      </c>
      <c r="E702" s="8">
        <v>8</v>
      </c>
      <c r="F702" s="10"/>
      <c r="G702" s="104">
        <f>SUM(G700:G701)</f>
        <v>0</v>
      </c>
      <c r="H702" s="104">
        <f>SUM(H700:H701)</f>
        <v>0</v>
      </c>
      <c r="I702" s="85"/>
      <c r="J702" s="114">
        <f>SUM(J700:J701)</f>
        <v>0</v>
      </c>
      <c r="K702" s="114">
        <f>SUM(K700:K701)</f>
        <v>0</v>
      </c>
    </row>
    <row r="703" spans="1:11">
      <c r="A703" s="8">
        <v>9</v>
      </c>
      <c r="C703" s="9"/>
      <c r="E703" s="8">
        <v>9</v>
      </c>
      <c r="F703" s="10"/>
      <c r="G703" s="114"/>
      <c r="H703" s="103"/>
      <c r="I703" s="29"/>
      <c r="J703" s="104"/>
      <c r="K703" s="103"/>
    </row>
    <row r="704" spans="1:11">
      <c r="A704" s="8">
        <v>10</v>
      </c>
      <c r="C704" s="9"/>
      <c r="E704" s="8">
        <v>10</v>
      </c>
      <c r="F704" s="10"/>
      <c r="G704" s="114"/>
      <c r="H704" s="103"/>
      <c r="I704" s="30"/>
      <c r="J704" s="104"/>
      <c r="K704" s="103"/>
    </row>
    <row r="705" spans="1:11">
      <c r="A705" s="8">
        <v>11</v>
      </c>
      <c r="C705" s="9" t="s">
        <v>174</v>
      </c>
      <c r="E705" s="8">
        <v>11</v>
      </c>
      <c r="G705" s="143">
        <v>0</v>
      </c>
      <c r="H705" s="143">
        <v>0</v>
      </c>
      <c r="I705" s="29"/>
      <c r="J705" s="143">
        <v>0</v>
      </c>
      <c r="K705" s="146">
        <v>0</v>
      </c>
    </row>
    <row r="706" spans="1:11">
      <c r="A706" s="8">
        <v>12</v>
      </c>
      <c r="C706" s="9" t="s">
        <v>175</v>
      </c>
      <c r="E706" s="8">
        <v>12</v>
      </c>
      <c r="G706" s="115"/>
      <c r="H706" s="146">
        <v>0</v>
      </c>
      <c r="I706" s="30"/>
      <c r="J706" s="99"/>
      <c r="K706" s="146">
        <v>0</v>
      </c>
    </row>
    <row r="707" spans="1:11">
      <c r="A707" s="8">
        <v>13</v>
      </c>
      <c r="C707" s="9" t="s">
        <v>193</v>
      </c>
      <c r="E707" s="8">
        <v>13</v>
      </c>
      <c r="F707" s="10"/>
      <c r="G707" s="104">
        <f>SUM(G705:G706)</f>
        <v>0</v>
      </c>
      <c r="H707" s="114">
        <f>SUM(H705:H706)</f>
        <v>0</v>
      </c>
      <c r="I707" s="85"/>
      <c r="J707" s="114">
        <f>SUM(J705:J706)</f>
        <v>0</v>
      </c>
      <c r="K707" s="114">
        <f>SUM(K705:K706)</f>
        <v>0</v>
      </c>
    </row>
    <row r="708" spans="1:11">
      <c r="A708" s="8">
        <v>14</v>
      </c>
      <c r="E708" s="8">
        <v>14</v>
      </c>
      <c r="F708" s="10"/>
      <c r="G708" s="104"/>
      <c r="H708" s="103"/>
      <c r="I708" s="85"/>
      <c r="J708" s="104"/>
      <c r="K708" s="103"/>
    </row>
    <row r="709" spans="1:11">
      <c r="A709" s="8">
        <v>15</v>
      </c>
      <c r="C709" s="9" t="s">
        <v>177</v>
      </c>
      <c r="E709" s="8">
        <v>15</v>
      </c>
      <c r="F709" s="10"/>
      <c r="G709" s="104">
        <f>G702+G707</f>
        <v>0</v>
      </c>
      <c r="H709" s="114">
        <f>H702+H707</f>
        <v>0</v>
      </c>
      <c r="I709" s="85"/>
      <c r="J709" s="114">
        <f>J702+J707</f>
        <v>0</v>
      </c>
      <c r="K709" s="114">
        <f>K702+K707</f>
        <v>0</v>
      </c>
    </row>
    <row r="710" spans="1:11">
      <c r="A710" s="8">
        <v>16</v>
      </c>
      <c r="E710" s="8">
        <v>16</v>
      </c>
      <c r="F710" s="10"/>
      <c r="G710" s="114"/>
      <c r="H710" s="103"/>
      <c r="I710" s="85"/>
      <c r="J710" s="104"/>
      <c r="K710" s="103"/>
    </row>
    <row r="711" spans="1:11" s="36" customFormat="1">
      <c r="A711" s="8">
        <v>17</v>
      </c>
      <c r="B711" s="137"/>
      <c r="C711" s="9" t="s">
        <v>178</v>
      </c>
      <c r="D711" s="137"/>
      <c r="E711" s="8">
        <v>17</v>
      </c>
      <c r="F711" s="10"/>
      <c r="G711" s="114"/>
      <c r="H711" s="145">
        <v>0</v>
      </c>
      <c r="I711" s="85"/>
      <c r="J711" s="104"/>
      <c r="K711" s="145">
        <v>0</v>
      </c>
    </row>
    <row r="712" spans="1:11" s="36" customFormat="1">
      <c r="A712" s="8">
        <v>18</v>
      </c>
      <c r="B712" s="137"/>
      <c r="C712" s="9"/>
      <c r="D712" s="137"/>
      <c r="E712" s="8">
        <v>18</v>
      </c>
      <c r="F712" s="10"/>
      <c r="G712" s="114"/>
      <c r="H712" s="103"/>
      <c r="I712" s="85"/>
      <c r="J712" s="104"/>
      <c r="K712" s="103"/>
    </row>
    <row r="713" spans="1:11">
      <c r="A713" s="8">
        <v>19</v>
      </c>
      <c r="C713" s="9" t="s">
        <v>179</v>
      </c>
      <c r="E713" s="8">
        <v>19</v>
      </c>
      <c r="F713" s="10"/>
      <c r="G713" s="114"/>
      <c r="H713" s="145">
        <v>0</v>
      </c>
      <c r="I713" s="85"/>
      <c r="J713" s="104"/>
      <c r="K713" s="145"/>
    </row>
    <row r="714" spans="1:11">
      <c r="A714" s="8">
        <v>20</v>
      </c>
      <c r="C714" s="9" t="s">
        <v>180</v>
      </c>
      <c r="E714" s="8">
        <v>20</v>
      </c>
      <c r="F714" s="10"/>
      <c r="G714" s="114"/>
      <c r="H714" s="145">
        <v>0</v>
      </c>
      <c r="I714" s="85"/>
      <c r="J714" s="104"/>
      <c r="K714" s="145">
        <v>0</v>
      </c>
    </row>
    <row r="715" spans="1:11">
      <c r="A715" s="8">
        <v>21</v>
      </c>
      <c r="C715" s="9"/>
      <c r="E715" s="8">
        <v>21</v>
      </c>
      <c r="F715" s="10"/>
      <c r="G715" s="114"/>
      <c r="H715" s="103"/>
      <c r="I715" s="85"/>
      <c r="J715" s="104"/>
      <c r="K715" s="103"/>
    </row>
    <row r="716" spans="1:11">
      <c r="A716" s="8">
        <v>22</v>
      </c>
      <c r="C716" s="9"/>
      <c r="E716" s="8">
        <v>22</v>
      </c>
      <c r="F716" s="10"/>
      <c r="G716" s="114"/>
      <c r="H716" s="103"/>
      <c r="I716" s="85"/>
      <c r="J716" s="104"/>
      <c r="K716" s="103"/>
    </row>
    <row r="717" spans="1:11">
      <c r="A717" s="8">
        <v>23</v>
      </c>
      <c r="C717" s="9" t="s">
        <v>194</v>
      </c>
      <c r="E717" s="8">
        <v>23</v>
      </c>
      <c r="F717" s="10"/>
      <c r="G717" s="114"/>
      <c r="H717" s="145">
        <v>0</v>
      </c>
      <c r="I717" s="85"/>
      <c r="J717" s="104"/>
      <c r="K717" s="145"/>
    </row>
    <row r="718" spans="1:11">
      <c r="A718" s="8">
        <v>24</v>
      </c>
      <c r="C718" s="9"/>
      <c r="E718" s="8">
        <v>24</v>
      </c>
      <c r="F718" s="10"/>
      <c r="G718" s="114"/>
      <c r="H718" s="103"/>
      <c r="I718" s="85"/>
      <c r="J718" s="104"/>
      <c r="K718" s="103"/>
    </row>
    <row r="719" spans="1:11">
      <c r="E719" s="35"/>
      <c r="F719" s="70" t="s">
        <v>6</v>
      </c>
      <c r="G719" s="21" t="s">
        <v>6</v>
      </c>
      <c r="H719" s="21" t="s">
        <v>6</v>
      </c>
      <c r="I719" s="70" t="s">
        <v>6</v>
      </c>
      <c r="J719" s="21" t="s">
        <v>6</v>
      </c>
      <c r="K719" s="21" t="s">
        <v>6</v>
      </c>
    </row>
    <row r="720" spans="1:11">
      <c r="A720" s="8">
        <v>25</v>
      </c>
      <c r="C720" s="9" t="s">
        <v>204</v>
      </c>
      <c r="E720" s="8">
        <v>25</v>
      </c>
      <c r="G720" s="99">
        <f>SUM(G709:G719)</f>
        <v>0</v>
      </c>
      <c r="H720" s="99">
        <f>SUM(H709:H719)</f>
        <v>0</v>
      </c>
      <c r="I720" s="100"/>
      <c r="J720" s="99">
        <f>SUM(J709:J719)</f>
        <v>0</v>
      </c>
      <c r="K720" s="99">
        <f>SUM(K709:K719)</f>
        <v>0</v>
      </c>
    </row>
    <row r="721" spans="1:11">
      <c r="E721" s="35"/>
      <c r="F721" s="70" t="s">
        <v>6</v>
      </c>
      <c r="G721" s="20" t="s">
        <v>6</v>
      </c>
      <c r="H721" s="21" t="s">
        <v>6</v>
      </c>
      <c r="I721" s="70" t="s">
        <v>6</v>
      </c>
      <c r="J721" s="20" t="s">
        <v>6</v>
      </c>
      <c r="K721" s="21" t="s">
        <v>6</v>
      </c>
    </row>
    <row r="722" spans="1:11">
      <c r="C722" s="137" t="s">
        <v>49</v>
      </c>
    </row>
    <row r="725" spans="1:11">
      <c r="A725" s="16" t="str">
        <f>$A$83</f>
        <v xml:space="preserve">Institution No.:  </v>
      </c>
      <c r="B725" s="36"/>
      <c r="C725" s="36"/>
      <c r="D725" s="36"/>
      <c r="E725" s="37"/>
      <c r="F725" s="36"/>
      <c r="G725" s="38"/>
      <c r="H725" s="39"/>
      <c r="I725" s="36"/>
      <c r="J725" s="38"/>
      <c r="K725" s="15" t="s">
        <v>205</v>
      </c>
    </row>
    <row r="726" spans="1:11">
      <c r="A726" s="229" t="s">
        <v>206</v>
      </c>
      <c r="B726" s="229"/>
      <c r="C726" s="229"/>
      <c r="D726" s="229"/>
      <c r="E726" s="229"/>
      <c r="F726" s="229"/>
      <c r="G726" s="229"/>
      <c r="H726" s="229"/>
      <c r="I726" s="229"/>
      <c r="J726" s="229"/>
      <c r="K726" s="229"/>
    </row>
    <row r="727" spans="1:11">
      <c r="A727" s="16" t="str">
        <f>$A$42</f>
        <v xml:space="preserve">NAME: </v>
      </c>
      <c r="C727" s="137" t="str">
        <f>$D$20</f>
        <v>University of Colorado</v>
      </c>
      <c r="F727" s="72"/>
      <c r="G727" s="66"/>
      <c r="H727" s="67"/>
      <c r="J727" s="14"/>
      <c r="K727" s="18" t="str">
        <f>$K$3</f>
        <v>Date: October 09, 2017</v>
      </c>
    </row>
    <row r="728" spans="1:11">
      <c r="A728" s="19" t="s">
        <v>6</v>
      </c>
      <c r="B728" s="19" t="s">
        <v>6</v>
      </c>
      <c r="C728" s="19" t="s">
        <v>6</v>
      </c>
      <c r="D728" s="19" t="s">
        <v>6</v>
      </c>
      <c r="E728" s="19" t="s">
        <v>6</v>
      </c>
      <c r="F728" s="19" t="s">
        <v>6</v>
      </c>
      <c r="G728" s="20" t="s">
        <v>6</v>
      </c>
      <c r="H728" s="21" t="s">
        <v>6</v>
      </c>
      <c r="I728" s="19" t="s">
        <v>6</v>
      </c>
      <c r="J728" s="20" t="s">
        <v>6</v>
      </c>
      <c r="K728" s="21" t="s">
        <v>6</v>
      </c>
    </row>
    <row r="729" spans="1:11">
      <c r="A729" s="22" t="s">
        <v>7</v>
      </c>
      <c r="E729" s="22" t="s">
        <v>7</v>
      </c>
      <c r="F729" s="23"/>
      <c r="G729" s="24"/>
      <c r="H729" s="25" t="str">
        <f>H692</f>
        <v>2016-17</v>
      </c>
      <c r="I729" s="23"/>
      <c r="J729" s="24"/>
      <c r="K729" s="25" t="str">
        <f>K692</f>
        <v>2017-18</v>
      </c>
    </row>
    <row r="730" spans="1:11">
      <c r="A730" s="22" t="s">
        <v>9</v>
      </c>
      <c r="C730" s="26" t="s">
        <v>51</v>
      </c>
      <c r="E730" s="22" t="s">
        <v>9</v>
      </c>
      <c r="F730" s="23"/>
      <c r="G730" s="24" t="s">
        <v>11</v>
      </c>
      <c r="H730" s="25" t="s">
        <v>12</v>
      </c>
      <c r="I730" s="23"/>
      <c r="J730" s="24" t="s">
        <v>11</v>
      </c>
      <c r="K730" s="25" t="s">
        <v>13</v>
      </c>
    </row>
    <row r="731" spans="1:11">
      <c r="A731" s="19" t="s">
        <v>6</v>
      </c>
      <c r="B731" s="19" t="s">
        <v>6</v>
      </c>
      <c r="C731" s="19" t="s">
        <v>6</v>
      </c>
      <c r="D731" s="19" t="s">
        <v>6</v>
      </c>
      <c r="E731" s="19" t="s">
        <v>6</v>
      </c>
      <c r="F731" s="19" t="s">
        <v>6</v>
      </c>
      <c r="G731" s="20"/>
      <c r="H731" s="21"/>
      <c r="I731" s="19"/>
      <c r="J731" s="20"/>
      <c r="K731" s="21"/>
    </row>
    <row r="732" spans="1:11">
      <c r="A732" s="117">
        <v>1</v>
      </c>
      <c r="B732" s="118"/>
      <c r="C732" s="118" t="s">
        <v>227</v>
      </c>
      <c r="D732" s="118"/>
      <c r="E732" s="117">
        <v>1</v>
      </c>
      <c r="F732" s="119"/>
      <c r="G732" s="120"/>
      <c r="H732" s="121"/>
      <c r="I732" s="122"/>
      <c r="J732" s="123"/>
      <c r="K732" s="124"/>
    </row>
    <row r="733" spans="1:11">
      <c r="A733" s="117">
        <v>2</v>
      </c>
      <c r="B733" s="118"/>
      <c r="C733" s="118" t="s">
        <v>227</v>
      </c>
      <c r="D733" s="118"/>
      <c r="E733" s="117">
        <v>2</v>
      </c>
      <c r="F733" s="119"/>
      <c r="G733" s="120"/>
      <c r="H733" s="121"/>
      <c r="I733" s="122"/>
      <c r="J733" s="123"/>
      <c r="K733" s="121"/>
    </row>
    <row r="734" spans="1:11">
      <c r="A734" s="117">
        <v>3</v>
      </c>
      <c r="B734" s="118"/>
      <c r="C734" s="118" t="s">
        <v>227</v>
      </c>
      <c r="D734" s="118"/>
      <c r="E734" s="117">
        <v>3</v>
      </c>
      <c r="F734" s="119"/>
      <c r="G734" s="120"/>
      <c r="H734" s="121"/>
      <c r="I734" s="122"/>
      <c r="J734" s="123"/>
      <c r="K734" s="121"/>
    </row>
    <row r="735" spans="1:11">
      <c r="A735" s="117">
        <v>4</v>
      </c>
      <c r="B735" s="118"/>
      <c r="C735" s="118" t="s">
        <v>227</v>
      </c>
      <c r="D735" s="118"/>
      <c r="E735" s="117">
        <v>4</v>
      </c>
      <c r="F735" s="119"/>
      <c r="G735" s="120"/>
      <c r="H735" s="121"/>
      <c r="I735" s="125"/>
      <c r="J735" s="123"/>
      <c r="K735" s="121"/>
    </row>
    <row r="736" spans="1:11">
      <c r="A736" s="117">
        <v>5</v>
      </c>
      <c r="B736" s="118"/>
      <c r="C736" s="118" t="s">
        <v>227</v>
      </c>
      <c r="D736" s="118"/>
      <c r="E736" s="117">
        <v>5</v>
      </c>
      <c r="F736" s="119"/>
      <c r="G736" s="120"/>
      <c r="H736" s="121"/>
      <c r="I736" s="125"/>
      <c r="J736" s="123"/>
      <c r="K736" s="121"/>
    </row>
    <row r="737" spans="1:11">
      <c r="A737" s="8">
        <v>6</v>
      </c>
      <c r="C737" s="9" t="s">
        <v>190</v>
      </c>
      <c r="E737" s="8">
        <v>6</v>
      </c>
      <c r="F737" s="10"/>
      <c r="G737" s="157">
        <v>0</v>
      </c>
      <c r="H737" s="145">
        <v>0</v>
      </c>
      <c r="I737" s="30"/>
      <c r="J737" s="144">
        <v>0</v>
      </c>
      <c r="K737" s="145">
        <v>0</v>
      </c>
    </row>
    <row r="738" spans="1:11">
      <c r="A738" s="8">
        <v>7</v>
      </c>
      <c r="C738" s="9" t="s">
        <v>191</v>
      </c>
      <c r="E738" s="8">
        <v>7</v>
      </c>
      <c r="F738" s="10"/>
      <c r="G738" s="114"/>
      <c r="H738" s="145">
        <v>0</v>
      </c>
      <c r="I738" s="85"/>
      <c r="J738" s="104"/>
      <c r="K738" s="145">
        <v>0</v>
      </c>
    </row>
    <row r="739" spans="1:11">
      <c r="A739" s="8">
        <v>8</v>
      </c>
      <c r="C739" s="9" t="s">
        <v>192</v>
      </c>
      <c r="E739" s="8">
        <v>8</v>
      </c>
      <c r="F739" s="10"/>
      <c r="G739" s="114">
        <f>SUM(G737:G738)</f>
        <v>0</v>
      </c>
      <c r="H739" s="104">
        <f>SUM(H737:H738)</f>
        <v>0</v>
      </c>
      <c r="I739" s="85"/>
      <c r="J739" s="114">
        <f>SUM(J737:J738)</f>
        <v>0</v>
      </c>
      <c r="K739" s="104">
        <f>SUM(K737:K738)</f>
        <v>0</v>
      </c>
    </row>
    <row r="740" spans="1:11">
      <c r="A740" s="8">
        <v>9</v>
      </c>
      <c r="C740" s="9"/>
      <c r="E740" s="8">
        <v>9</v>
      </c>
      <c r="F740" s="10"/>
      <c r="G740" s="114"/>
      <c r="H740" s="103"/>
      <c r="I740" s="29"/>
      <c r="J740" s="104"/>
      <c r="K740" s="103"/>
    </row>
    <row r="741" spans="1:11">
      <c r="A741" s="8">
        <v>10</v>
      </c>
      <c r="C741" s="9"/>
      <c r="E741" s="8">
        <v>10</v>
      </c>
      <c r="F741" s="10"/>
      <c r="G741" s="114"/>
      <c r="H741" s="103"/>
      <c r="I741" s="30"/>
      <c r="J741" s="104"/>
      <c r="K741" s="103"/>
    </row>
    <row r="742" spans="1:11">
      <c r="A742" s="8">
        <v>11</v>
      </c>
      <c r="C742" s="9" t="s">
        <v>174</v>
      </c>
      <c r="E742" s="8">
        <v>11</v>
      </c>
      <c r="G742" s="143">
        <v>0</v>
      </c>
      <c r="H742" s="143">
        <v>0</v>
      </c>
      <c r="I742" s="29"/>
      <c r="J742" s="143">
        <v>0</v>
      </c>
      <c r="K742" s="146">
        <v>0</v>
      </c>
    </row>
    <row r="743" spans="1:11">
      <c r="A743" s="8">
        <v>12</v>
      </c>
      <c r="C743" s="9" t="s">
        <v>175</v>
      </c>
      <c r="E743" s="8">
        <v>12</v>
      </c>
      <c r="G743" s="115"/>
      <c r="H743" s="146">
        <v>0</v>
      </c>
      <c r="I743" s="30"/>
      <c r="J743" s="99"/>
      <c r="K743" s="146">
        <v>0</v>
      </c>
    </row>
    <row r="744" spans="1:11">
      <c r="A744" s="8">
        <v>13</v>
      </c>
      <c r="C744" s="9" t="s">
        <v>193</v>
      </c>
      <c r="E744" s="8">
        <v>13</v>
      </c>
      <c r="F744" s="10"/>
      <c r="G744" s="114">
        <f>SUM(G742:G743)</f>
        <v>0</v>
      </c>
      <c r="H744" s="104">
        <f>SUM(H742:H743)</f>
        <v>0</v>
      </c>
      <c r="I744" s="85"/>
      <c r="J744" s="114">
        <f>SUM(J742:J743)</f>
        <v>0</v>
      </c>
      <c r="K744" s="114">
        <f>SUM(K742:K743)</f>
        <v>0</v>
      </c>
    </row>
    <row r="745" spans="1:11">
      <c r="A745" s="8">
        <v>14</v>
      </c>
      <c r="E745" s="8">
        <v>14</v>
      </c>
      <c r="F745" s="10"/>
      <c r="G745" s="114"/>
      <c r="H745" s="103"/>
      <c r="I745" s="85"/>
      <c r="J745" s="104"/>
      <c r="K745" s="103"/>
    </row>
    <row r="746" spans="1:11" ht="24.75" customHeight="1">
      <c r="A746" s="8">
        <v>15</v>
      </c>
      <c r="C746" s="9" t="s">
        <v>177</v>
      </c>
      <c r="E746" s="8">
        <v>15</v>
      </c>
      <c r="F746" s="10"/>
      <c r="G746" s="114">
        <f>G739+G744</f>
        <v>0</v>
      </c>
      <c r="H746" s="114">
        <f>H739+H744</f>
        <v>0</v>
      </c>
      <c r="I746" s="85"/>
      <c r="J746" s="114">
        <f>J739+J744</f>
        <v>0</v>
      </c>
      <c r="K746" s="114">
        <f>K739+K744</f>
        <v>0</v>
      </c>
    </row>
    <row r="747" spans="1:11" s="82" customFormat="1">
      <c r="A747" s="8">
        <v>16</v>
      </c>
      <c r="B747" s="137"/>
      <c r="C747" s="137"/>
      <c r="D747" s="137"/>
      <c r="E747" s="8">
        <v>16</v>
      </c>
      <c r="F747" s="10"/>
      <c r="G747" s="114"/>
      <c r="H747" s="103"/>
      <c r="I747" s="85"/>
      <c r="J747" s="104"/>
      <c r="K747" s="103"/>
    </row>
    <row r="748" spans="1:11">
      <c r="A748" s="8">
        <v>17</v>
      </c>
      <c r="C748" s="9" t="s">
        <v>178</v>
      </c>
      <c r="E748" s="8">
        <v>17</v>
      </c>
      <c r="F748" s="10"/>
      <c r="G748" s="114"/>
      <c r="H748" s="145">
        <v>0</v>
      </c>
      <c r="I748" s="85"/>
      <c r="J748" s="104"/>
      <c r="K748" s="145">
        <v>0</v>
      </c>
    </row>
    <row r="749" spans="1:11">
      <c r="A749" s="8">
        <v>18</v>
      </c>
      <c r="C749" s="9"/>
      <c r="E749" s="8">
        <v>18</v>
      </c>
      <c r="F749" s="10"/>
      <c r="G749" s="114"/>
      <c r="H749" s="103"/>
      <c r="I749" s="85"/>
      <c r="J749" s="104"/>
      <c r="K749" s="103"/>
    </row>
    <row r="750" spans="1:11" s="36" customFormat="1">
      <c r="A750" s="8">
        <v>19</v>
      </c>
      <c r="B750" s="137"/>
      <c r="C750" s="9" t="s">
        <v>179</v>
      </c>
      <c r="D750" s="137"/>
      <c r="E750" s="8">
        <v>19</v>
      </c>
      <c r="F750" s="10"/>
      <c r="G750" s="114"/>
      <c r="H750" s="145">
        <v>0</v>
      </c>
      <c r="I750" s="85"/>
      <c r="J750" s="104"/>
      <c r="K750" s="145"/>
    </row>
    <row r="751" spans="1:11" s="36" customFormat="1">
      <c r="A751" s="8">
        <v>20</v>
      </c>
      <c r="B751" s="137"/>
      <c r="C751" s="9" t="s">
        <v>180</v>
      </c>
      <c r="D751" s="137"/>
      <c r="E751" s="8">
        <v>20</v>
      </c>
      <c r="F751" s="10"/>
      <c r="G751" s="114"/>
      <c r="H751" s="145">
        <v>0</v>
      </c>
      <c r="I751" s="85"/>
      <c r="J751" s="104"/>
      <c r="K751" s="145">
        <v>0</v>
      </c>
    </row>
    <row r="752" spans="1:11">
      <c r="A752" s="8">
        <v>21</v>
      </c>
      <c r="C752" s="9" t="s">
        <v>225</v>
      </c>
      <c r="E752" s="8">
        <v>21</v>
      </c>
      <c r="F752" s="10"/>
      <c r="G752" s="114"/>
      <c r="H752" s="145">
        <v>0</v>
      </c>
      <c r="I752" s="85"/>
      <c r="J752" s="104"/>
      <c r="K752" s="145">
        <v>0</v>
      </c>
    </row>
    <row r="753" spans="1:11">
      <c r="A753" s="8">
        <v>22</v>
      </c>
      <c r="C753" s="9"/>
      <c r="E753" s="8">
        <v>22</v>
      </c>
      <c r="F753" s="10"/>
      <c r="G753" s="114"/>
      <c r="H753" s="103"/>
      <c r="I753" s="85"/>
      <c r="J753" s="104"/>
      <c r="K753" s="103"/>
    </row>
    <row r="754" spans="1:11">
      <c r="A754" s="8">
        <v>23</v>
      </c>
      <c r="C754" s="9" t="s">
        <v>194</v>
      </c>
      <c r="E754" s="8">
        <v>23</v>
      </c>
      <c r="F754" s="10"/>
      <c r="G754" s="114"/>
      <c r="H754" s="145">
        <v>0</v>
      </c>
      <c r="I754" s="85"/>
      <c r="J754" s="104"/>
      <c r="K754" s="145"/>
    </row>
    <row r="755" spans="1:11">
      <c r="A755" s="8">
        <v>24</v>
      </c>
      <c r="C755" s="9"/>
      <c r="E755" s="8">
        <v>24</v>
      </c>
      <c r="F755" s="10"/>
      <c r="G755" s="114"/>
      <c r="H755" s="103"/>
      <c r="I755" s="85"/>
      <c r="J755" s="104"/>
      <c r="K755" s="103"/>
    </row>
    <row r="756" spans="1:11">
      <c r="E756" s="35"/>
      <c r="F756" s="70" t="s">
        <v>6</v>
      </c>
      <c r="G756" s="21" t="s">
        <v>6</v>
      </c>
      <c r="H756" s="21" t="s">
        <v>6</v>
      </c>
      <c r="I756" s="70" t="s">
        <v>6</v>
      </c>
      <c r="J756" s="21" t="s">
        <v>6</v>
      </c>
      <c r="K756" s="21" t="s">
        <v>6</v>
      </c>
    </row>
    <row r="757" spans="1:11">
      <c r="A757" s="8">
        <v>25</v>
      </c>
      <c r="C757" s="9" t="s">
        <v>207</v>
      </c>
      <c r="E757" s="8">
        <v>25</v>
      </c>
      <c r="G757" s="99">
        <f>SUM(G746:G756)</f>
        <v>0</v>
      </c>
      <c r="H757" s="99">
        <f>SUM(H746:H756)</f>
        <v>0</v>
      </c>
      <c r="I757" s="100"/>
      <c r="J757" s="99">
        <f>SUM(J746:J756)</f>
        <v>0</v>
      </c>
      <c r="K757" s="99">
        <f>SUM(K746:K756)</f>
        <v>0</v>
      </c>
    </row>
    <row r="758" spans="1:11">
      <c r="E758" s="35"/>
      <c r="F758" s="70" t="s">
        <v>6</v>
      </c>
      <c r="G758" s="20" t="s">
        <v>6</v>
      </c>
      <c r="H758" s="21" t="s">
        <v>6</v>
      </c>
      <c r="I758" s="70" t="s">
        <v>6</v>
      </c>
      <c r="J758" s="20" t="s">
        <v>6</v>
      </c>
      <c r="K758" s="21" t="s">
        <v>6</v>
      </c>
    </row>
    <row r="759" spans="1:11">
      <c r="C759" s="137" t="s">
        <v>49</v>
      </c>
      <c r="E759" s="35"/>
      <c r="F759" s="70"/>
      <c r="G759" s="20"/>
      <c r="H759" s="21"/>
      <c r="I759" s="70"/>
      <c r="J759" s="20"/>
      <c r="K759" s="21"/>
    </row>
    <row r="761" spans="1:11">
      <c r="A761" s="9"/>
    </row>
    <row r="762" spans="1:11">
      <c r="A762" s="16" t="str">
        <f>$A$83</f>
        <v xml:space="preserve">Institution No.:  </v>
      </c>
      <c r="B762" s="36"/>
      <c r="C762" s="36"/>
      <c r="D762" s="36"/>
      <c r="E762" s="37"/>
      <c r="F762" s="36"/>
      <c r="G762" s="38"/>
      <c r="H762" s="39"/>
      <c r="I762" s="36"/>
      <c r="J762" s="38"/>
      <c r="K762" s="15" t="s">
        <v>208</v>
      </c>
    </row>
    <row r="763" spans="1:11">
      <c r="A763" s="229" t="s">
        <v>209</v>
      </c>
      <c r="B763" s="229"/>
      <c r="C763" s="229"/>
      <c r="D763" s="229"/>
      <c r="E763" s="229"/>
      <c r="F763" s="229"/>
      <c r="G763" s="229"/>
      <c r="H763" s="229"/>
      <c r="I763" s="229"/>
      <c r="J763" s="229"/>
      <c r="K763" s="229"/>
    </row>
    <row r="764" spans="1:11">
      <c r="A764" s="16" t="str">
        <f>$A$42</f>
        <v xml:space="preserve">NAME: </v>
      </c>
      <c r="C764" s="137" t="str">
        <f>$D$20</f>
        <v>University of Colorado</v>
      </c>
      <c r="F764" s="72"/>
      <c r="G764" s="66"/>
      <c r="H764" s="67"/>
      <c r="J764" s="14"/>
      <c r="K764" s="18" t="str">
        <f>$K$3</f>
        <v>Date: October 09, 2017</v>
      </c>
    </row>
    <row r="765" spans="1:11">
      <c r="A765" s="19" t="s">
        <v>6</v>
      </c>
      <c r="B765" s="19" t="s">
        <v>6</v>
      </c>
      <c r="C765" s="19" t="s">
        <v>6</v>
      </c>
      <c r="D765" s="19" t="s">
        <v>6</v>
      </c>
      <c r="E765" s="19" t="s">
        <v>6</v>
      </c>
      <c r="F765" s="19" t="s">
        <v>6</v>
      </c>
      <c r="G765" s="20" t="s">
        <v>6</v>
      </c>
      <c r="H765" s="21" t="s">
        <v>6</v>
      </c>
      <c r="I765" s="19" t="s">
        <v>6</v>
      </c>
      <c r="J765" s="20" t="s">
        <v>6</v>
      </c>
      <c r="K765" s="21" t="s">
        <v>6</v>
      </c>
    </row>
    <row r="766" spans="1:11">
      <c r="A766" s="22" t="s">
        <v>7</v>
      </c>
      <c r="E766" s="22" t="s">
        <v>7</v>
      </c>
      <c r="F766" s="23"/>
      <c r="G766" s="24"/>
      <c r="H766" s="25" t="str">
        <f>+H729</f>
        <v>2016-17</v>
      </c>
      <c r="I766" s="23"/>
      <c r="J766" s="24"/>
      <c r="K766" s="25" t="str">
        <f>+K729</f>
        <v>2017-18</v>
      </c>
    </row>
    <row r="767" spans="1:11">
      <c r="A767" s="22" t="s">
        <v>9</v>
      </c>
      <c r="C767" s="26" t="s">
        <v>51</v>
      </c>
      <c r="E767" s="22" t="s">
        <v>9</v>
      </c>
      <c r="G767" s="14"/>
      <c r="H767" s="25" t="s">
        <v>12</v>
      </c>
      <c r="J767" s="14"/>
      <c r="K767" s="25" t="s">
        <v>13</v>
      </c>
    </row>
    <row r="768" spans="1:11">
      <c r="A768" s="19" t="s">
        <v>6</v>
      </c>
      <c r="B768" s="19" t="s">
        <v>6</v>
      </c>
      <c r="C768" s="19" t="s">
        <v>6</v>
      </c>
      <c r="D768" s="19" t="s">
        <v>6</v>
      </c>
      <c r="E768" s="19" t="s">
        <v>6</v>
      </c>
      <c r="F768" s="19" t="s">
        <v>6</v>
      </c>
      <c r="G768" s="20" t="s">
        <v>6</v>
      </c>
      <c r="H768" s="21" t="s">
        <v>6</v>
      </c>
      <c r="I768" s="19" t="s">
        <v>6</v>
      </c>
      <c r="J768" s="20" t="s">
        <v>6</v>
      </c>
      <c r="K768" s="21" t="s">
        <v>6</v>
      </c>
    </row>
    <row r="769" spans="1:16">
      <c r="A769" s="8">
        <v>1</v>
      </c>
      <c r="C769" s="9" t="s">
        <v>210</v>
      </c>
      <c r="E769" s="8">
        <v>1</v>
      </c>
      <c r="F769" s="10"/>
      <c r="G769" s="110"/>
      <c r="H769" s="156">
        <v>0</v>
      </c>
      <c r="I769" s="110"/>
      <c r="J769" s="110"/>
      <c r="K769" s="156">
        <v>0</v>
      </c>
    </row>
    <row r="770" spans="1:16">
      <c r="A770" s="8">
        <f t="shared" ref="A770:A787" si="3">(A769+1)</f>
        <v>2</v>
      </c>
      <c r="C770" s="10"/>
      <c r="E770" s="8">
        <f t="shared" ref="E770:E787" si="4">(E769+1)</f>
        <v>2</v>
      </c>
      <c r="F770" s="10"/>
      <c r="G770" s="11"/>
      <c r="H770" s="12"/>
      <c r="I770" s="10"/>
      <c r="J770" s="11"/>
      <c r="K770" s="12"/>
    </row>
    <row r="771" spans="1:16">
      <c r="A771" s="8">
        <f t="shared" si="3"/>
        <v>3</v>
      </c>
      <c r="C771" s="10"/>
      <c r="E771" s="8">
        <f t="shared" si="4"/>
        <v>3</v>
      </c>
      <c r="F771" s="10"/>
      <c r="G771" s="11"/>
      <c r="H771" s="12"/>
      <c r="I771" s="10"/>
      <c r="J771" s="11"/>
      <c r="K771" s="12"/>
      <c r="P771" s="137" t="s">
        <v>38</v>
      </c>
    </row>
    <row r="772" spans="1:16">
      <c r="A772" s="8">
        <f t="shared" si="3"/>
        <v>4</v>
      </c>
      <c r="C772" s="10"/>
      <c r="E772" s="8">
        <f t="shared" si="4"/>
        <v>4</v>
      </c>
      <c r="F772" s="10"/>
      <c r="G772" s="11"/>
      <c r="H772" s="12"/>
      <c r="I772" s="10"/>
      <c r="J772" s="11"/>
      <c r="K772" s="12"/>
    </row>
    <row r="773" spans="1:16">
      <c r="A773" s="8">
        <f t="shared" si="3"/>
        <v>5</v>
      </c>
      <c r="C773" s="10"/>
      <c r="E773" s="8">
        <f t="shared" si="4"/>
        <v>5</v>
      </c>
      <c r="F773" s="10"/>
      <c r="G773" s="11"/>
      <c r="H773" s="12"/>
      <c r="I773" s="10"/>
      <c r="J773" s="11"/>
      <c r="K773" s="12"/>
    </row>
    <row r="774" spans="1:16">
      <c r="A774" s="8">
        <f t="shared" si="3"/>
        <v>6</v>
      </c>
      <c r="C774" s="10"/>
      <c r="E774" s="8">
        <f t="shared" si="4"/>
        <v>6</v>
      </c>
      <c r="F774" s="10"/>
      <c r="G774" s="11"/>
      <c r="H774" s="12"/>
      <c r="I774" s="10"/>
      <c r="J774" s="11"/>
      <c r="K774" s="12"/>
    </row>
    <row r="775" spans="1:16">
      <c r="A775" s="8">
        <f t="shared" si="3"/>
        <v>7</v>
      </c>
      <c r="C775" s="10"/>
      <c r="E775" s="8">
        <f t="shared" si="4"/>
        <v>7</v>
      </c>
      <c r="F775" s="10"/>
      <c r="G775" s="11"/>
      <c r="H775" s="12"/>
      <c r="I775" s="10"/>
      <c r="J775" s="11"/>
      <c r="K775" s="12"/>
    </row>
    <row r="776" spans="1:16">
      <c r="A776" s="8">
        <f t="shared" si="3"/>
        <v>8</v>
      </c>
      <c r="C776" s="10"/>
      <c r="E776" s="8">
        <f t="shared" si="4"/>
        <v>8</v>
      </c>
      <c r="F776" s="10"/>
      <c r="G776" s="11"/>
      <c r="H776" s="12"/>
      <c r="I776" s="10"/>
      <c r="J776" s="11"/>
      <c r="K776" s="12"/>
    </row>
    <row r="777" spans="1:16">
      <c r="A777" s="8">
        <f t="shared" si="3"/>
        <v>9</v>
      </c>
      <c r="C777" s="10"/>
      <c r="E777" s="8">
        <f t="shared" si="4"/>
        <v>9</v>
      </c>
      <c r="F777" s="10"/>
      <c r="G777" s="11"/>
      <c r="H777" s="12"/>
      <c r="I777" s="10"/>
      <c r="J777" s="11"/>
      <c r="K777" s="12"/>
    </row>
    <row r="778" spans="1:16">
      <c r="A778" s="8">
        <f t="shared" si="3"/>
        <v>10</v>
      </c>
      <c r="C778" s="10"/>
      <c r="E778" s="8">
        <f t="shared" si="4"/>
        <v>10</v>
      </c>
      <c r="F778" s="10"/>
      <c r="G778" s="11"/>
      <c r="H778" s="12"/>
      <c r="I778" s="10"/>
      <c r="J778" s="11"/>
      <c r="K778" s="12"/>
    </row>
    <row r="779" spans="1:16">
      <c r="A779" s="8">
        <f t="shared" si="3"/>
        <v>11</v>
      </c>
      <c r="C779" s="10"/>
      <c r="E779" s="8">
        <f t="shared" si="4"/>
        <v>11</v>
      </c>
      <c r="G779" s="11"/>
      <c r="H779" s="12"/>
      <c r="I779" s="10"/>
      <c r="J779" s="11"/>
      <c r="K779" s="12"/>
    </row>
    <row r="780" spans="1:16">
      <c r="A780" s="8">
        <f t="shared" si="3"/>
        <v>12</v>
      </c>
      <c r="C780" s="10"/>
      <c r="E780" s="8">
        <f t="shared" si="4"/>
        <v>12</v>
      </c>
      <c r="G780" s="11"/>
      <c r="H780" s="12"/>
      <c r="I780" s="10"/>
      <c r="J780" s="11"/>
      <c r="K780" s="12"/>
    </row>
    <row r="781" spans="1:16">
      <c r="A781" s="8">
        <f t="shared" si="3"/>
        <v>13</v>
      </c>
      <c r="C781" s="10"/>
      <c r="E781" s="8">
        <f t="shared" si="4"/>
        <v>13</v>
      </c>
      <c r="F781" s="10"/>
      <c r="G781" s="11"/>
      <c r="H781" s="12"/>
      <c r="I781" s="10"/>
      <c r="J781" s="11"/>
      <c r="K781" s="12"/>
    </row>
    <row r="782" spans="1:16">
      <c r="A782" s="8">
        <f t="shared" si="3"/>
        <v>14</v>
      </c>
      <c r="C782" s="10"/>
      <c r="E782" s="8">
        <f t="shared" si="4"/>
        <v>14</v>
      </c>
      <c r="F782" s="10"/>
      <c r="G782" s="11"/>
      <c r="H782" s="12"/>
      <c r="I782" s="10"/>
      <c r="J782" s="11"/>
      <c r="K782" s="12"/>
    </row>
    <row r="783" spans="1:16">
      <c r="A783" s="8">
        <f t="shared" si="3"/>
        <v>15</v>
      </c>
      <c r="C783" s="10"/>
      <c r="E783" s="8">
        <f t="shared" si="4"/>
        <v>15</v>
      </c>
      <c r="F783" s="10"/>
      <c r="G783" s="11"/>
      <c r="H783" s="12"/>
      <c r="I783" s="10"/>
      <c r="J783" s="11"/>
      <c r="K783" s="12"/>
    </row>
    <row r="784" spans="1:16">
      <c r="A784" s="8">
        <f t="shared" si="3"/>
        <v>16</v>
      </c>
      <c r="C784" s="10"/>
      <c r="E784" s="8">
        <f t="shared" si="4"/>
        <v>16</v>
      </c>
      <c r="F784" s="10"/>
      <c r="G784" s="11"/>
      <c r="H784" s="12"/>
      <c r="I784" s="10"/>
      <c r="J784" s="11"/>
      <c r="K784" s="12"/>
    </row>
    <row r="785" spans="1:11">
      <c r="A785" s="8">
        <f t="shared" si="3"/>
        <v>17</v>
      </c>
      <c r="C785" s="10"/>
      <c r="E785" s="8">
        <f t="shared" si="4"/>
        <v>17</v>
      </c>
      <c r="F785" s="10"/>
      <c r="G785" s="11"/>
      <c r="H785" s="12"/>
      <c r="I785" s="10"/>
      <c r="J785" s="11"/>
      <c r="K785" s="12"/>
    </row>
    <row r="786" spans="1:11">
      <c r="A786" s="8">
        <f t="shared" si="3"/>
        <v>18</v>
      </c>
      <c r="C786" s="10"/>
      <c r="E786" s="8">
        <f t="shared" si="4"/>
        <v>18</v>
      </c>
      <c r="F786" s="10"/>
      <c r="G786" s="11"/>
      <c r="H786" s="12"/>
      <c r="I786" s="10"/>
      <c r="J786" s="11"/>
      <c r="K786" s="12"/>
    </row>
    <row r="787" spans="1:11">
      <c r="A787" s="8">
        <f t="shared" si="3"/>
        <v>19</v>
      </c>
      <c r="C787" s="10"/>
      <c r="E787" s="8">
        <f t="shared" si="4"/>
        <v>19</v>
      </c>
      <c r="F787" s="10"/>
      <c r="G787" s="11"/>
      <c r="H787" s="12"/>
      <c r="I787" s="10"/>
      <c r="J787" s="11"/>
      <c r="K787" s="12"/>
    </row>
    <row r="788" spans="1:11">
      <c r="A788" s="8">
        <v>20</v>
      </c>
      <c r="E788" s="8">
        <v>20</v>
      </c>
      <c r="F788" s="70"/>
      <c r="G788" s="20"/>
      <c r="H788" s="21"/>
      <c r="I788" s="70"/>
      <c r="J788" s="20"/>
      <c r="K788" s="21"/>
    </row>
    <row r="789" spans="1:11">
      <c r="A789" s="8">
        <v>21</v>
      </c>
      <c r="E789" s="8">
        <v>21</v>
      </c>
      <c r="F789" s="70"/>
      <c r="G789" s="20"/>
      <c r="H789" s="40"/>
      <c r="I789" s="70"/>
      <c r="J789" s="20"/>
      <c r="K789" s="40"/>
    </row>
    <row r="790" spans="1:11">
      <c r="A790" s="8">
        <v>22</v>
      </c>
      <c r="E790" s="8">
        <v>22</v>
      </c>
      <c r="G790" s="14"/>
      <c r="H790" s="40"/>
      <c r="J790" s="14"/>
      <c r="K790" s="40"/>
    </row>
    <row r="791" spans="1:11">
      <c r="A791" s="8">
        <v>23</v>
      </c>
      <c r="D791" s="87"/>
      <c r="E791" s="8">
        <v>23</v>
      </c>
      <c r="H791" s="40"/>
      <c r="K791" s="40"/>
    </row>
    <row r="792" spans="1:11">
      <c r="A792" s="8">
        <v>24</v>
      </c>
      <c r="D792" s="87"/>
      <c r="E792" s="8">
        <v>24</v>
      </c>
      <c r="H792" s="40"/>
      <c r="K792" s="40"/>
    </row>
    <row r="793" spans="1:11">
      <c r="F793" s="70" t="s">
        <v>6</v>
      </c>
      <c r="G793" s="20" t="s">
        <v>6</v>
      </c>
      <c r="H793" s="21"/>
      <c r="I793" s="70"/>
      <c r="J793" s="20"/>
      <c r="K793" s="21"/>
    </row>
    <row r="794" spans="1:11">
      <c r="A794" s="8">
        <v>25</v>
      </c>
      <c r="C794" s="9" t="s">
        <v>211</v>
      </c>
      <c r="E794" s="8">
        <v>25</v>
      </c>
      <c r="G794" s="107"/>
      <c r="H794" s="108">
        <f>SUM(H769:H792)</f>
        <v>0</v>
      </c>
      <c r="I794" s="108"/>
      <c r="J794" s="107"/>
      <c r="K794" s="108">
        <f>SUM(K769:K792)</f>
        <v>0</v>
      </c>
    </row>
    <row r="795" spans="1:11">
      <c r="D795" s="87"/>
      <c r="F795" s="70" t="s">
        <v>6</v>
      </c>
      <c r="G795" s="20" t="s">
        <v>6</v>
      </c>
      <c r="H795" s="21"/>
      <c r="I795" s="70"/>
      <c r="J795" s="20"/>
      <c r="K795" s="21"/>
    </row>
    <row r="796" spans="1:11">
      <c r="F796" s="70"/>
      <c r="G796" s="20"/>
      <c r="H796" s="21"/>
      <c r="I796" s="70"/>
      <c r="J796" s="20"/>
      <c r="K796" s="21"/>
    </row>
    <row r="797" spans="1:11">
      <c r="C797" s="221" t="s">
        <v>236</v>
      </c>
      <c r="D797" s="221"/>
      <c r="E797" s="221"/>
      <c r="F797" s="221"/>
      <c r="G797" s="221"/>
      <c r="H797" s="221"/>
      <c r="I797" s="221"/>
      <c r="J797" s="221"/>
      <c r="K797" s="56"/>
    </row>
    <row r="798" spans="1:11">
      <c r="G798" s="14"/>
      <c r="H798" s="40"/>
      <c r="J798" s="14"/>
      <c r="K798" s="40"/>
    </row>
    <row r="799" spans="1:11">
      <c r="A799" s="9"/>
    </row>
    <row r="800" spans="1:11">
      <c r="A800" s="16" t="str">
        <f>$A$83</f>
        <v xml:space="preserve">Institution No.:  </v>
      </c>
      <c r="B800" s="36"/>
      <c r="C800" s="36"/>
      <c r="D800" s="36"/>
      <c r="E800" s="37"/>
      <c r="F800" s="36"/>
      <c r="G800" s="38"/>
      <c r="H800" s="39"/>
      <c r="I800" s="36"/>
      <c r="J800" s="38"/>
      <c r="K800" s="15" t="s">
        <v>212</v>
      </c>
    </row>
    <row r="801" spans="1:11">
      <c r="A801" s="229" t="s">
        <v>213</v>
      </c>
      <c r="B801" s="229"/>
      <c r="C801" s="229"/>
      <c r="D801" s="229"/>
      <c r="E801" s="229"/>
      <c r="F801" s="229"/>
      <c r="G801" s="229"/>
      <c r="H801" s="229"/>
      <c r="I801" s="229"/>
      <c r="J801" s="229"/>
      <c r="K801" s="229"/>
    </row>
    <row r="802" spans="1:11">
      <c r="A802" s="16" t="str">
        <f>$A$42</f>
        <v xml:space="preserve">NAME: </v>
      </c>
      <c r="C802" s="137" t="str">
        <f>$D$20</f>
        <v>University of Colorado</v>
      </c>
      <c r="G802" s="80"/>
      <c r="H802" s="40"/>
      <c r="J802" s="14"/>
      <c r="K802" s="18" t="str">
        <f>$K$3</f>
        <v>Date: October 09, 2017</v>
      </c>
    </row>
    <row r="803" spans="1:11">
      <c r="A803" s="19" t="s">
        <v>6</v>
      </c>
      <c r="B803" s="19" t="s">
        <v>6</v>
      </c>
      <c r="C803" s="19" t="s">
        <v>6</v>
      </c>
      <c r="D803" s="19" t="s">
        <v>6</v>
      </c>
      <c r="E803" s="19" t="s">
        <v>6</v>
      </c>
      <c r="F803" s="19" t="s">
        <v>6</v>
      </c>
      <c r="G803" s="20" t="s">
        <v>6</v>
      </c>
      <c r="H803" s="21" t="s">
        <v>6</v>
      </c>
      <c r="I803" s="19" t="s">
        <v>6</v>
      </c>
      <c r="J803" s="20" t="s">
        <v>6</v>
      </c>
      <c r="K803" s="21" t="s">
        <v>6</v>
      </c>
    </row>
    <row r="804" spans="1:11">
      <c r="A804" s="22" t="s">
        <v>7</v>
      </c>
      <c r="E804" s="22" t="s">
        <v>7</v>
      </c>
      <c r="F804" s="23"/>
      <c r="G804" s="24"/>
      <c r="H804" s="25" t="str">
        <f>H766</f>
        <v>2016-17</v>
      </c>
      <c r="I804" s="23"/>
      <c r="J804" s="24"/>
      <c r="K804" s="25" t="str">
        <f>K766</f>
        <v>2017-18</v>
      </c>
    </row>
    <row r="805" spans="1:11">
      <c r="A805" s="22" t="s">
        <v>9</v>
      </c>
      <c r="C805" s="26" t="s">
        <v>51</v>
      </c>
      <c r="E805" s="22" t="s">
        <v>9</v>
      </c>
      <c r="F805" s="23"/>
      <c r="G805" s="24" t="s">
        <v>11</v>
      </c>
      <c r="H805" s="25" t="s">
        <v>12</v>
      </c>
      <c r="I805" s="23"/>
      <c r="J805" s="24" t="s">
        <v>11</v>
      </c>
      <c r="K805" s="25" t="s">
        <v>13</v>
      </c>
    </row>
    <row r="806" spans="1:11">
      <c r="A806" s="19" t="s">
        <v>6</v>
      </c>
      <c r="B806" s="19" t="s">
        <v>6</v>
      </c>
      <c r="C806" s="19" t="s">
        <v>6</v>
      </c>
      <c r="D806" s="19" t="s">
        <v>6</v>
      </c>
      <c r="E806" s="19" t="s">
        <v>6</v>
      </c>
      <c r="F806" s="19" t="s">
        <v>6</v>
      </c>
      <c r="G806" s="20" t="s">
        <v>6</v>
      </c>
      <c r="H806" s="21" t="s">
        <v>6</v>
      </c>
      <c r="I806" s="19" t="s">
        <v>6</v>
      </c>
      <c r="J806" s="20" t="s">
        <v>6</v>
      </c>
      <c r="K806" s="21" t="s">
        <v>6</v>
      </c>
    </row>
    <row r="807" spans="1:11">
      <c r="A807" s="117">
        <v>1</v>
      </c>
      <c r="B807" s="126"/>
      <c r="C807" s="118" t="s">
        <v>227</v>
      </c>
      <c r="D807" s="126"/>
      <c r="E807" s="117">
        <v>1</v>
      </c>
      <c r="F807" s="126"/>
      <c r="G807" s="127"/>
      <c r="H807" s="128"/>
      <c r="I807" s="126"/>
      <c r="J807" s="127"/>
      <c r="K807" s="128"/>
    </row>
    <row r="808" spans="1:11">
      <c r="A808" s="117">
        <v>2</v>
      </c>
      <c r="B808" s="126"/>
      <c r="C808" s="118" t="s">
        <v>227</v>
      </c>
      <c r="D808" s="126"/>
      <c r="E808" s="117">
        <v>2</v>
      </c>
      <c r="F808" s="126"/>
      <c r="G808" s="127"/>
      <c r="H808" s="128"/>
      <c r="I808" s="126"/>
      <c r="J808" s="127"/>
      <c r="K808" s="128"/>
    </row>
    <row r="809" spans="1:11">
      <c r="A809" s="117">
        <v>3</v>
      </c>
      <c r="B809" s="118"/>
      <c r="C809" s="118" t="s">
        <v>227</v>
      </c>
      <c r="D809" s="118"/>
      <c r="E809" s="117">
        <v>3</v>
      </c>
      <c r="F809" s="119"/>
      <c r="G809" s="129"/>
      <c r="H809" s="124"/>
      <c r="I809" s="124"/>
      <c r="J809" s="129"/>
      <c r="K809" s="124"/>
    </row>
    <row r="810" spans="1:11">
      <c r="A810" s="117">
        <v>4</v>
      </c>
      <c r="B810" s="118"/>
      <c r="C810" s="118" t="s">
        <v>227</v>
      </c>
      <c r="D810" s="118"/>
      <c r="E810" s="117">
        <v>4</v>
      </c>
      <c r="F810" s="119"/>
      <c r="G810" s="129"/>
      <c r="H810" s="124"/>
      <c r="I810" s="124"/>
      <c r="J810" s="129"/>
      <c r="K810" s="124"/>
    </row>
    <row r="811" spans="1:11">
      <c r="A811" s="117">
        <v>5</v>
      </c>
      <c r="B811" s="118"/>
      <c r="C811" s="118" t="s">
        <v>227</v>
      </c>
      <c r="D811" s="118"/>
      <c r="E811" s="118">
        <v>5</v>
      </c>
      <c r="F811" s="118"/>
      <c r="G811" s="130"/>
      <c r="H811" s="131"/>
      <c r="I811" s="118"/>
      <c r="J811" s="130"/>
      <c r="K811" s="131"/>
    </row>
    <row r="812" spans="1:11">
      <c r="A812" s="8">
        <v>6</v>
      </c>
      <c r="C812" s="9" t="s">
        <v>170</v>
      </c>
      <c r="E812" s="8">
        <v>6</v>
      </c>
      <c r="F812" s="10"/>
      <c r="G812" s="153"/>
      <c r="H812" s="153"/>
      <c r="I812" s="110"/>
      <c r="J812" s="153"/>
      <c r="K812" s="153"/>
    </row>
    <row r="813" spans="1:11">
      <c r="A813" s="8">
        <v>7</v>
      </c>
      <c r="C813" s="9" t="s">
        <v>171</v>
      </c>
      <c r="E813" s="8">
        <v>7</v>
      </c>
      <c r="F813" s="10"/>
      <c r="G813" s="109"/>
      <c r="H813" s="156"/>
      <c r="I813" s="110"/>
      <c r="J813" s="109"/>
      <c r="K813" s="156"/>
    </row>
    <row r="814" spans="1:11">
      <c r="A814" s="8">
        <v>8</v>
      </c>
      <c r="C814" s="9" t="s">
        <v>214</v>
      </c>
      <c r="E814" s="8">
        <v>8</v>
      </c>
      <c r="F814" s="10"/>
      <c r="G814" s="153"/>
      <c r="H814" s="156"/>
      <c r="I814" s="110"/>
      <c r="J814" s="153"/>
      <c r="K814" s="156"/>
    </row>
    <row r="815" spans="1:11">
      <c r="A815" s="8">
        <v>9</v>
      </c>
      <c r="C815" s="9" t="s">
        <v>185</v>
      </c>
      <c r="E815" s="8">
        <v>9</v>
      </c>
      <c r="F815" s="10"/>
      <c r="G815" s="109">
        <f>SUM(G812:G814)</f>
        <v>0</v>
      </c>
      <c r="H815" s="109">
        <f>SUM(H812:H814)</f>
        <v>0</v>
      </c>
      <c r="I815" s="109"/>
      <c r="J815" s="109">
        <f>SUM(J812:J814)</f>
        <v>0</v>
      </c>
      <c r="K815" s="109">
        <f>SUM(K812:K814)</f>
        <v>0</v>
      </c>
    </row>
    <row r="816" spans="1:11">
      <c r="A816" s="8">
        <v>10</v>
      </c>
      <c r="C816" s="9"/>
      <c r="E816" s="8">
        <v>10</v>
      </c>
      <c r="F816" s="10"/>
      <c r="G816" s="109"/>
      <c r="H816" s="110"/>
      <c r="I816" s="110"/>
      <c r="J816" s="109"/>
      <c r="K816" s="110"/>
    </row>
    <row r="817" spans="1:11">
      <c r="A817" s="8">
        <v>11</v>
      </c>
      <c r="C817" s="9" t="s">
        <v>174</v>
      </c>
      <c r="E817" s="8">
        <v>11</v>
      </c>
      <c r="F817" s="10"/>
      <c r="G817" s="153"/>
      <c r="H817" s="156"/>
      <c r="I817" s="110"/>
      <c r="J817" s="153"/>
      <c r="K817" s="156"/>
    </row>
    <row r="818" spans="1:11">
      <c r="A818" s="8">
        <v>12</v>
      </c>
      <c r="C818" s="9" t="s">
        <v>175</v>
      </c>
      <c r="E818" s="8">
        <v>12</v>
      </c>
      <c r="F818" s="10"/>
      <c r="G818" s="109"/>
      <c r="H818" s="156"/>
      <c r="I818" s="110"/>
      <c r="J818" s="109"/>
      <c r="K818" s="156"/>
    </row>
    <row r="819" spans="1:11">
      <c r="A819" s="8">
        <v>13</v>
      </c>
      <c r="C819" s="9" t="s">
        <v>186</v>
      </c>
      <c r="E819" s="8">
        <v>13</v>
      </c>
      <c r="F819" s="10"/>
      <c r="G819" s="109">
        <f>SUM(G817:G818)</f>
        <v>0</v>
      </c>
      <c r="H819" s="109">
        <f>SUM(H817:H818)</f>
        <v>0</v>
      </c>
      <c r="I819" s="107"/>
      <c r="J819" s="109">
        <f>SUM(J817:J818)</f>
        <v>0</v>
      </c>
      <c r="K819" s="109">
        <f>SUM(K817:K818)</f>
        <v>0</v>
      </c>
    </row>
    <row r="820" spans="1:11">
      <c r="A820" s="8">
        <v>14</v>
      </c>
      <c r="E820" s="8">
        <v>14</v>
      </c>
      <c r="F820" s="10"/>
      <c r="G820" s="111"/>
      <c r="H820" s="110"/>
      <c r="I820" s="108"/>
      <c r="J820" s="111"/>
      <c r="K820" s="110"/>
    </row>
    <row r="821" spans="1:11">
      <c r="A821" s="8">
        <v>15</v>
      </c>
      <c r="C821" s="9" t="s">
        <v>177</v>
      </c>
      <c r="E821" s="8">
        <v>15</v>
      </c>
      <c r="G821" s="112">
        <f>SUM(G815+G819)</f>
        <v>0</v>
      </c>
      <c r="H821" s="108">
        <f>SUM(H815+H819)</f>
        <v>0</v>
      </c>
      <c r="I821" s="108"/>
      <c r="J821" s="112">
        <f>SUM(J815+J819)</f>
        <v>0</v>
      </c>
      <c r="K821" s="108">
        <f>SUM(K815+K819)</f>
        <v>0</v>
      </c>
    </row>
    <row r="822" spans="1:11">
      <c r="A822" s="8">
        <v>16</v>
      </c>
      <c r="E822" s="8">
        <v>16</v>
      </c>
      <c r="G822" s="112"/>
      <c r="H822" s="108"/>
      <c r="I822" s="108"/>
      <c r="J822" s="112"/>
      <c r="K822" s="108"/>
    </row>
    <row r="823" spans="1:11">
      <c r="A823" s="8">
        <v>17</v>
      </c>
      <c r="C823" s="9" t="s">
        <v>178</v>
      </c>
      <c r="E823" s="8">
        <v>17</v>
      </c>
      <c r="F823" s="10"/>
      <c r="G823" s="109"/>
      <c r="H823" s="156"/>
      <c r="I823" s="110"/>
      <c r="J823" s="109"/>
      <c r="K823" s="156"/>
    </row>
    <row r="824" spans="1:11">
      <c r="A824" s="8">
        <v>18</v>
      </c>
      <c r="E824" s="8">
        <v>18</v>
      </c>
      <c r="F824" s="10"/>
      <c r="G824" s="109"/>
      <c r="H824" s="110"/>
      <c r="I824" s="110"/>
      <c r="J824" s="109"/>
      <c r="K824" s="110"/>
    </row>
    <row r="825" spans="1:11">
      <c r="A825" s="8">
        <v>19</v>
      </c>
      <c r="C825" s="9" t="s">
        <v>179</v>
      </c>
      <c r="E825" s="8">
        <v>19</v>
      </c>
      <c r="F825" s="10"/>
      <c r="G825" s="109"/>
      <c r="H825" s="156"/>
      <c r="I825" s="110"/>
      <c r="J825" s="109"/>
      <c r="K825" s="156"/>
    </row>
    <row r="826" spans="1:11">
      <c r="A826" s="8">
        <v>20</v>
      </c>
      <c r="C826" s="81" t="s">
        <v>180</v>
      </c>
      <c r="E826" s="8">
        <v>20</v>
      </c>
      <c r="F826" s="10"/>
      <c r="G826" s="109"/>
      <c r="H826" s="156"/>
      <c r="I826" s="110"/>
      <c r="J826" s="109"/>
      <c r="K826" s="156"/>
    </row>
    <row r="827" spans="1:11">
      <c r="A827" s="8">
        <v>21</v>
      </c>
      <c r="C827" s="81"/>
      <c r="E827" s="8">
        <v>21</v>
      </c>
      <c r="F827" s="10"/>
      <c r="G827" s="109"/>
      <c r="H827" s="110"/>
      <c r="I827" s="110"/>
      <c r="J827" s="109"/>
      <c r="K827" s="110"/>
    </row>
    <row r="828" spans="1:11">
      <c r="A828" s="8">
        <v>22</v>
      </c>
      <c r="C828" s="9"/>
      <c r="E828" s="8">
        <v>22</v>
      </c>
      <c r="G828" s="109"/>
      <c r="H828" s="110"/>
      <c r="I828" s="110"/>
      <c r="J828" s="109"/>
      <c r="K828" s="110"/>
    </row>
    <row r="829" spans="1:11">
      <c r="A829" s="8">
        <v>23</v>
      </c>
      <c r="C829" s="9" t="s">
        <v>181</v>
      </c>
      <c r="E829" s="8">
        <v>23</v>
      </c>
      <c r="G829" s="109"/>
      <c r="H829" s="156"/>
      <c r="I829" s="110"/>
      <c r="J829" s="109"/>
      <c r="K829" s="156"/>
    </row>
    <row r="830" spans="1:11">
      <c r="A830" s="8">
        <v>24</v>
      </c>
      <c r="C830" s="9"/>
      <c r="E830" s="8">
        <v>24</v>
      </c>
      <c r="G830" s="109"/>
      <c r="H830" s="110"/>
      <c r="I830" s="110"/>
      <c r="J830" s="109"/>
      <c r="K830" s="110"/>
    </row>
    <row r="831" spans="1:11">
      <c r="A831" s="8"/>
      <c r="E831" s="8">
        <v>25</v>
      </c>
      <c r="F831" s="70" t="s">
        <v>6</v>
      </c>
      <c r="G831" s="83"/>
      <c r="H831" s="21"/>
      <c r="I831" s="70"/>
      <c r="J831" s="83"/>
      <c r="K831" s="21"/>
    </row>
    <row r="832" spans="1:11">
      <c r="A832" s="8">
        <v>25</v>
      </c>
      <c r="C832" s="9" t="s">
        <v>215</v>
      </c>
      <c r="E832" s="8"/>
      <c r="G832" s="108">
        <f>SUM(G821:G830)</f>
        <v>0</v>
      </c>
      <c r="H832" s="108">
        <f>SUM(H821:H830)</f>
        <v>0</v>
      </c>
      <c r="I832" s="113"/>
      <c r="J832" s="108">
        <f>SUM(J821:J830)</f>
        <v>0</v>
      </c>
      <c r="K832" s="108">
        <f>SUM(K821:K830)</f>
        <v>0</v>
      </c>
    </row>
    <row r="833" spans="1:11">
      <c r="F833" s="70" t="s">
        <v>6</v>
      </c>
      <c r="G833" s="20"/>
      <c r="H833" s="21"/>
      <c r="I833" s="70"/>
      <c r="J833" s="20"/>
      <c r="K833" s="21"/>
    </row>
    <row r="834" spans="1:11">
      <c r="A834" s="9"/>
      <c r="C834" s="137" t="s">
        <v>49</v>
      </c>
    </row>
    <row r="836" spans="1:11">
      <c r="A836" s="9"/>
      <c r="H836" s="40"/>
      <c r="K836" s="40"/>
    </row>
    <row r="837" spans="1:11">
      <c r="A837" s="16" t="str">
        <f>$A$83</f>
        <v xml:space="preserve">Institution No.:  </v>
      </c>
      <c r="B837" s="36"/>
      <c r="C837" s="36"/>
      <c r="D837" s="36"/>
      <c r="E837" s="37"/>
      <c r="F837" s="36"/>
      <c r="G837" s="38"/>
      <c r="H837" s="39"/>
      <c r="I837" s="36"/>
      <c r="J837" s="38"/>
      <c r="K837" s="15" t="s">
        <v>216</v>
      </c>
    </row>
    <row r="838" spans="1:11">
      <c r="A838" s="230" t="s">
        <v>217</v>
      </c>
      <c r="B838" s="230"/>
      <c r="C838" s="230"/>
      <c r="D838" s="230"/>
      <c r="E838" s="230"/>
      <c r="F838" s="230"/>
      <c r="G838" s="230"/>
      <c r="H838" s="230"/>
      <c r="I838" s="230"/>
      <c r="J838" s="230"/>
      <c r="K838" s="230"/>
    </row>
    <row r="839" spans="1:11">
      <c r="A839" s="16" t="str">
        <f>$A$42</f>
        <v xml:space="preserve">NAME: </v>
      </c>
      <c r="C839" s="137" t="str">
        <f>$D$20</f>
        <v>University of Colorado</v>
      </c>
      <c r="H839" s="88"/>
      <c r="J839" s="14"/>
      <c r="K839" s="18" t="str">
        <f>$K$3</f>
        <v>Date: October 09, 2017</v>
      </c>
    </row>
    <row r="840" spans="1:11">
      <c r="A840" s="19" t="s">
        <v>6</v>
      </c>
      <c r="B840" s="19" t="s">
        <v>6</v>
      </c>
      <c r="C840" s="19" t="s">
        <v>6</v>
      </c>
      <c r="D840" s="19" t="s">
        <v>6</v>
      </c>
      <c r="E840" s="19" t="s">
        <v>6</v>
      </c>
      <c r="F840" s="19" t="s">
        <v>6</v>
      </c>
      <c r="G840" s="20" t="s">
        <v>6</v>
      </c>
      <c r="H840" s="21" t="s">
        <v>6</v>
      </c>
      <c r="I840" s="19" t="s">
        <v>6</v>
      </c>
      <c r="J840" s="20" t="s">
        <v>6</v>
      </c>
      <c r="K840" s="21" t="s">
        <v>6</v>
      </c>
    </row>
    <row r="841" spans="1:11">
      <c r="A841" s="22" t="s">
        <v>7</v>
      </c>
      <c r="E841" s="22" t="s">
        <v>7</v>
      </c>
      <c r="F841" s="23"/>
      <c r="G841" s="24"/>
      <c r="H841" s="25" t="str">
        <f>+H804</f>
        <v>2016-17</v>
      </c>
      <c r="I841" s="23"/>
      <c r="J841" s="24"/>
      <c r="K841" s="25" t="str">
        <f>+K804</f>
        <v>2017-18</v>
      </c>
    </row>
    <row r="842" spans="1:11">
      <c r="A842" s="22" t="s">
        <v>9</v>
      </c>
      <c r="C842" s="26" t="s">
        <v>51</v>
      </c>
      <c r="E842" s="22" t="s">
        <v>9</v>
      </c>
      <c r="F842" s="23"/>
      <c r="G842" s="24"/>
      <c r="H842" s="25" t="s">
        <v>12</v>
      </c>
      <c r="I842" s="23"/>
      <c r="J842" s="24"/>
      <c r="K842" s="25" t="s">
        <v>13</v>
      </c>
    </row>
    <row r="843" spans="1:11">
      <c r="A843" s="19" t="s">
        <v>6</v>
      </c>
      <c r="B843" s="19" t="s">
        <v>6</v>
      </c>
      <c r="C843" s="19" t="s">
        <v>6</v>
      </c>
      <c r="D843" s="19" t="s">
        <v>6</v>
      </c>
      <c r="E843" s="19" t="s">
        <v>6</v>
      </c>
      <c r="F843" s="19" t="s">
        <v>6</v>
      </c>
      <c r="G843" s="20" t="s">
        <v>6</v>
      </c>
      <c r="H843" s="21" t="s">
        <v>6</v>
      </c>
      <c r="I843" s="19" t="s">
        <v>6</v>
      </c>
      <c r="J843" s="20" t="s">
        <v>6</v>
      </c>
      <c r="K843" s="21" t="s">
        <v>6</v>
      </c>
    </row>
    <row r="844" spans="1:11">
      <c r="A844" s="73">
        <v>1</v>
      </c>
      <c r="C844" s="137" t="s">
        <v>218</v>
      </c>
      <c r="E844" s="73">
        <v>1</v>
      </c>
      <c r="F844" s="10"/>
      <c r="G844" s="110"/>
      <c r="H844" s="156"/>
      <c r="I844" s="110"/>
      <c r="J844" s="110"/>
      <c r="K844" s="156"/>
    </row>
    <row r="845" spans="1:11">
      <c r="A845" s="73">
        <v>2</v>
      </c>
      <c r="E845" s="73">
        <v>2</v>
      </c>
      <c r="F845" s="10"/>
      <c r="G845" s="110"/>
      <c r="H845" s="110"/>
      <c r="I845" s="110"/>
      <c r="J845" s="110"/>
      <c r="K845" s="110"/>
    </row>
    <row r="846" spans="1:11">
      <c r="A846" s="73">
        <v>3</v>
      </c>
      <c r="C846" s="10"/>
      <c r="E846" s="73">
        <v>3</v>
      </c>
      <c r="F846" s="10"/>
      <c r="G846" s="110"/>
      <c r="H846" s="110"/>
      <c r="I846" s="110"/>
      <c r="J846" s="110"/>
      <c r="K846" s="110"/>
    </row>
    <row r="847" spans="1:11">
      <c r="A847" s="73">
        <v>4</v>
      </c>
      <c r="C847" s="10"/>
      <c r="E847" s="73">
        <v>4</v>
      </c>
      <c r="F847" s="10"/>
      <c r="G847" s="110"/>
      <c r="H847" s="110"/>
      <c r="I847" s="110"/>
      <c r="J847" s="110"/>
      <c r="K847" s="110"/>
    </row>
    <row r="848" spans="1:11">
      <c r="A848" s="73">
        <v>5</v>
      </c>
      <c r="C848" s="9"/>
      <c r="E848" s="73">
        <v>5</v>
      </c>
      <c r="F848" s="10"/>
      <c r="G848" s="110"/>
      <c r="H848" s="110"/>
      <c r="I848" s="110"/>
      <c r="J848" s="110"/>
      <c r="K848" s="110"/>
    </row>
    <row r="849" spans="1:11">
      <c r="A849" s="73">
        <v>6</v>
      </c>
      <c r="C849" s="10"/>
      <c r="E849" s="73">
        <v>6</v>
      </c>
      <c r="F849" s="10"/>
      <c r="G849" s="110"/>
      <c r="H849" s="110"/>
      <c r="I849" s="110"/>
      <c r="J849" s="110"/>
      <c r="K849" s="110"/>
    </row>
    <row r="850" spans="1:11">
      <c r="A850" s="73">
        <v>7</v>
      </c>
      <c r="C850" s="10"/>
      <c r="E850" s="73">
        <v>7</v>
      </c>
      <c r="F850" s="10"/>
      <c r="G850" s="110"/>
      <c r="H850" s="110"/>
      <c r="I850" s="110"/>
      <c r="J850" s="110"/>
      <c r="K850" s="110"/>
    </row>
    <row r="851" spans="1:11">
      <c r="A851" s="73">
        <v>8</v>
      </c>
      <c r="E851" s="73">
        <v>8</v>
      </c>
      <c r="F851" s="10"/>
      <c r="G851" s="110"/>
      <c r="H851" s="110"/>
      <c r="I851" s="110"/>
      <c r="J851" s="110"/>
      <c r="K851" s="110"/>
    </row>
    <row r="852" spans="1:11">
      <c r="A852" s="73">
        <v>9</v>
      </c>
      <c r="E852" s="73">
        <v>9</v>
      </c>
      <c r="F852" s="10"/>
      <c r="G852" s="110"/>
      <c r="H852" s="110"/>
      <c r="I852" s="110"/>
      <c r="J852" s="110"/>
      <c r="K852" s="110"/>
    </row>
    <row r="853" spans="1:11">
      <c r="A853" s="76"/>
      <c r="E853" s="76"/>
      <c r="F853" s="70" t="s">
        <v>6</v>
      </c>
      <c r="G853" s="86" t="s">
        <v>6</v>
      </c>
      <c r="H853" s="86"/>
      <c r="I853" s="86"/>
      <c r="J853" s="86"/>
      <c r="K853" s="86"/>
    </row>
    <row r="854" spans="1:11">
      <c r="A854" s="73">
        <v>10</v>
      </c>
      <c r="C854" s="137" t="s">
        <v>219</v>
      </c>
      <c r="E854" s="73">
        <v>10</v>
      </c>
      <c r="G854" s="107"/>
      <c r="H854" s="110">
        <f>SUM(H844:H852)</f>
        <v>0</v>
      </c>
      <c r="I854" s="108"/>
      <c r="J854" s="107"/>
      <c r="K854" s="110">
        <f>SUM(K844:K852)</f>
        <v>0</v>
      </c>
    </row>
    <row r="855" spans="1:11">
      <c r="A855" s="73"/>
      <c r="E855" s="73"/>
      <c r="F855" s="70" t="s">
        <v>6</v>
      </c>
      <c r="G855" s="86" t="s">
        <v>6</v>
      </c>
      <c r="H855" s="86"/>
      <c r="I855" s="86"/>
      <c r="J855" s="86"/>
      <c r="K855" s="86"/>
    </row>
    <row r="856" spans="1:11">
      <c r="A856" s="73">
        <v>11</v>
      </c>
      <c r="C856" s="10"/>
      <c r="E856" s="73">
        <v>11</v>
      </c>
      <c r="F856" s="10"/>
      <c r="G856" s="110"/>
      <c r="H856" s="110"/>
      <c r="I856" s="110"/>
      <c r="J856" s="110"/>
      <c r="K856" s="110"/>
    </row>
    <row r="857" spans="1:11">
      <c r="A857" s="73">
        <v>12</v>
      </c>
      <c r="C857" s="9" t="s">
        <v>220</v>
      </c>
      <c r="E857" s="73">
        <v>12</v>
      </c>
      <c r="F857" s="10"/>
      <c r="G857" s="110"/>
      <c r="H857" s="156">
        <v>12263071</v>
      </c>
      <c r="I857" s="110"/>
      <c r="J857" s="110"/>
      <c r="K857" s="156">
        <v>12952024</v>
      </c>
    </row>
    <row r="858" spans="1:11">
      <c r="A858" s="73">
        <v>13</v>
      </c>
      <c r="C858" s="10" t="s">
        <v>221</v>
      </c>
      <c r="E858" s="73">
        <v>13</v>
      </c>
      <c r="F858" s="10"/>
      <c r="G858" s="110"/>
      <c r="H858" s="156"/>
      <c r="I858" s="110"/>
      <c r="J858" s="110"/>
      <c r="K858" s="156"/>
    </row>
    <row r="859" spans="1:11">
      <c r="A859" s="73">
        <v>14</v>
      </c>
      <c r="C859" s="137" t="s">
        <v>276</v>
      </c>
      <c r="E859" s="73">
        <v>14</v>
      </c>
      <c r="F859" s="10"/>
      <c r="G859" s="110"/>
      <c r="H859" s="110">
        <v>22049</v>
      </c>
      <c r="I859" s="110"/>
      <c r="J859" s="110"/>
      <c r="K859" s="110">
        <v>25000</v>
      </c>
    </row>
    <row r="860" spans="1:11">
      <c r="A860" s="73">
        <v>15</v>
      </c>
      <c r="E860" s="73">
        <v>15</v>
      </c>
      <c r="F860" s="10"/>
      <c r="G860" s="110"/>
      <c r="H860" s="110"/>
      <c r="I860" s="110"/>
      <c r="J860" s="110"/>
      <c r="K860" s="110"/>
    </row>
    <row r="861" spans="1:11">
      <c r="A861" s="73">
        <v>16</v>
      </c>
      <c r="E861" s="73">
        <v>16</v>
      </c>
      <c r="F861" s="10"/>
      <c r="G861" s="110"/>
      <c r="H861" s="110"/>
      <c r="I861" s="110"/>
      <c r="J861" s="110"/>
      <c r="K861" s="110"/>
    </row>
    <row r="862" spans="1:11">
      <c r="A862" s="73">
        <v>17</v>
      </c>
      <c r="C862" s="74"/>
      <c r="D862" s="75"/>
      <c r="E862" s="73">
        <v>17</v>
      </c>
      <c r="F862" s="10"/>
      <c r="G862" s="110"/>
      <c r="H862" s="110"/>
      <c r="I862" s="110"/>
      <c r="J862" s="110"/>
      <c r="K862" s="110"/>
    </row>
    <row r="863" spans="1:11">
      <c r="A863" s="73">
        <v>18</v>
      </c>
      <c r="C863" s="75"/>
      <c r="D863" s="75"/>
      <c r="E863" s="73">
        <v>18</v>
      </c>
      <c r="F863" s="10"/>
      <c r="G863" s="110"/>
      <c r="H863" s="110"/>
      <c r="I863" s="110"/>
      <c r="J863" s="110"/>
      <c r="K863" s="110"/>
    </row>
    <row r="864" spans="1:11">
      <c r="A864" s="73"/>
      <c r="C864" s="89"/>
      <c r="D864" s="75"/>
      <c r="E864" s="73"/>
      <c r="F864" s="70" t="s">
        <v>6</v>
      </c>
      <c r="G864" s="20" t="s">
        <v>6</v>
      </c>
      <c r="H864" s="21"/>
      <c r="I864" s="70"/>
      <c r="J864" s="20"/>
      <c r="K864" s="21"/>
    </row>
    <row r="865" spans="1:11">
      <c r="A865" s="73">
        <v>19</v>
      </c>
      <c r="C865" s="137" t="s">
        <v>222</v>
      </c>
      <c r="D865" s="75"/>
      <c r="E865" s="73">
        <v>19</v>
      </c>
      <c r="G865" s="108"/>
      <c r="H865" s="108">
        <f>SUM(H856:H863)</f>
        <v>12285120</v>
      </c>
      <c r="I865" s="110"/>
      <c r="J865" s="110"/>
      <c r="K865" s="108">
        <f>SUM(K856:K863)</f>
        <v>12977024</v>
      </c>
    </row>
    <row r="866" spans="1:11">
      <c r="A866" s="73"/>
      <c r="C866" s="89"/>
      <c r="D866" s="75"/>
      <c r="E866" s="73"/>
      <c r="F866" s="70" t="s">
        <v>6</v>
      </c>
      <c r="G866" s="20" t="s">
        <v>6</v>
      </c>
      <c r="H866" s="21"/>
      <c r="I866" s="70"/>
      <c r="J866" s="20"/>
      <c r="K866" s="21"/>
    </row>
    <row r="867" spans="1:11">
      <c r="A867" s="73"/>
      <c r="C867" s="75"/>
      <c r="D867" s="75"/>
      <c r="E867" s="73"/>
      <c r="H867" s="12"/>
    </row>
    <row r="868" spans="1:11">
      <c r="A868" s="73">
        <v>20</v>
      </c>
      <c r="C868" s="9" t="s">
        <v>223</v>
      </c>
      <c r="E868" s="73">
        <v>20</v>
      </c>
      <c r="G868" s="107"/>
      <c r="H868" s="108">
        <f>SUM(H854,H865)</f>
        <v>12285120</v>
      </c>
      <c r="I868" s="108"/>
      <c r="J868" s="107"/>
      <c r="K868" s="108">
        <f>SUM(K854,K865)</f>
        <v>12977024</v>
      </c>
    </row>
    <row r="869" spans="1:11">
      <c r="C869" s="31" t="s">
        <v>224</v>
      </c>
      <c r="E869" s="35"/>
      <c r="F869" s="70" t="s">
        <v>6</v>
      </c>
      <c r="G869" s="20" t="s">
        <v>6</v>
      </c>
      <c r="H869" s="21"/>
      <c r="I869" s="70"/>
      <c r="J869" s="20"/>
      <c r="K869" s="21"/>
    </row>
    <row r="870" spans="1:11">
      <c r="C870" s="9" t="s">
        <v>38</v>
      </c>
    </row>
    <row r="871" spans="1:11">
      <c r="D871" s="9"/>
      <c r="G871" s="14"/>
      <c r="H871" s="40"/>
      <c r="I871" s="61"/>
      <c r="J871" s="14"/>
      <c r="K871" s="40"/>
    </row>
    <row r="872" spans="1:11">
      <c r="D872" s="9"/>
      <c r="G872" s="14"/>
      <c r="H872" s="40"/>
      <c r="I872" s="61"/>
      <c r="J872" s="14"/>
      <c r="K872" s="40"/>
    </row>
    <row r="873" spans="1:11">
      <c r="D873" s="9"/>
      <c r="G873" s="14"/>
      <c r="H873" s="40"/>
      <c r="I873" s="61"/>
      <c r="J873" s="14"/>
      <c r="K873" s="40"/>
    </row>
    <row r="874" spans="1:11">
      <c r="D874" s="9"/>
      <c r="G874" s="14"/>
      <c r="H874" s="40"/>
      <c r="I874" s="61"/>
      <c r="J874" s="14"/>
      <c r="K874" s="40"/>
    </row>
    <row r="875" spans="1:11">
      <c r="D875" s="9"/>
      <c r="G875" s="14"/>
      <c r="H875" s="40"/>
      <c r="I875" s="61"/>
      <c r="J875" s="14"/>
      <c r="K875" s="40"/>
    </row>
    <row r="876" spans="1:11">
      <c r="D876" s="9"/>
      <c r="G876" s="14"/>
      <c r="H876" s="40"/>
      <c r="I876" s="61"/>
      <c r="J876" s="14"/>
      <c r="K876" s="40"/>
    </row>
    <row r="877" spans="1:11">
      <c r="D877" s="9"/>
      <c r="G877" s="14"/>
      <c r="H877" s="40"/>
      <c r="I877" s="61"/>
      <c r="J877" s="14"/>
      <c r="K877" s="40"/>
    </row>
    <row r="878" spans="1:11">
      <c r="D878" s="9"/>
      <c r="G878" s="14"/>
      <c r="H878" s="40"/>
      <c r="I878" s="61"/>
      <c r="J878" s="14"/>
      <c r="K878" s="40"/>
    </row>
    <row r="879" spans="1:11">
      <c r="D879" s="9"/>
      <c r="G879" s="14"/>
      <c r="H879" s="40"/>
      <c r="I879" s="61"/>
      <c r="J879" s="14"/>
      <c r="K879" s="40"/>
    </row>
    <row r="880" spans="1:11">
      <c r="D880" s="9"/>
      <c r="G880" s="14"/>
      <c r="H880" s="40"/>
      <c r="I880" s="61"/>
      <c r="J880" s="14"/>
      <c r="K880" s="40"/>
    </row>
    <row r="881" spans="4:11">
      <c r="D881" s="9"/>
      <c r="G881" s="14"/>
      <c r="H881" s="40"/>
      <c r="I881" s="61"/>
      <c r="J881" s="14"/>
      <c r="K881" s="40"/>
    </row>
    <row r="882" spans="4:11">
      <c r="D882" s="9"/>
      <c r="G882" s="14"/>
      <c r="H882" s="40"/>
      <c r="I882" s="61"/>
      <c r="J882" s="14"/>
      <c r="K882" s="40"/>
    </row>
    <row r="883" spans="4:11">
      <c r="D883" s="9"/>
      <c r="G883" s="14"/>
      <c r="H883" s="40"/>
      <c r="I883" s="61"/>
      <c r="J883" s="14"/>
      <c r="K883" s="40"/>
    </row>
    <row r="884" spans="4:11">
      <c r="D884" s="9"/>
      <c r="G884" s="14"/>
      <c r="H884" s="40"/>
      <c r="I884" s="61"/>
      <c r="J884" s="14"/>
      <c r="K884" s="40"/>
    </row>
    <row r="885" spans="4:11">
      <c r="D885" s="9"/>
      <c r="G885" s="14"/>
      <c r="H885" s="40"/>
      <c r="I885" s="61"/>
      <c r="J885" s="14"/>
      <c r="K885" s="40"/>
    </row>
    <row r="886" spans="4:11">
      <c r="D886" s="9"/>
      <c r="G886" s="14"/>
      <c r="H886" s="40"/>
      <c r="I886" s="61"/>
      <c r="J886" s="14"/>
      <c r="K886" s="40"/>
    </row>
    <row r="887" spans="4:11">
      <c r="D887" s="9"/>
      <c r="G887" s="14"/>
      <c r="H887" s="40"/>
      <c r="I887" s="61"/>
      <c r="J887" s="14"/>
      <c r="K887" s="40"/>
    </row>
    <row r="888" spans="4:11">
      <c r="D888" s="9"/>
      <c r="G888" s="14"/>
      <c r="H888" s="40"/>
      <c r="I888" s="61"/>
      <c r="J888" s="14"/>
      <c r="K888" s="40"/>
    </row>
    <row r="889" spans="4:11">
      <c r="D889" s="9"/>
      <c r="G889" s="14"/>
      <c r="H889" s="40"/>
      <c r="I889" s="61"/>
      <c r="J889" s="14"/>
      <c r="K889" s="40"/>
    </row>
    <row r="890" spans="4:11">
      <c r="D890" s="9"/>
      <c r="G890" s="14"/>
      <c r="H890" s="40"/>
      <c r="I890" s="61"/>
      <c r="J890" s="14"/>
      <c r="K890" s="40"/>
    </row>
    <row r="891" spans="4:11">
      <c r="D891" s="9"/>
      <c r="G891" s="14"/>
      <c r="H891" s="40"/>
      <c r="I891" s="61"/>
      <c r="J891" s="14"/>
      <c r="K891" s="40"/>
    </row>
    <row r="892" spans="4:11">
      <c r="D892" s="9"/>
      <c r="G892" s="14"/>
      <c r="H892" s="40"/>
      <c r="I892" s="61"/>
      <c r="J892" s="14"/>
      <c r="K892" s="40"/>
    </row>
    <row r="893" spans="4:11">
      <c r="D893" s="9"/>
      <c r="G893" s="14"/>
      <c r="H893" s="40"/>
      <c r="I893" s="61"/>
      <c r="J893" s="14"/>
      <c r="K893" s="40"/>
    </row>
    <row r="894" spans="4:11">
      <c r="D894" s="9"/>
      <c r="G894" s="14"/>
      <c r="H894" s="40"/>
      <c r="I894" s="61"/>
      <c r="J894" s="14"/>
      <c r="K894" s="40"/>
    </row>
    <row r="895" spans="4:11">
      <c r="D895" s="9"/>
      <c r="G895" s="14"/>
      <c r="H895" s="40"/>
      <c r="I895" s="61"/>
      <c r="J895" s="14"/>
      <c r="K895" s="40"/>
    </row>
    <row r="934" spans="4:11">
      <c r="D934" s="23"/>
      <c r="F934" s="35"/>
      <c r="G934" s="14"/>
      <c r="H934" s="40"/>
      <c r="J934" s="14"/>
      <c r="K934" s="40"/>
    </row>
  </sheetData>
  <mergeCells count="28">
    <mergeCell ref="A41:K41"/>
    <mergeCell ref="A5:K5"/>
    <mergeCell ref="A8:K8"/>
    <mergeCell ref="A9:K9"/>
    <mergeCell ref="A20:C20"/>
    <mergeCell ref="A36:K36"/>
    <mergeCell ref="A502:K502"/>
    <mergeCell ref="C79:J79"/>
    <mergeCell ref="A84:K84"/>
    <mergeCell ref="C121:J121"/>
    <mergeCell ref="A128:K128"/>
    <mergeCell ref="C135:D135"/>
    <mergeCell ref="C139:D139"/>
    <mergeCell ref="A175:K175"/>
    <mergeCell ref="C213:I213"/>
    <mergeCell ref="B227:K227"/>
    <mergeCell ref="C321:J321"/>
    <mergeCell ref="A464:K464"/>
    <mergeCell ref="A763:K763"/>
    <mergeCell ref="C797:J797"/>
    <mergeCell ref="A801:K801"/>
    <mergeCell ref="A838:K838"/>
    <mergeCell ref="A541:K541"/>
    <mergeCell ref="A578:K578"/>
    <mergeCell ref="A615:K615"/>
    <mergeCell ref="A652:K652"/>
    <mergeCell ref="A689:K689"/>
    <mergeCell ref="A726:K726"/>
  </mergeCells>
  <printOptions horizontalCentered="1"/>
  <pageMargins left="0.17" right="0.17" top="0.47" bottom="0.53" header="0.5" footer="0.24"/>
  <pageSetup scale="70" fitToHeight="47" orientation="landscape" r:id="rId1"/>
  <headerFooter alignWithMargins="0"/>
  <rowBreaks count="20" manualBreakCount="20">
    <brk id="39" max="12" man="1"/>
    <brk id="82" max="12" man="1"/>
    <brk id="124" max="12" man="1"/>
    <brk id="172" max="12" man="1"/>
    <brk id="224" max="12" man="1"/>
    <brk id="274" max="12" man="1"/>
    <brk id="323" max="10" man="1"/>
    <brk id="357" max="10" man="1"/>
    <brk id="408" max="12" man="1"/>
    <brk id="461" max="10" man="1"/>
    <brk id="499" max="10" man="1"/>
    <brk id="538" max="10" man="1"/>
    <brk id="575" max="10" man="1"/>
    <brk id="612" max="10" man="1"/>
    <brk id="649" max="10" man="1"/>
    <brk id="686" max="10" man="1"/>
    <brk id="723" max="10" man="1"/>
    <brk id="760" max="10" man="1"/>
    <brk id="798" max="10" man="1"/>
    <brk id="835"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abColor theme="3" tint="0.39997558519241921"/>
  </sheetPr>
  <dimension ref="A2:ID934"/>
  <sheetViews>
    <sheetView showGridLines="0" view="pageBreakPreview" zoomScale="75" zoomScaleNormal="80" zoomScaleSheetLayoutView="75" workbookViewId="0">
      <selection activeCell="R665" sqref="R665"/>
    </sheetView>
  </sheetViews>
  <sheetFormatPr defaultColWidth="9.625" defaultRowHeight="12"/>
  <cols>
    <col min="1" max="1" width="4.625" style="137" customWidth="1"/>
    <col min="2" max="2" width="1.875" style="137" customWidth="1"/>
    <col min="3" max="3" width="30.625" style="137" customWidth="1"/>
    <col min="4" max="4" width="28.625" style="137" customWidth="1"/>
    <col min="5" max="5" width="8.125" style="137" customWidth="1"/>
    <col min="6" max="6" width="7.5" style="137" customWidth="1"/>
    <col min="7" max="7" width="14.875" style="2" customWidth="1"/>
    <col min="8" max="8" width="14.875" style="3" customWidth="1"/>
    <col min="9" max="9" width="6.625" style="137" customWidth="1"/>
    <col min="10" max="10" width="13.25" style="2" customWidth="1"/>
    <col min="11" max="11" width="19.875" style="3" customWidth="1"/>
    <col min="12" max="240" width="9.625" style="137"/>
    <col min="241" max="241" width="4.625" style="137" customWidth="1"/>
    <col min="242" max="242" width="1.875" style="137" customWidth="1"/>
    <col min="243" max="243" width="30.625" style="137" customWidth="1"/>
    <col min="244" max="244" width="28.625" style="137" customWidth="1"/>
    <col min="245" max="245" width="8.125" style="137" customWidth="1"/>
    <col min="246" max="246" width="7.5" style="137" customWidth="1"/>
    <col min="247" max="248" width="14.875" style="137" customWidth="1"/>
    <col min="249" max="249" width="6.625" style="137" customWidth="1"/>
    <col min="250" max="250" width="13.25" style="137" customWidth="1"/>
    <col min="251" max="251" width="17" style="137" customWidth="1"/>
    <col min="252" max="496" width="9.625" style="137"/>
    <col min="497" max="497" width="4.625" style="137" customWidth="1"/>
    <col min="498" max="498" width="1.875" style="137" customWidth="1"/>
    <col min="499" max="499" width="30.625" style="137" customWidth="1"/>
    <col min="500" max="500" width="28.625" style="137" customWidth="1"/>
    <col min="501" max="501" width="8.125" style="137" customWidth="1"/>
    <col min="502" max="502" width="7.5" style="137" customWidth="1"/>
    <col min="503" max="504" width="14.875" style="137" customWidth="1"/>
    <col min="505" max="505" width="6.625" style="137" customWidth="1"/>
    <col min="506" max="506" width="13.25" style="137" customWidth="1"/>
    <col min="507" max="507" width="17" style="137" customWidth="1"/>
    <col min="508" max="752" width="9.625" style="137"/>
    <col min="753" max="753" width="4.625" style="137" customWidth="1"/>
    <col min="754" max="754" width="1.875" style="137" customWidth="1"/>
    <col min="755" max="755" width="30.625" style="137" customWidth="1"/>
    <col min="756" max="756" width="28.625" style="137" customWidth="1"/>
    <col min="757" max="757" width="8.125" style="137" customWidth="1"/>
    <col min="758" max="758" width="7.5" style="137" customWidth="1"/>
    <col min="759" max="760" width="14.875" style="137" customWidth="1"/>
    <col min="761" max="761" width="6.625" style="137" customWidth="1"/>
    <col min="762" max="762" width="13.25" style="137" customWidth="1"/>
    <col min="763" max="763" width="17" style="137" customWidth="1"/>
    <col min="764" max="1008" width="9.625" style="137"/>
    <col min="1009" max="1009" width="4.625" style="137" customWidth="1"/>
    <col min="1010" max="1010" width="1.875" style="137" customWidth="1"/>
    <col min="1011" max="1011" width="30.625" style="137" customWidth="1"/>
    <col min="1012" max="1012" width="28.625" style="137" customWidth="1"/>
    <col min="1013" max="1013" width="8.125" style="137" customWidth="1"/>
    <col min="1014" max="1014" width="7.5" style="137" customWidth="1"/>
    <col min="1015" max="1016" width="14.875" style="137" customWidth="1"/>
    <col min="1017" max="1017" width="6.625" style="137" customWidth="1"/>
    <col min="1018" max="1018" width="13.25" style="137" customWidth="1"/>
    <col min="1019" max="1019" width="17" style="137" customWidth="1"/>
    <col min="1020" max="1264" width="9.625" style="137"/>
    <col min="1265" max="1265" width="4.625" style="137" customWidth="1"/>
    <col min="1266" max="1266" width="1.875" style="137" customWidth="1"/>
    <col min="1267" max="1267" width="30.625" style="137" customWidth="1"/>
    <col min="1268" max="1268" width="28.625" style="137" customWidth="1"/>
    <col min="1269" max="1269" width="8.125" style="137" customWidth="1"/>
    <col min="1270" max="1270" width="7.5" style="137" customWidth="1"/>
    <col min="1271" max="1272" width="14.875" style="137" customWidth="1"/>
    <col min="1273" max="1273" width="6.625" style="137" customWidth="1"/>
    <col min="1274" max="1274" width="13.25" style="137" customWidth="1"/>
    <col min="1275" max="1275" width="17" style="137" customWidth="1"/>
    <col min="1276" max="1520" width="9.625" style="137"/>
    <col min="1521" max="1521" width="4.625" style="137" customWidth="1"/>
    <col min="1522" max="1522" width="1.875" style="137" customWidth="1"/>
    <col min="1523" max="1523" width="30.625" style="137" customWidth="1"/>
    <col min="1524" max="1524" width="28.625" style="137" customWidth="1"/>
    <col min="1525" max="1525" width="8.125" style="137" customWidth="1"/>
    <col min="1526" max="1526" width="7.5" style="137" customWidth="1"/>
    <col min="1527" max="1528" width="14.875" style="137" customWidth="1"/>
    <col min="1529" max="1529" width="6.625" style="137" customWidth="1"/>
    <col min="1530" max="1530" width="13.25" style="137" customWidth="1"/>
    <col min="1531" max="1531" width="17" style="137" customWidth="1"/>
    <col min="1532" max="1776" width="9.625" style="137"/>
    <col min="1777" max="1777" width="4.625" style="137" customWidth="1"/>
    <col min="1778" max="1778" width="1.875" style="137" customWidth="1"/>
    <col min="1779" max="1779" width="30.625" style="137" customWidth="1"/>
    <col min="1780" max="1780" width="28.625" style="137" customWidth="1"/>
    <col min="1781" max="1781" width="8.125" style="137" customWidth="1"/>
    <col min="1782" max="1782" width="7.5" style="137" customWidth="1"/>
    <col min="1783" max="1784" width="14.875" style="137" customWidth="1"/>
    <col min="1785" max="1785" width="6.625" style="137" customWidth="1"/>
    <col min="1786" max="1786" width="13.25" style="137" customWidth="1"/>
    <col min="1787" max="1787" width="17" style="137" customWidth="1"/>
    <col min="1788" max="2032" width="9.625" style="137"/>
    <col min="2033" max="2033" width="4.625" style="137" customWidth="1"/>
    <col min="2034" max="2034" width="1.875" style="137" customWidth="1"/>
    <col min="2035" max="2035" width="30.625" style="137" customWidth="1"/>
    <col min="2036" max="2036" width="28.625" style="137" customWidth="1"/>
    <col min="2037" max="2037" width="8.125" style="137" customWidth="1"/>
    <col min="2038" max="2038" width="7.5" style="137" customWidth="1"/>
    <col min="2039" max="2040" width="14.875" style="137" customWidth="1"/>
    <col min="2041" max="2041" width="6.625" style="137" customWidth="1"/>
    <col min="2042" max="2042" width="13.25" style="137" customWidth="1"/>
    <col min="2043" max="2043" width="17" style="137" customWidth="1"/>
    <col min="2044" max="2288" width="9.625" style="137"/>
    <col min="2289" max="2289" width="4.625" style="137" customWidth="1"/>
    <col min="2290" max="2290" width="1.875" style="137" customWidth="1"/>
    <col min="2291" max="2291" width="30.625" style="137" customWidth="1"/>
    <col min="2292" max="2292" width="28.625" style="137" customWidth="1"/>
    <col min="2293" max="2293" width="8.125" style="137" customWidth="1"/>
    <col min="2294" max="2294" width="7.5" style="137" customWidth="1"/>
    <col min="2295" max="2296" width="14.875" style="137" customWidth="1"/>
    <col min="2297" max="2297" width="6.625" style="137" customWidth="1"/>
    <col min="2298" max="2298" width="13.25" style="137" customWidth="1"/>
    <col min="2299" max="2299" width="17" style="137" customWidth="1"/>
    <col min="2300" max="2544" width="9.625" style="137"/>
    <col min="2545" max="2545" width="4.625" style="137" customWidth="1"/>
    <col min="2546" max="2546" width="1.875" style="137" customWidth="1"/>
    <col min="2547" max="2547" width="30.625" style="137" customWidth="1"/>
    <col min="2548" max="2548" width="28.625" style="137" customWidth="1"/>
    <col min="2549" max="2549" width="8.125" style="137" customWidth="1"/>
    <col min="2550" max="2550" width="7.5" style="137" customWidth="1"/>
    <col min="2551" max="2552" width="14.875" style="137" customWidth="1"/>
    <col min="2553" max="2553" width="6.625" style="137" customWidth="1"/>
    <col min="2554" max="2554" width="13.25" style="137" customWidth="1"/>
    <col min="2555" max="2555" width="17" style="137" customWidth="1"/>
    <col min="2556" max="2800" width="9.625" style="137"/>
    <col min="2801" max="2801" width="4.625" style="137" customWidth="1"/>
    <col min="2802" max="2802" width="1.875" style="137" customWidth="1"/>
    <col min="2803" max="2803" width="30.625" style="137" customWidth="1"/>
    <col min="2804" max="2804" width="28.625" style="137" customWidth="1"/>
    <col min="2805" max="2805" width="8.125" style="137" customWidth="1"/>
    <col min="2806" max="2806" width="7.5" style="137" customWidth="1"/>
    <col min="2807" max="2808" width="14.875" style="137" customWidth="1"/>
    <col min="2809" max="2809" width="6.625" style="137" customWidth="1"/>
    <col min="2810" max="2810" width="13.25" style="137" customWidth="1"/>
    <col min="2811" max="2811" width="17" style="137" customWidth="1"/>
    <col min="2812" max="3056" width="9.625" style="137"/>
    <col min="3057" max="3057" width="4.625" style="137" customWidth="1"/>
    <col min="3058" max="3058" width="1.875" style="137" customWidth="1"/>
    <col min="3059" max="3059" width="30.625" style="137" customWidth="1"/>
    <col min="3060" max="3060" width="28.625" style="137" customWidth="1"/>
    <col min="3061" max="3061" width="8.125" style="137" customWidth="1"/>
    <col min="3062" max="3062" width="7.5" style="137" customWidth="1"/>
    <col min="3063" max="3064" width="14.875" style="137" customWidth="1"/>
    <col min="3065" max="3065" width="6.625" style="137" customWidth="1"/>
    <col min="3066" max="3066" width="13.25" style="137" customWidth="1"/>
    <col min="3067" max="3067" width="17" style="137" customWidth="1"/>
    <col min="3068" max="3312" width="9.625" style="137"/>
    <col min="3313" max="3313" width="4.625" style="137" customWidth="1"/>
    <col min="3314" max="3314" width="1.875" style="137" customWidth="1"/>
    <col min="3315" max="3315" width="30.625" style="137" customWidth="1"/>
    <col min="3316" max="3316" width="28.625" style="137" customWidth="1"/>
    <col min="3317" max="3317" width="8.125" style="137" customWidth="1"/>
    <col min="3318" max="3318" width="7.5" style="137" customWidth="1"/>
    <col min="3319" max="3320" width="14.875" style="137" customWidth="1"/>
    <col min="3321" max="3321" width="6.625" style="137" customWidth="1"/>
    <col min="3322" max="3322" width="13.25" style="137" customWidth="1"/>
    <col min="3323" max="3323" width="17" style="137" customWidth="1"/>
    <col min="3324" max="3568" width="9.625" style="137"/>
    <col min="3569" max="3569" width="4.625" style="137" customWidth="1"/>
    <col min="3570" max="3570" width="1.875" style="137" customWidth="1"/>
    <col min="3571" max="3571" width="30.625" style="137" customWidth="1"/>
    <col min="3572" max="3572" width="28.625" style="137" customWidth="1"/>
    <col min="3573" max="3573" width="8.125" style="137" customWidth="1"/>
    <col min="3574" max="3574" width="7.5" style="137" customWidth="1"/>
    <col min="3575" max="3576" width="14.875" style="137" customWidth="1"/>
    <col min="3577" max="3577" width="6.625" style="137" customWidth="1"/>
    <col min="3578" max="3578" width="13.25" style="137" customWidth="1"/>
    <col min="3579" max="3579" width="17" style="137" customWidth="1"/>
    <col min="3580" max="3824" width="9.625" style="137"/>
    <col min="3825" max="3825" width="4.625" style="137" customWidth="1"/>
    <col min="3826" max="3826" width="1.875" style="137" customWidth="1"/>
    <col min="3827" max="3827" width="30.625" style="137" customWidth="1"/>
    <col min="3828" max="3828" width="28.625" style="137" customWidth="1"/>
    <col min="3829" max="3829" width="8.125" style="137" customWidth="1"/>
    <col min="3830" max="3830" width="7.5" style="137" customWidth="1"/>
    <col min="3831" max="3832" width="14.875" style="137" customWidth="1"/>
    <col min="3833" max="3833" width="6.625" style="137" customWidth="1"/>
    <col min="3834" max="3834" width="13.25" style="137" customWidth="1"/>
    <col min="3835" max="3835" width="17" style="137" customWidth="1"/>
    <col min="3836" max="4080" width="9.625" style="137"/>
    <col min="4081" max="4081" width="4.625" style="137" customWidth="1"/>
    <col min="4082" max="4082" width="1.875" style="137" customWidth="1"/>
    <col min="4083" max="4083" width="30.625" style="137" customWidth="1"/>
    <col min="4084" max="4084" width="28.625" style="137" customWidth="1"/>
    <col min="4085" max="4085" width="8.125" style="137" customWidth="1"/>
    <col min="4086" max="4086" width="7.5" style="137" customWidth="1"/>
    <col min="4087" max="4088" width="14.875" style="137" customWidth="1"/>
    <col min="4089" max="4089" width="6.625" style="137" customWidth="1"/>
    <col min="4090" max="4090" width="13.25" style="137" customWidth="1"/>
    <col min="4091" max="4091" width="17" style="137" customWidth="1"/>
    <col min="4092" max="4336" width="9.625" style="137"/>
    <col min="4337" max="4337" width="4.625" style="137" customWidth="1"/>
    <col min="4338" max="4338" width="1.875" style="137" customWidth="1"/>
    <col min="4339" max="4339" width="30.625" style="137" customWidth="1"/>
    <col min="4340" max="4340" width="28.625" style="137" customWidth="1"/>
    <col min="4341" max="4341" width="8.125" style="137" customWidth="1"/>
    <col min="4342" max="4342" width="7.5" style="137" customWidth="1"/>
    <col min="4343" max="4344" width="14.875" style="137" customWidth="1"/>
    <col min="4345" max="4345" width="6.625" style="137" customWidth="1"/>
    <col min="4346" max="4346" width="13.25" style="137" customWidth="1"/>
    <col min="4347" max="4347" width="17" style="137" customWidth="1"/>
    <col min="4348" max="4592" width="9.625" style="137"/>
    <col min="4593" max="4593" width="4.625" style="137" customWidth="1"/>
    <col min="4594" max="4594" width="1.875" style="137" customWidth="1"/>
    <col min="4595" max="4595" width="30.625" style="137" customWidth="1"/>
    <col min="4596" max="4596" width="28.625" style="137" customWidth="1"/>
    <col min="4597" max="4597" width="8.125" style="137" customWidth="1"/>
    <col min="4598" max="4598" width="7.5" style="137" customWidth="1"/>
    <col min="4599" max="4600" width="14.875" style="137" customWidth="1"/>
    <col min="4601" max="4601" width="6.625" style="137" customWidth="1"/>
    <col min="4602" max="4602" width="13.25" style="137" customWidth="1"/>
    <col min="4603" max="4603" width="17" style="137" customWidth="1"/>
    <col min="4604" max="4848" width="9.625" style="137"/>
    <col min="4849" max="4849" width="4.625" style="137" customWidth="1"/>
    <col min="4850" max="4850" width="1.875" style="137" customWidth="1"/>
    <col min="4851" max="4851" width="30.625" style="137" customWidth="1"/>
    <col min="4852" max="4852" width="28.625" style="137" customWidth="1"/>
    <col min="4853" max="4853" width="8.125" style="137" customWidth="1"/>
    <col min="4854" max="4854" width="7.5" style="137" customWidth="1"/>
    <col min="4855" max="4856" width="14.875" style="137" customWidth="1"/>
    <col min="4857" max="4857" width="6.625" style="137" customWidth="1"/>
    <col min="4858" max="4858" width="13.25" style="137" customWidth="1"/>
    <col min="4859" max="4859" width="17" style="137" customWidth="1"/>
    <col min="4860" max="5104" width="9.625" style="137"/>
    <col min="5105" max="5105" width="4.625" style="137" customWidth="1"/>
    <col min="5106" max="5106" width="1.875" style="137" customWidth="1"/>
    <col min="5107" max="5107" width="30.625" style="137" customWidth="1"/>
    <col min="5108" max="5108" width="28.625" style="137" customWidth="1"/>
    <col min="5109" max="5109" width="8.125" style="137" customWidth="1"/>
    <col min="5110" max="5110" width="7.5" style="137" customWidth="1"/>
    <col min="5111" max="5112" width="14.875" style="137" customWidth="1"/>
    <col min="5113" max="5113" width="6.625" style="137" customWidth="1"/>
    <col min="5114" max="5114" width="13.25" style="137" customWidth="1"/>
    <col min="5115" max="5115" width="17" style="137" customWidth="1"/>
    <col min="5116" max="5360" width="9.625" style="137"/>
    <col min="5361" max="5361" width="4.625" style="137" customWidth="1"/>
    <col min="5362" max="5362" width="1.875" style="137" customWidth="1"/>
    <col min="5363" max="5363" width="30.625" style="137" customWidth="1"/>
    <col min="5364" max="5364" width="28.625" style="137" customWidth="1"/>
    <col min="5365" max="5365" width="8.125" style="137" customWidth="1"/>
    <col min="5366" max="5366" width="7.5" style="137" customWidth="1"/>
    <col min="5367" max="5368" width="14.875" style="137" customWidth="1"/>
    <col min="5369" max="5369" width="6.625" style="137" customWidth="1"/>
    <col min="5370" max="5370" width="13.25" style="137" customWidth="1"/>
    <col min="5371" max="5371" width="17" style="137" customWidth="1"/>
    <col min="5372" max="5616" width="9.625" style="137"/>
    <col min="5617" max="5617" width="4.625" style="137" customWidth="1"/>
    <col min="5618" max="5618" width="1.875" style="137" customWidth="1"/>
    <col min="5619" max="5619" width="30.625" style="137" customWidth="1"/>
    <col min="5620" max="5620" width="28.625" style="137" customWidth="1"/>
    <col min="5621" max="5621" width="8.125" style="137" customWidth="1"/>
    <col min="5622" max="5622" width="7.5" style="137" customWidth="1"/>
    <col min="5623" max="5624" width="14.875" style="137" customWidth="1"/>
    <col min="5625" max="5625" width="6.625" style="137" customWidth="1"/>
    <col min="5626" max="5626" width="13.25" style="137" customWidth="1"/>
    <col min="5627" max="5627" width="17" style="137" customWidth="1"/>
    <col min="5628" max="5872" width="9.625" style="137"/>
    <col min="5873" max="5873" width="4.625" style="137" customWidth="1"/>
    <col min="5874" max="5874" width="1.875" style="137" customWidth="1"/>
    <col min="5875" max="5875" width="30.625" style="137" customWidth="1"/>
    <col min="5876" max="5876" width="28.625" style="137" customWidth="1"/>
    <col min="5877" max="5877" width="8.125" style="137" customWidth="1"/>
    <col min="5878" max="5878" width="7.5" style="137" customWidth="1"/>
    <col min="5879" max="5880" width="14.875" style="137" customWidth="1"/>
    <col min="5881" max="5881" width="6.625" style="137" customWidth="1"/>
    <col min="5882" max="5882" width="13.25" style="137" customWidth="1"/>
    <col min="5883" max="5883" width="17" style="137" customWidth="1"/>
    <col min="5884" max="6128" width="9.625" style="137"/>
    <col min="6129" max="6129" width="4.625" style="137" customWidth="1"/>
    <col min="6130" max="6130" width="1.875" style="137" customWidth="1"/>
    <col min="6131" max="6131" width="30.625" style="137" customWidth="1"/>
    <col min="6132" max="6132" width="28.625" style="137" customWidth="1"/>
    <col min="6133" max="6133" width="8.125" style="137" customWidth="1"/>
    <col min="6134" max="6134" width="7.5" style="137" customWidth="1"/>
    <col min="6135" max="6136" width="14.875" style="137" customWidth="1"/>
    <col min="6137" max="6137" width="6.625" style="137" customWidth="1"/>
    <col min="6138" max="6138" width="13.25" style="137" customWidth="1"/>
    <col min="6139" max="6139" width="17" style="137" customWidth="1"/>
    <col min="6140" max="6384" width="9.625" style="137"/>
    <col min="6385" max="6385" width="4.625" style="137" customWidth="1"/>
    <col min="6386" max="6386" width="1.875" style="137" customWidth="1"/>
    <col min="6387" max="6387" width="30.625" style="137" customWidth="1"/>
    <col min="6388" max="6388" width="28.625" style="137" customWidth="1"/>
    <col min="6389" max="6389" width="8.125" style="137" customWidth="1"/>
    <col min="6390" max="6390" width="7.5" style="137" customWidth="1"/>
    <col min="6391" max="6392" width="14.875" style="137" customWidth="1"/>
    <col min="6393" max="6393" width="6.625" style="137" customWidth="1"/>
    <col min="6394" max="6394" width="13.25" style="137" customWidth="1"/>
    <col min="6395" max="6395" width="17" style="137" customWidth="1"/>
    <col min="6396" max="6640" width="9.625" style="137"/>
    <col min="6641" max="6641" width="4.625" style="137" customWidth="1"/>
    <col min="6642" max="6642" width="1.875" style="137" customWidth="1"/>
    <col min="6643" max="6643" width="30.625" style="137" customWidth="1"/>
    <col min="6644" max="6644" width="28.625" style="137" customWidth="1"/>
    <col min="6645" max="6645" width="8.125" style="137" customWidth="1"/>
    <col min="6646" max="6646" width="7.5" style="137" customWidth="1"/>
    <col min="6647" max="6648" width="14.875" style="137" customWidth="1"/>
    <col min="6649" max="6649" width="6.625" style="137" customWidth="1"/>
    <col min="6650" max="6650" width="13.25" style="137" customWidth="1"/>
    <col min="6651" max="6651" width="17" style="137" customWidth="1"/>
    <col min="6652" max="6896" width="9.625" style="137"/>
    <col min="6897" max="6897" width="4.625" style="137" customWidth="1"/>
    <col min="6898" max="6898" width="1.875" style="137" customWidth="1"/>
    <col min="6899" max="6899" width="30.625" style="137" customWidth="1"/>
    <col min="6900" max="6900" width="28.625" style="137" customWidth="1"/>
    <col min="6901" max="6901" width="8.125" style="137" customWidth="1"/>
    <col min="6902" max="6902" width="7.5" style="137" customWidth="1"/>
    <col min="6903" max="6904" width="14.875" style="137" customWidth="1"/>
    <col min="6905" max="6905" width="6.625" style="137" customWidth="1"/>
    <col min="6906" max="6906" width="13.25" style="137" customWidth="1"/>
    <col min="6907" max="6907" width="17" style="137" customWidth="1"/>
    <col min="6908" max="7152" width="9.625" style="137"/>
    <col min="7153" max="7153" width="4.625" style="137" customWidth="1"/>
    <col min="7154" max="7154" width="1.875" style="137" customWidth="1"/>
    <col min="7155" max="7155" width="30.625" style="137" customWidth="1"/>
    <col min="7156" max="7156" width="28.625" style="137" customWidth="1"/>
    <col min="7157" max="7157" width="8.125" style="137" customWidth="1"/>
    <col min="7158" max="7158" width="7.5" style="137" customWidth="1"/>
    <col min="7159" max="7160" width="14.875" style="137" customWidth="1"/>
    <col min="7161" max="7161" width="6.625" style="137" customWidth="1"/>
    <col min="7162" max="7162" width="13.25" style="137" customWidth="1"/>
    <col min="7163" max="7163" width="17" style="137" customWidth="1"/>
    <col min="7164" max="7408" width="9.625" style="137"/>
    <col min="7409" max="7409" width="4.625" style="137" customWidth="1"/>
    <col min="7410" max="7410" width="1.875" style="137" customWidth="1"/>
    <col min="7411" max="7411" width="30.625" style="137" customWidth="1"/>
    <col min="7412" max="7412" width="28.625" style="137" customWidth="1"/>
    <col min="7413" max="7413" width="8.125" style="137" customWidth="1"/>
    <col min="7414" max="7414" width="7.5" style="137" customWidth="1"/>
    <col min="7415" max="7416" width="14.875" style="137" customWidth="1"/>
    <col min="7417" max="7417" width="6.625" style="137" customWidth="1"/>
    <col min="7418" max="7418" width="13.25" style="137" customWidth="1"/>
    <col min="7419" max="7419" width="17" style="137" customWidth="1"/>
    <col min="7420" max="7664" width="9.625" style="137"/>
    <col min="7665" max="7665" width="4.625" style="137" customWidth="1"/>
    <col min="7666" max="7666" width="1.875" style="137" customWidth="1"/>
    <col min="7667" max="7667" width="30.625" style="137" customWidth="1"/>
    <col min="7668" max="7668" width="28.625" style="137" customWidth="1"/>
    <col min="7669" max="7669" width="8.125" style="137" customWidth="1"/>
    <col min="7670" max="7670" width="7.5" style="137" customWidth="1"/>
    <col min="7671" max="7672" width="14.875" style="137" customWidth="1"/>
    <col min="7673" max="7673" width="6.625" style="137" customWidth="1"/>
    <col min="7674" max="7674" width="13.25" style="137" customWidth="1"/>
    <col min="7675" max="7675" width="17" style="137" customWidth="1"/>
    <col min="7676" max="7920" width="9.625" style="137"/>
    <col min="7921" max="7921" width="4.625" style="137" customWidth="1"/>
    <col min="7922" max="7922" width="1.875" style="137" customWidth="1"/>
    <col min="7923" max="7923" width="30.625" style="137" customWidth="1"/>
    <col min="7924" max="7924" width="28.625" style="137" customWidth="1"/>
    <col min="7925" max="7925" width="8.125" style="137" customWidth="1"/>
    <col min="7926" max="7926" width="7.5" style="137" customWidth="1"/>
    <col min="7927" max="7928" width="14.875" style="137" customWidth="1"/>
    <col min="7929" max="7929" width="6.625" style="137" customWidth="1"/>
    <col min="7930" max="7930" width="13.25" style="137" customWidth="1"/>
    <col min="7931" max="7931" width="17" style="137" customWidth="1"/>
    <col min="7932" max="8176" width="9.625" style="137"/>
    <col min="8177" max="8177" width="4.625" style="137" customWidth="1"/>
    <col min="8178" max="8178" width="1.875" style="137" customWidth="1"/>
    <col min="8179" max="8179" width="30.625" style="137" customWidth="1"/>
    <col min="8180" max="8180" width="28.625" style="137" customWidth="1"/>
    <col min="8181" max="8181" width="8.125" style="137" customWidth="1"/>
    <col min="8182" max="8182" width="7.5" style="137" customWidth="1"/>
    <col min="8183" max="8184" width="14.875" style="137" customWidth="1"/>
    <col min="8185" max="8185" width="6.625" style="137" customWidth="1"/>
    <col min="8186" max="8186" width="13.25" style="137" customWidth="1"/>
    <col min="8187" max="8187" width="17" style="137" customWidth="1"/>
    <col min="8188" max="8432" width="9.625" style="137"/>
    <col min="8433" max="8433" width="4.625" style="137" customWidth="1"/>
    <col min="8434" max="8434" width="1.875" style="137" customWidth="1"/>
    <col min="8435" max="8435" width="30.625" style="137" customWidth="1"/>
    <col min="8436" max="8436" width="28.625" style="137" customWidth="1"/>
    <col min="8437" max="8437" width="8.125" style="137" customWidth="1"/>
    <col min="8438" max="8438" width="7.5" style="137" customWidth="1"/>
    <col min="8439" max="8440" width="14.875" style="137" customWidth="1"/>
    <col min="8441" max="8441" width="6.625" style="137" customWidth="1"/>
    <col min="8442" max="8442" width="13.25" style="137" customWidth="1"/>
    <col min="8443" max="8443" width="17" style="137" customWidth="1"/>
    <col min="8444" max="8688" width="9.625" style="137"/>
    <col min="8689" max="8689" width="4.625" style="137" customWidth="1"/>
    <col min="8690" max="8690" width="1.875" style="137" customWidth="1"/>
    <col min="8691" max="8691" width="30.625" style="137" customWidth="1"/>
    <col min="8692" max="8692" width="28.625" style="137" customWidth="1"/>
    <col min="8693" max="8693" width="8.125" style="137" customWidth="1"/>
    <col min="8694" max="8694" width="7.5" style="137" customWidth="1"/>
    <col min="8695" max="8696" width="14.875" style="137" customWidth="1"/>
    <col min="8697" max="8697" width="6.625" style="137" customWidth="1"/>
    <col min="8698" max="8698" width="13.25" style="137" customWidth="1"/>
    <col min="8699" max="8699" width="17" style="137" customWidth="1"/>
    <col min="8700" max="8944" width="9.625" style="137"/>
    <col min="8945" max="8945" width="4.625" style="137" customWidth="1"/>
    <col min="8946" max="8946" width="1.875" style="137" customWidth="1"/>
    <col min="8947" max="8947" width="30.625" style="137" customWidth="1"/>
    <col min="8948" max="8948" width="28.625" style="137" customWidth="1"/>
    <col min="8949" max="8949" width="8.125" style="137" customWidth="1"/>
    <col min="8950" max="8950" width="7.5" style="137" customWidth="1"/>
    <col min="8951" max="8952" width="14.875" style="137" customWidth="1"/>
    <col min="8953" max="8953" width="6.625" style="137" customWidth="1"/>
    <col min="8954" max="8954" width="13.25" style="137" customWidth="1"/>
    <col min="8955" max="8955" width="17" style="137" customWidth="1"/>
    <col min="8956" max="9200" width="9.625" style="137"/>
    <col min="9201" max="9201" width="4.625" style="137" customWidth="1"/>
    <col min="9202" max="9202" width="1.875" style="137" customWidth="1"/>
    <col min="9203" max="9203" width="30.625" style="137" customWidth="1"/>
    <col min="9204" max="9204" width="28.625" style="137" customWidth="1"/>
    <col min="9205" max="9205" width="8.125" style="137" customWidth="1"/>
    <col min="9206" max="9206" width="7.5" style="137" customWidth="1"/>
    <col min="9207" max="9208" width="14.875" style="137" customWidth="1"/>
    <col min="9209" max="9209" width="6.625" style="137" customWidth="1"/>
    <col min="9210" max="9210" width="13.25" style="137" customWidth="1"/>
    <col min="9211" max="9211" width="17" style="137" customWidth="1"/>
    <col min="9212" max="9456" width="9.625" style="137"/>
    <col min="9457" max="9457" width="4.625" style="137" customWidth="1"/>
    <col min="9458" max="9458" width="1.875" style="137" customWidth="1"/>
    <col min="9459" max="9459" width="30.625" style="137" customWidth="1"/>
    <col min="9460" max="9460" width="28.625" style="137" customWidth="1"/>
    <col min="9461" max="9461" width="8.125" style="137" customWidth="1"/>
    <col min="9462" max="9462" width="7.5" style="137" customWidth="1"/>
    <col min="9463" max="9464" width="14.875" style="137" customWidth="1"/>
    <col min="9465" max="9465" width="6.625" style="137" customWidth="1"/>
    <col min="9466" max="9466" width="13.25" style="137" customWidth="1"/>
    <col min="9467" max="9467" width="17" style="137" customWidth="1"/>
    <col min="9468" max="9712" width="9.625" style="137"/>
    <col min="9713" max="9713" width="4.625" style="137" customWidth="1"/>
    <col min="9714" max="9714" width="1.875" style="137" customWidth="1"/>
    <col min="9715" max="9715" width="30.625" style="137" customWidth="1"/>
    <col min="9716" max="9716" width="28.625" style="137" customWidth="1"/>
    <col min="9717" max="9717" width="8.125" style="137" customWidth="1"/>
    <col min="9718" max="9718" width="7.5" style="137" customWidth="1"/>
    <col min="9719" max="9720" width="14.875" style="137" customWidth="1"/>
    <col min="9721" max="9721" width="6.625" style="137" customWidth="1"/>
    <col min="9722" max="9722" width="13.25" style="137" customWidth="1"/>
    <col min="9723" max="9723" width="17" style="137" customWidth="1"/>
    <col min="9724" max="9968" width="9.625" style="137"/>
    <col min="9969" max="9969" width="4.625" style="137" customWidth="1"/>
    <col min="9970" max="9970" width="1.875" style="137" customWidth="1"/>
    <col min="9971" max="9971" width="30.625" style="137" customWidth="1"/>
    <col min="9972" max="9972" width="28.625" style="137" customWidth="1"/>
    <col min="9973" max="9973" width="8.125" style="137" customWidth="1"/>
    <col min="9974" max="9974" width="7.5" style="137" customWidth="1"/>
    <col min="9975" max="9976" width="14.875" style="137" customWidth="1"/>
    <col min="9977" max="9977" width="6.625" style="137" customWidth="1"/>
    <col min="9978" max="9978" width="13.25" style="137" customWidth="1"/>
    <col min="9979" max="9979" width="17" style="137" customWidth="1"/>
    <col min="9980" max="10224" width="9.625" style="137"/>
    <col min="10225" max="10225" width="4.625" style="137" customWidth="1"/>
    <col min="10226" max="10226" width="1.875" style="137" customWidth="1"/>
    <col min="10227" max="10227" width="30.625" style="137" customWidth="1"/>
    <col min="10228" max="10228" width="28.625" style="137" customWidth="1"/>
    <col min="10229" max="10229" width="8.125" style="137" customWidth="1"/>
    <col min="10230" max="10230" width="7.5" style="137" customWidth="1"/>
    <col min="10231" max="10232" width="14.875" style="137" customWidth="1"/>
    <col min="10233" max="10233" width="6.625" style="137" customWidth="1"/>
    <col min="10234" max="10234" width="13.25" style="137" customWidth="1"/>
    <col min="10235" max="10235" width="17" style="137" customWidth="1"/>
    <col min="10236" max="10480" width="9.625" style="137"/>
    <col min="10481" max="10481" width="4.625" style="137" customWidth="1"/>
    <col min="10482" max="10482" width="1.875" style="137" customWidth="1"/>
    <col min="10483" max="10483" width="30.625" style="137" customWidth="1"/>
    <col min="10484" max="10484" width="28.625" style="137" customWidth="1"/>
    <col min="10485" max="10485" width="8.125" style="137" customWidth="1"/>
    <col min="10486" max="10486" width="7.5" style="137" customWidth="1"/>
    <col min="10487" max="10488" width="14.875" style="137" customWidth="1"/>
    <col min="10489" max="10489" width="6.625" style="137" customWidth="1"/>
    <col min="10490" max="10490" width="13.25" style="137" customWidth="1"/>
    <col min="10491" max="10491" width="17" style="137" customWidth="1"/>
    <col min="10492" max="10736" width="9.625" style="137"/>
    <col min="10737" max="10737" width="4.625" style="137" customWidth="1"/>
    <col min="10738" max="10738" width="1.875" style="137" customWidth="1"/>
    <col min="10739" max="10739" width="30.625" style="137" customWidth="1"/>
    <col min="10740" max="10740" width="28.625" style="137" customWidth="1"/>
    <col min="10741" max="10741" width="8.125" style="137" customWidth="1"/>
    <col min="10742" max="10742" width="7.5" style="137" customWidth="1"/>
    <col min="10743" max="10744" width="14.875" style="137" customWidth="1"/>
    <col min="10745" max="10745" width="6.625" style="137" customWidth="1"/>
    <col min="10746" max="10746" width="13.25" style="137" customWidth="1"/>
    <col min="10747" max="10747" width="17" style="137" customWidth="1"/>
    <col min="10748" max="10992" width="9.625" style="137"/>
    <col min="10993" max="10993" width="4.625" style="137" customWidth="1"/>
    <col min="10994" max="10994" width="1.875" style="137" customWidth="1"/>
    <col min="10995" max="10995" width="30.625" style="137" customWidth="1"/>
    <col min="10996" max="10996" width="28.625" style="137" customWidth="1"/>
    <col min="10997" max="10997" width="8.125" style="137" customWidth="1"/>
    <col min="10998" max="10998" width="7.5" style="137" customWidth="1"/>
    <col min="10999" max="11000" width="14.875" style="137" customWidth="1"/>
    <col min="11001" max="11001" width="6.625" style="137" customWidth="1"/>
    <col min="11002" max="11002" width="13.25" style="137" customWidth="1"/>
    <col min="11003" max="11003" width="17" style="137" customWidth="1"/>
    <col min="11004" max="11248" width="9.625" style="137"/>
    <col min="11249" max="11249" width="4.625" style="137" customWidth="1"/>
    <col min="11250" max="11250" width="1.875" style="137" customWidth="1"/>
    <col min="11251" max="11251" width="30.625" style="137" customWidth="1"/>
    <col min="11252" max="11252" width="28.625" style="137" customWidth="1"/>
    <col min="11253" max="11253" width="8.125" style="137" customWidth="1"/>
    <col min="11254" max="11254" width="7.5" style="137" customWidth="1"/>
    <col min="11255" max="11256" width="14.875" style="137" customWidth="1"/>
    <col min="11257" max="11257" width="6.625" style="137" customWidth="1"/>
    <col min="11258" max="11258" width="13.25" style="137" customWidth="1"/>
    <col min="11259" max="11259" width="17" style="137" customWidth="1"/>
    <col min="11260" max="11504" width="9.625" style="137"/>
    <col min="11505" max="11505" width="4.625" style="137" customWidth="1"/>
    <col min="11506" max="11506" width="1.875" style="137" customWidth="1"/>
    <col min="11507" max="11507" width="30.625" style="137" customWidth="1"/>
    <col min="11508" max="11508" width="28.625" style="137" customWidth="1"/>
    <col min="11509" max="11509" width="8.125" style="137" customWidth="1"/>
    <col min="11510" max="11510" width="7.5" style="137" customWidth="1"/>
    <col min="11511" max="11512" width="14.875" style="137" customWidth="1"/>
    <col min="11513" max="11513" width="6.625" style="137" customWidth="1"/>
    <col min="11514" max="11514" width="13.25" style="137" customWidth="1"/>
    <col min="11515" max="11515" width="17" style="137" customWidth="1"/>
    <col min="11516" max="11760" width="9.625" style="137"/>
    <col min="11761" max="11761" width="4.625" style="137" customWidth="1"/>
    <col min="11762" max="11762" width="1.875" style="137" customWidth="1"/>
    <col min="11763" max="11763" width="30.625" style="137" customWidth="1"/>
    <col min="11764" max="11764" width="28.625" style="137" customWidth="1"/>
    <col min="11765" max="11765" width="8.125" style="137" customWidth="1"/>
    <col min="11766" max="11766" width="7.5" style="137" customWidth="1"/>
    <col min="11767" max="11768" width="14.875" style="137" customWidth="1"/>
    <col min="11769" max="11769" width="6.625" style="137" customWidth="1"/>
    <col min="11770" max="11770" width="13.25" style="137" customWidth="1"/>
    <col min="11771" max="11771" width="17" style="137" customWidth="1"/>
    <col min="11772" max="12016" width="9.625" style="137"/>
    <col min="12017" max="12017" width="4.625" style="137" customWidth="1"/>
    <col min="12018" max="12018" width="1.875" style="137" customWidth="1"/>
    <col min="12019" max="12019" width="30.625" style="137" customWidth="1"/>
    <col min="12020" max="12020" width="28.625" style="137" customWidth="1"/>
    <col min="12021" max="12021" width="8.125" style="137" customWidth="1"/>
    <col min="12022" max="12022" width="7.5" style="137" customWidth="1"/>
    <col min="12023" max="12024" width="14.875" style="137" customWidth="1"/>
    <col min="12025" max="12025" width="6.625" style="137" customWidth="1"/>
    <col min="12026" max="12026" width="13.25" style="137" customWidth="1"/>
    <col min="12027" max="12027" width="17" style="137" customWidth="1"/>
    <col min="12028" max="12272" width="9.625" style="137"/>
    <col min="12273" max="12273" width="4.625" style="137" customWidth="1"/>
    <col min="12274" max="12274" width="1.875" style="137" customWidth="1"/>
    <col min="12275" max="12275" width="30.625" style="137" customWidth="1"/>
    <col min="12276" max="12276" width="28.625" style="137" customWidth="1"/>
    <col min="12277" max="12277" width="8.125" style="137" customWidth="1"/>
    <col min="12278" max="12278" width="7.5" style="137" customWidth="1"/>
    <col min="12279" max="12280" width="14.875" style="137" customWidth="1"/>
    <col min="12281" max="12281" width="6.625" style="137" customWidth="1"/>
    <col min="12282" max="12282" width="13.25" style="137" customWidth="1"/>
    <col min="12283" max="12283" width="17" style="137" customWidth="1"/>
    <col min="12284" max="12528" width="9.625" style="137"/>
    <col min="12529" max="12529" width="4.625" style="137" customWidth="1"/>
    <col min="12530" max="12530" width="1.875" style="137" customWidth="1"/>
    <col min="12531" max="12531" width="30.625" style="137" customWidth="1"/>
    <col min="12532" max="12532" width="28.625" style="137" customWidth="1"/>
    <col min="12533" max="12533" width="8.125" style="137" customWidth="1"/>
    <col min="12534" max="12534" width="7.5" style="137" customWidth="1"/>
    <col min="12535" max="12536" width="14.875" style="137" customWidth="1"/>
    <col min="12537" max="12537" width="6.625" style="137" customWidth="1"/>
    <col min="12538" max="12538" width="13.25" style="137" customWidth="1"/>
    <col min="12539" max="12539" width="17" style="137" customWidth="1"/>
    <col min="12540" max="12784" width="9.625" style="137"/>
    <col min="12785" max="12785" width="4.625" style="137" customWidth="1"/>
    <col min="12786" max="12786" width="1.875" style="137" customWidth="1"/>
    <col min="12787" max="12787" width="30.625" style="137" customWidth="1"/>
    <col min="12788" max="12788" width="28.625" style="137" customWidth="1"/>
    <col min="12789" max="12789" width="8.125" style="137" customWidth="1"/>
    <col min="12790" max="12790" width="7.5" style="137" customWidth="1"/>
    <col min="12791" max="12792" width="14.875" style="137" customWidth="1"/>
    <col min="12793" max="12793" width="6.625" style="137" customWidth="1"/>
    <col min="12794" max="12794" width="13.25" style="137" customWidth="1"/>
    <col min="12795" max="12795" width="17" style="137" customWidth="1"/>
    <col min="12796" max="13040" width="9.625" style="137"/>
    <col min="13041" max="13041" width="4.625" style="137" customWidth="1"/>
    <col min="13042" max="13042" width="1.875" style="137" customWidth="1"/>
    <col min="13043" max="13043" width="30.625" style="137" customWidth="1"/>
    <col min="13044" max="13044" width="28.625" style="137" customWidth="1"/>
    <col min="13045" max="13045" width="8.125" style="137" customWidth="1"/>
    <col min="13046" max="13046" width="7.5" style="137" customWidth="1"/>
    <col min="13047" max="13048" width="14.875" style="137" customWidth="1"/>
    <col min="13049" max="13049" width="6.625" style="137" customWidth="1"/>
    <col min="13050" max="13050" width="13.25" style="137" customWidth="1"/>
    <col min="13051" max="13051" width="17" style="137" customWidth="1"/>
    <col min="13052" max="13296" width="9.625" style="137"/>
    <col min="13297" max="13297" width="4.625" style="137" customWidth="1"/>
    <col min="13298" max="13298" width="1.875" style="137" customWidth="1"/>
    <col min="13299" max="13299" width="30.625" style="137" customWidth="1"/>
    <col min="13300" max="13300" width="28.625" style="137" customWidth="1"/>
    <col min="13301" max="13301" width="8.125" style="137" customWidth="1"/>
    <col min="13302" max="13302" width="7.5" style="137" customWidth="1"/>
    <col min="13303" max="13304" width="14.875" style="137" customWidth="1"/>
    <col min="13305" max="13305" width="6.625" style="137" customWidth="1"/>
    <col min="13306" max="13306" width="13.25" style="137" customWidth="1"/>
    <col min="13307" max="13307" width="17" style="137" customWidth="1"/>
    <col min="13308" max="13552" width="9.625" style="137"/>
    <col min="13553" max="13553" width="4.625" style="137" customWidth="1"/>
    <col min="13554" max="13554" width="1.875" style="137" customWidth="1"/>
    <col min="13555" max="13555" width="30.625" style="137" customWidth="1"/>
    <col min="13556" max="13556" width="28.625" style="137" customWidth="1"/>
    <col min="13557" max="13557" width="8.125" style="137" customWidth="1"/>
    <col min="13558" max="13558" width="7.5" style="137" customWidth="1"/>
    <col min="13559" max="13560" width="14.875" style="137" customWidth="1"/>
    <col min="13561" max="13561" width="6.625" style="137" customWidth="1"/>
    <col min="13562" max="13562" width="13.25" style="137" customWidth="1"/>
    <col min="13563" max="13563" width="17" style="137" customWidth="1"/>
    <col min="13564" max="13808" width="9.625" style="137"/>
    <col min="13809" max="13809" width="4.625" style="137" customWidth="1"/>
    <col min="13810" max="13810" width="1.875" style="137" customWidth="1"/>
    <col min="13811" max="13811" width="30.625" style="137" customWidth="1"/>
    <col min="13812" max="13812" width="28.625" style="137" customWidth="1"/>
    <col min="13813" max="13813" width="8.125" style="137" customWidth="1"/>
    <col min="13814" max="13814" width="7.5" style="137" customWidth="1"/>
    <col min="13815" max="13816" width="14.875" style="137" customWidth="1"/>
    <col min="13817" max="13817" width="6.625" style="137" customWidth="1"/>
    <col min="13818" max="13818" width="13.25" style="137" customWidth="1"/>
    <col min="13819" max="13819" width="17" style="137" customWidth="1"/>
    <col min="13820" max="14064" width="9.625" style="137"/>
    <col min="14065" max="14065" width="4.625" style="137" customWidth="1"/>
    <col min="14066" max="14066" width="1.875" style="137" customWidth="1"/>
    <col min="14067" max="14067" width="30.625" style="137" customWidth="1"/>
    <col min="14068" max="14068" width="28.625" style="137" customWidth="1"/>
    <col min="14069" max="14069" width="8.125" style="137" customWidth="1"/>
    <col min="14070" max="14070" width="7.5" style="137" customWidth="1"/>
    <col min="14071" max="14072" width="14.875" style="137" customWidth="1"/>
    <col min="14073" max="14073" width="6.625" style="137" customWidth="1"/>
    <col min="14074" max="14074" width="13.25" style="137" customWidth="1"/>
    <col min="14075" max="14075" width="17" style="137" customWidth="1"/>
    <col min="14076" max="14320" width="9.625" style="137"/>
    <col min="14321" max="14321" width="4.625" style="137" customWidth="1"/>
    <col min="14322" max="14322" width="1.875" style="137" customWidth="1"/>
    <col min="14323" max="14323" width="30.625" style="137" customWidth="1"/>
    <col min="14324" max="14324" width="28.625" style="137" customWidth="1"/>
    <col min="14325" max="14325" width="8.125" style="137" customWidth="1"/>
    <col min="14326" max="14326" width="7.5" style="137" customWidth="1"/>
    <col min="14327" max="14328" width="14.875" style="137" customWidth="1"/>
    <col min="14329" max="14329" width="6.625" style="137" customWidth="1"/>
    <col min="14330" max="14330" width="13.25" style="137" customWidth="1"/>
    <col min="14331" max="14331" width="17" style="137" customWidth="1"/>
    <col min="14332" max="14576" width="9.625" style="137"/>
    <col min="14577" max="14577" width="4.625" style="137" customWidth="1"/>
    <col min="14578" max="14578" width="1.875" style="137" customWidth="1"/>
    <col min="14579" max="14579" width="30.625" style="137" customWidth="1"/>
    <col min="14580" max="14580" width="28.625" style="137" customWidth="1"/>
    <col min="14581" max="14581" width="8.125" style="137" customWidth="1"/>
    <col min="14582" max="14582" width="7.5" style="137" customWidth="1"/>
    <col min="14583" max="14584" width="14.875" style="137" customWidth="1"/>
    <col min="14585" max="14585" width="6.625" style="137" customWidth="1"/>
    <col min="14586" max="14586" width="13.25" style="137" customWidth="1"/>
    <col min="14587" max="14587" width="17" style="137" customWidth="1"/>
    <col min="14588" max="14832" width="9.625" style="137"/>
    <col min="14833" max="14833" width="4.625" style="137" customWidth="1"/>
    <col min="14834" max="14834" width="1.875" style="137" customWidth="1"/>
    <col min="14835" max="14835" width="30.625" style="137" customWidth="1"/>
    <col min="14836" max="14836" width="28.625" style="137" customWidth="1"/>
    <col min="14837" max="14837" width="8.125" style="137" customWidth="1"/>
    <col min="14838" max="14838" width="7.5" style="137" customWidth="1"/>
    <col min="14839" max="14840" width="14.875" style="137" customWidth="1"/>
    <col min="14841" max="14841" width="6.625" style="137" customWidth="1"/>
    <col min="14842" max="14842" width="13.25" style="137" customWidth="1"/>
    <col min="14843" max="14843" width="17" style="137" customWidth="1"/>
    <col min="14844" max="15088" width="9.625" style="137"/>
    <col min="15089" max="15089" width="4.625" style="137" customWidth="1"/>
    <col min="15090" max="15090" width="1.875" style="137" customWidth="1"/>
    <col min="15091" max="15091" width="30.625" style="137" customWidth="1"/>
    <col min="15092" max="15092" width="28.625" style="137" customWidth="1"/>
    <col min="15093" max="15093" width="8.125" style="137" customWidth="1"/>
    <col min="15094" max="15094" width="7.5" style="137" customWidth="1"/>
    <col min="15095" max="15096" width="14.875" style="137" customWidth="1"/>
    <col min="15097" max="15097" width="6.625" style="137" customWidth="1"/>
    <col min="15098" max="15098" width="13.25" style="137" customWidth="1"/>
    <col min="15099" max="15099" width="17" style="137" customWidth="1"/>
    <col min="15100" max="15344" width="9.625" style="137"/>
    <col min="15345" max="15345" width="4.625" style="137" customWidth="1"/>
    <col min="15346" max="15346" width="1.875" style="137" customWidth="1"/>
    <col min="15347" max="15347" width="30.625" style="137" customWidth="1"/>
    <col min="15348" max="15348" width="28.625" style="137" customWidth="1"/>
    <col min="15349" max="15349" width="8.125" style="137" customWidth="1"/>
    <col min="15350" max="15350" width="7.5" style="137" customWidth="1"/>
    <col min="15351" max="15352" width="14.875" style="137" customWidth="1"/>
    <col min="15353" max="15353" width="6.625" style="137" customWidth="1"/>
    <col min="15354" max="15354" width="13.25" style="137" customWidth="1"/>
    <col min="15355" max="15355" width="17" style="137" customWidth="1"/>
    <col min="15356" max="15600" width="9.625" style="137"/>
    <col min="15601" max="15601" width="4.625" style="137" customWidth="1"/>
    <col min="15602" max="15602" width="1.875" style="137" customWidth="1"/>
    <col min="15603" max="15603" width="30.625" style="137" customWidth="1"/>
    <col min="15604" max="15604" width="28.625" style="137" customWidth="1"/>
    <col min="15605" max="15605" width="8.125" style="137" customWidth="1"/>
    <col min="15606" max="15606" width="7.5" style="137" customWidth="1"/>
    <col min="15607" max="15608" width="14.875" style="137" customWidth="1"/>
    <col min="15609" max="15609" width="6.625" style="137" customWidth="1"/>
    <col min="15610" max="15610" width="13.25" style="137" customWidth="1"/>
    <col min="15611" max="15611" width="17" style="137" customWidth="1"/>
    <col min="15612" max="15856" width="9.625" style="137"/>
    <col min="15857" max="15857" width="4.625" style="137" customWidth="1"/>
    <col min="15858" max="15858" width="1.875" style="137" customWidth="1"/>
    <col min="15859" max="15859" width="30.625" style="137" customWidth="1"/>
    <col min="15860" max="15860" width="28.625" style="137" customWidth="1"/>
    <col min="15861" max="15861" width="8.125" style="137" customWidth="1"/>
    <col min="15862" max="15862" width="7.5" style="137" customWidth="1"/>
    <col min="15863" max="15864" width="14.875" style="137" customWidth="1"/>
    <col min="15865" max="15865" width="6.625" style="137" customWidth="1"/>
    <col min="15866" max="15866" width="13.25" style="137" customWidth="1"/>
    <col min="15867" max="15867" width="17" style="137" customWidth="1"/>
    <col min="15868" max="16112" width="9.625" style="137"/>
    <col min="16113" max="16113" width="4.625" style="137" customWidth="1"/>
    <col min="16114" max="16114" width="1.875" style="137" customWidth="1"/>
    <col min="16115" max="16115" width="30.625" style="137" customWidth="1"/>
    <col min="16116" max="16116" width="28.625" style="137" customWidth="1"/>
    <col min="16117" max="16117" width="8.125" style="137" customWidth="1"/>
    <col min="16118" max="16118" width="7.5" style="137" customWidth="1"/>
    <col min="16119" max="16120" width="14.875" style="137" customWidth="1"/>
    <col min="16121" max="16121" width="6.625" style="137" customWidth="1"/>
    <col min="16122" max="16122" width="13.25" style="137" customWidth="1"/>
    <col min="16123" max="16123" width="17" style="137" customWidth="1"/>
    <col min="16124" max="16384" width="9.625" style="137"/>
  </cols>
  <sheetData>
    <row r="2" spans="1:11">
      <c r="K2" s="4" t="s">
        <v>0</v>
      </c>
    </row>
    <row r="3" spans="1:11">
      <c r="K3" s="5" t="s">
        <v>264</v>
      </c>
    </row>
    <row r="5" spans="1:11" ht="45">
      <c r="A5" s="225" t="s">
        <v>1</v>
      </c>
      <c r="B5" s="225"/>
      <c r="C5" s="225"/>
      <c r="D5" s="225"/>
      <c r="E5" s="225"/>
      <c r="F5" s="225"/>
      <c r="G5" s="225"/>
      <c r="H5" s="225"/>
      <c r="I5" s="225"/>
      <c r="J5" s="225"/>
      <c r="K5" s="225"/>
    </row>
    <row r="8" spans="1:11" s="6" customFormat="1" ht="33">
      <c r="A8" s="226" t="s">
        <v>259</v>
      </c>
      <c r="B8" s="226"/>
      <c r="C8" s="226"/>
      <c r="D8" s="226"/>
      <c r="E8" s="226"/>
      <c r="F8" s="226"/>
      <c r="G8" s="226"/>
      <c r="H8" s="226"/>
      <c r="I8" s="226"/>
      <c r="J8" s="226"/>
      <c r="K8" s="226"/>
    </row>
    <row r="9" spans="1:11" s="6" customFormat="1" ht="33">
      <c r="A9" s="226" t="s">
        <v>260</v>
      </c>
      <c r="B9" s="226"/>
      <c r="C9" s="226"/>
      <c r="D9" s="226"/>
      <c r="E9" s="226"/>
      <c r="F9" s="226"/>
      <c r="G9" s="226"/>
      <c r="H9" s="226"/>
      <c r="I9" s="226"/>
      <c r="J9" s="226"/>
      <c r="K9" s="226"/>
    </row>
    <row r="20" spans="1:11" ht="12.75" thickBot="1">
      <c r="A20" s="227" t="s">
        <v>228</v>
      </c>
      <c r="B20" s="227"/>
      <c r="C20" s="227"/>
      <c r="D20" s="134" t="s">
        <v>272</v>
      </c>
      <c r="E20" s="7"/>
      <c r="F20" s="7"/>
      <c r="G20" s="7"/>
      <c r="H20" s="7"/>
      <c r="I20" s="7"/>
      <c r="J20" s="7"/>
      <c r="K20" s="7"/>
    </row>
    <row r="21" spans="1:11" ht="12.75" thickBot="1">
      <c r="C21" s="159" t="s">
        <v>229</v>
      </c>
      <c r="D21" s="133" t="s">
        <v>277</v>
      </c>
    </row>
    <row r="22" spans="1:11" ht="12.75" thickBot="1">
      <c r="C22" s="159" t="s">
        <v>230</v>
      </c>
      <c r="D22" s="133" t="s">
        <v>278</v>
      </c>
    </row>
    <row r="23" spans="1:11" ht="12.75" thickBot="1">
      <c r="C23" s="159" t="s">
        <v>231</v>
      </c>
      <c r="D23" s="133" t="s">
        <v>279</v>
      </c>
    </row>
    <row r="31" spans="1:11">
      <c r="C31" s="137" t="s">
        <v>2</v>
      </c>
    </row>
    <row r="36" spans="1:11" ht="30">
      <c r="A36" s="228" t="s">
        <v>237</v>
      </c>
      <c r="B36" s="228"/>
      <c r="C36" s="228"/>
      <c r="D36" s="228"/>
      <c r="E36" s="228"/>
      <c r="F36" s="228"/>
      <c r="G36" s="228"/>
      <c r="H36" s="228"/>
      <c r="I36" s="228"/>
      <c r="J36" s="228"/>
      <c r="K36" s="228"/>
    </row>
    <row r="39" spans="1:11">
      <c r="A39" s="8"/>
      <c r="C39" s="9"/>
      <c r="E39" s="8"/>
      <c r="F39" s="10"/>
      <c r="G39" s="11"/>
      <c r="H39" s="12"/>
      <c r="I39" s="10"/>
      <c r="J39" s="11"/>
      <c r="K39" s="12"/>
    </row>
    <row r="40" spans="1:11">
      <c r="A40" s="13"/>
      <c r="G40" s="14"/>
      <c r="K40" s="15" t="s">
        <v>3</v>
      </c>
    </row>
    <row r="41" spans="1:11">
      <c r="A41" s="224" t="s">
        <v>4</v>
      </c>
      <c r="B41" s="224"/>
      <c r="C41" s="224"/>
      <c r="D41" s="224"/>
      <c r="E41" s="224"/>
      <c r="F41" s="224"/>
      <c r="G41" s="224"/>
      <c r="H41" s="224"/>
      <c r="I41" s="224"/>
      <c r="J41" s="224"/>
      <c r="K41" s="224"/>
    </row>
    <row r="42" spans="1:11">
      <c r="A42" s="16" t="s">
        <v>5</v>
      </c>
      <c r="C42" s="137" t="str">
        <f>$D$20</f>
        <v>University of Colorado</v>
      </c>
      <c r="G42" s="14"/>
      <c r="I42" s="17"/>
      <c r="J42" s="14"/>
      <c r="K42" s="18" t="str">
        <f>$K$3</f>
        <v>Date: October 09, 2017</v>
      </c>
    </row>
    <row r="43" spans="1:11">
      <c r="A43" s="19" t="s">
        <v>6</v>
      </c>
      <c r="B43" s="19" t="s">
        <v>6</v>
      </c>
      <c r="C43" s="19" t="s">
        <v>6</v>
      </c>
      <c r="D43" s="19" t="s">
        <v>6</v>
      </c>
      <c r="E43" s="19" t="s">
        <v>6</v>
      </c>
      <c r="F43" s="19" t="s">
        <v>6</v>
      </c>
      <c r="G43" s="20" t="s">
        <v>6</v>
      </c>
      <c r="H43" s="21" t="s">
        <v>6</v>
      </c>
      <c r="I43" s="19" t="s">
        <v>6</v>
      </c>
      <c r="J43" s="20" t="s">
        <v>6</v>
      </c>
      <c r="K43" s="21" t="s">
        <v>6</v>
      </c>
    </row>
    <row r="44" spans="1:11">
      <c r="A44" s="22" t="s">
        <v>7</v>
      </c>
      <c r="C44" s="9" t="s">
        <v>8</v>
      </c>
      <c r="E44" s="22" t="s">
        <v>7</v>
      </c>
      <c r="F44" s="23"/>
      <c r="G44" s="24"/>
      <c r="H44" s="25" t="s">
        <v>257</v>
      </c>
      <c r="I44" s="23"/>
      <c r="J44" s="24"/>
      <c r="K44" s="25" t="s">
        <v>261</v>
      </c>
    </row>
    <row r="45" spans="1:11">
      <c r="A45" s="22" t="s">
        <v>9</v>
      </c>
      <c r="C45" s="26" t="s">
        <v>10</v>
      </c>
      <c r="E45" s="22" t="s">
        <v>9</v>
      </c>
      <c r="F45" s="23"/>
      <c r="G45" s="24" t="s">
        <v>11</v>
      </c>
      <c r="H45" s="25" t="s">
        <v>12</v>
      </c>
      <c r="I45" s="23"/>
      <c r="J45" s="24" t="s">
        <v>11</v>
      </c>
      <c r="K45" s="25" t="s">
        <v>13</v>
      </c>
    </row>
    <row r="46" spans="1:11">
      <c r="A46" s="19" t="s">
        <v>6</v>
      </c>
      <c r="B46" s="19" t="s">
        <v>6</v>
      </c>
      <c r="C46" s="19" t="s">
        <v>6</v>
      </c>
      <c r="D46" s="19" t="s">
        <v>6</v>
      </c>
      <c r="E46" s="19" t="s">
        <v>6</v>
      </c>
      <c r="F46" s="19" t="s">
        <v>6</v>
      </c>
      <c r="G46" s="20" t="s">
        <v>6</v>
      </c>
      <c r="H46" s="21" t="s">
        <v>6</v>
      </c>
      <c r="I46" s="19" t="s">
        <v>6</v>
      </c>
      <c r="J46" s="20" t="s">
        <v>6</v>
      </c>
      <c r="K46" s="21" t="s">
        <v>6</v>
      </c>
    </row>
    <row r="47" spans="1:11">
      <c r="A47" s="8">
        <v>1</v>
      </c>
      <c r="C47" s="9" t="s">
        <v>14</v>
      </c>
      <c r="D47" s="27" t="s">
        <v>15</v>
      </c>
      <c r="E47" s="8">
        <v>1</v>
      </c>
      <c r="G47" s="92">
        <v>0</v>
      </c>
      <c r="H47" s="92">
        <v>0</v>
      </c>
      <c r="I47" s="30"/>
      <c r="J47" s="92">
        <v>0</v>
      </c>
      <c r="K47" s="92">
        <v>0</v>
      </c>
    </row>
    <row r="48" spans="1:11">
      <c r="A48" s="8">
        <v>2</v>
      </c>
      <c r="C48" s="9" t="s">
        <v>16</v>
      </c>
      <c r="D48" s="27" t="s">
        <v>17</v>
      </c>
      <c r="E48" s="8">
        <v>2</v>
      </c>
      <c r="G48" s="92">
        <v>0</v>
      </c>
      <c r="H48" s="92">
        <v>0</v>
      </c>
      <c r="I48" s="30"/>
      <c r="J48" s="92">
        <v>0</v>
      </c>
      <c r="K48" s="92">
        <v>0</v>
      </c>
    </row>
    <row r="49" spans="1:11">
      <c r="A49" s="8">
        <v>3</v>
      </c>
      <c r="C49" s="9" t="s">
        <v>18</v>
      </c>
      <c r="D49" s="27" t="s">
        <v>19</v>
      </c>
      <c r="E49" s="8">
        <v>3</v>
      </c>
      <c r="G49" s="92">
        <v>0</v>
      </c>
      <c r="H49" s="92">
        <v>0</v>
      </c>
      <c r="I49" s="30"/>
      <c r="J49" s="92">
        <v>0</v>
      </c>
      <c r="K49" s="92">
        <v>0</v>
      </c>
    </row>
    <row r="50" spans="1:11">
      <c r="A50" s="8">
        <v>4</v>
      </c>
      <c r="C50" s="9" t="s">
        <v>20</v>
      </c>
      <c r="D50" s="27" t="s">
        <v>21</v>
      </c>
      <c r="E50" s="8">
        <v>4</v>
      </c>
      <c r="G50" s="92">
        <v>0</v>
      </c>
      <c r="H50" s="92">
        <v>0</v>
      </c>
      <c r="I50" s="30"/>
      <c r="J50" s="92">
        <v>0</v>
      </c>
      <c r="K50" s="92">
        <v>0</v>
      </c>
    </row>
    <row r="51" spans="1:11">
      <c r="A51" s="8">
        <v>5</v>
      </c>
      <c r="C51" s="9" t="s">
        <v>22</v>
      </c>
      <c r="D51" s="27" t="s">
        <v>23</v>
      </c>
      <c r="E51" s="8">
        <v>5</v>
      </c>
      <c r="G51" s="92">
        <v>0</v>
      </c>
      <c r="H51" s="92">
        <v>0</v>
      </c>
      <c r="I51" s="30"/>
      <c r="J51" s="92">
        <v>0</v>
      </c>
      <c r="K51" s="92">
        <v>0</v>
      </c>
    </row>
    <row r="52" spans="1:11">
      <c r="A52" s="8">
        <v>6</v>
      </c>
      <c r="C52" s="9" t="s">
        <v>24</v>
      </c>
      <c r="D52" s="27" t="s">
        <v>25</v>
      </c>
      <c r="E52" s="8">
        <v>6</v>
      </c>
      <c r="G52" s="92">
        <v>0</v>
      </c>
      <c r="H52" s="92">
        <v>0</v>
      </c>
      <c r="I52" s="30"/>
      <c r="J52" s="92">
        <v>0</v>
      </c>
      <c r="K52" s="92">
        <v>0</v>
      </c>
    </row>
    <row r="53" spans="1:11">
      <c r="A53" s="8">
        <v>7</v>
      </c>
      <c r="C53" s="9" t="s">
        <v>26</v>
      </c>
      <c r="D53" s="27" t="s">
        <v>27</v>
      </c>
      <c r="E53" s="8">
        <v>7</v>
      </c>
      <c r="G53" s="92">
        <v>0</v>
      </c>
      <c r="H53" s="92">
        <v>0</v>
      </c>
      <c r="I53" s="30"/>
      <c r="J53" s="92">
        <v>0</v>
      </c>
      <c r="K53" s="92">
        <v>0</v>
      </c>
    </row>
    <row r="54" spans="1:11">
      <c r="A54" s="8">
        <v>8</v>
      </c>
      <c r="C54" s="9" t="s">
        <v>28</v>
      </c>
      <c r="D54" s="27" t="s">
        <v>29</v>
      </c>
      <c r="E54" s="8">
        <v>8</v>
      </c>
      <c r="G54" s="92">
        <v>0</v>
      </c>
      <c r="H54" s="92">
        <v>0</v>
      </c>
      <c r="I54" s="30"/>
      <c r="J54" s="92">
        <v>0</v>
      </c>
      <c r="K54" s="92">
        <v>0</v>
      </c>
    </row>
    <row r="55" spans="1:11">
      <c r="A55" s="8">
        <v>9</v>
      </c>
      <c r="C55" s="9" t="s">
        <v>30</v>
      </c>
      <c r="D55" s="27" t="s">
        <v>31</v>
      </c>
      <c r="E55" s="8">
        <v>9</v>
      </c>
      <c r="G55" s="93">
        <v>0</v>
      </c>
      <c r="H55" s="93">
        <v>0</v>
      </c>
      <c r="I55" s="30" t="s">
        <v>38</v>
      </c>
      <c r="J55" s="93">
        <v>0</v>
      </c>
      <c r="K55" s="93">
        <v>0</v>
      </c>
    </row>
    <row r="56" spans="1:11">
      <c r="A56" s="8">
        <v>10</v>
      </c>
      <c r="C56" s="9" t="s">
        <v>32</v>
      </c>
      <c r="D56" s="27" t="s">
        <v>33</v>
      </c>
      <c r="E56" s="8">
        <v>10</v>
      </c>
      <c r="G56" s="92">
        <v>0</v>
      </c>
      <c r="H56" s="92">
        <v>0</v>
      </c>
      <c r="I56" s="30"/>
      <c r="J56" s="92">
        <v>0</v>
      </c>
      <c r="K56" s="92">
        <v>0</v>
      </c>
    </row>
    <row r="57" spans="1:11">
      <c r="A57" s="8"/>
      <c r="C57" s="9"/>
      <c r="D57" s="27"/>
      <c r="E57" s="8"/>
      <c r="F57" s="19" t="s">
        <v>6</v>
      </c>
      <c r="G57" s="20" t="s">
        <v>6</v>
      </c>
      <c r="H57" s="49"/>
      <c r="I57" s="28"/>
      <c r="J57" s="20"/>
      <c r="K57" s="49"/>
    </row>
    <row r="58" spans="1:11" ht="15" customHeight="1">
      <c r="A58" s="137">
        <v>11</v>
      </c>
      <c r="C58" s="9" t="s">
        <v>34</v>
      </c>
      <c r="E58" s="137">
        <v>11</v>
      </c>
      <c r="G58" s="92">
        <v>0</v>
      </c>
      <c r="H58" s="93">
        <v>0</v>
      </c>
      <c r="I58" s="30"/>
      <c r="J58" s="92">
        <v>0</v>
      </c>
      <c r="K58" s="93">
        <v>0</v>
      </c>
    </row>
    <row r="59" spans="1:11">
      <c r="A59" s="8"/>
      <c r="E59" s="8"/>
      <c r="F59" s="19" t="s">
        <v>6</v>
      </c>
      <c r="G59" s="20" t="s">
        <v>6</v>
      </c>
      <c r="H59" s="21"/>
      <c r="I59" s="28"/>
      <c r="J59" s="20"/>
      <c r="K59" s="21"/>
    </row>
    <row r="60" spans="1:11">
      <c r="A60" s="8"/>
      <c r="E60" s="8"/>
      <c r="F60" s="19"/>
      <c r="G60" s="14"/>
      <c r="H60" s="21"/>
      <c r="I60" s="28"/>
      <c r="J60" s="14"/>
      <c r="K60" s="21"/>
    </row>
    <row r="61" spans="1:11">
      <c r="A61" s="137">
        <v>12</v>
      </c>
      <c r="C61" s="9" t="s">
        <v>35</v>
      </c>
      <c r="E61" s="137">
        <v>12</v>
      </c>
      <c r="G61" s="29"/>
      <c r="H61" s="29"/>
      <c r="I61" s="30"/>
      <c r="J61" s="92"/>
      <c r="K61" s="29"/>
    </row>
    <row r="62" spans="1:11">
      <c r="A62" s="8">
        <v>13</v>
      </c>
      <c r="C62" s="9" t="s">
        <v>36</v>
      </c>
      <c r="D62" s="27" t="s">
        <v>37</v>
      </c>
      <c r="E62" s="8">
        <v>13</v>
      </c>
      <c r="G62" s="50"/>
      <c r="H62" s="48">
        <v>0</v>
      </c>
      <c r="I62" s="30"/>
      <c r="J62" s="50"/>
      <c r="K62" s="48">
        <v>0</v>
      </c>
    </row>
    <row r="63" spans="1:11">
      <c r="A63" s="8">
        <v>14</v>
      </c>
      <c r="C63" s="9" t="s">
        <v>39</v>
      </c>
      <c r="D63" s="27" t="s">
        <v>40</v>
      </c>
      <c r="E63" s="8">
        <v>14</v>
      </c>
      <c r="G63" s="50"/>
      <c r="H63" s="48">
        <v>0</v>
      </c>
      <c r="I63" s="30"/>
      <c r="J63" s="50"/>
      <c r="K63" s="48">
        <v>0</v>
      </c>
    </row>
    <row r="64" spans="1:11">
      <c r="A64" s="8">
        <v>15</v>
      </c>
      <c r="C64" s="9" t="s">
        <v>41</v>
      </c>
      <c r="D64" s="27"/>
      <c r="E64" s="8">
        <v>15</v>
      </c>
      <c r="G64" s="92">
        <v>0</v>
      </c>
      <c r="H64" s="48">
        <v>0</v>
      </c>
      <c r="I64" s="30"/>
      <c r="J64" s="92">
        <v>0</v>
      </c>
      <c r="K64" s="48">
        <v>0</v>
      </c>
    </row>
    <row r="65" spans="1:238">
      <c r="A65" s="8">
        <v>16</v>
      </c>
      <c r="C65" s="9" t="s">
        <v>42</v>
      </c>
      <c r="D65" s="27"/>
      <c r="E65" s="8">
        <v>16</v>
      </c>
      <c r="G65" s="50"/>
      <c r="H65" s="48">
        <v>0</v>
      </c>
      <c r="I65" s="30"/>
      <c r="J65" s="50"/>
      <c r="K65" s="48">
        <v>0</v>
      </c>
    </row>
    <row r="66" spans="1:238">
      <c r="A66" s="27">
        <v>17</v>
      </c>
      <c r="B66" s="27"/>
      <c r="C66" s="31" t="s">
        <v>43</v>
      </c>
      <c r="D66" s="27"/>
      <c r="E66" s="27">
        <v>17</v>
      </c>
      <c r="F66" s="27"/>
      <c r="G66" s="92"/>
      <c r="H66" s="93">
        <v>0</v>
      </c>
      <c r="I66" s="31"/>
      <c r="J66" s="92"/>
      <c r="K66" s="93">
        <v>0</v>
      </c>
      <c r="L66" s="27"/>
      <c r="M66" s="31"/>
      <c r="N66" s="27"/>
      <c r="O66" s="31"/>
      <c r="P66" s="27"/>
      <c r="Q66" s="31"/>
      <c r="R66" s="27"/>
      <c r="S66" s="31"/>
      <c r="T66" s="27"/>
      <c r="U66" s="31"/>
      <c r="V66" s="27"/>
      <c r="W66" s="31"/>
      <c r="X66" s="27"/>
      <c r="Y66" s="31"/>
      <c r="Z66" s="27"/>
      <c r="AA66" s="31"/>
      <c r="AB66" s="27"/>
      <c r="AC66" s="31"/>
      <c r="AD66" s="27"/>
      <c r="AE66" s="31"/>
      <c r="AF66" s="27"/>
      <c r="AG66" s="31"/>
      <c r="AH66" s="27"/>
      <c r="AI66" s="31"/>
      <c r="AJ66" s="27"/>
      <c r="AK66" s="31"/>
      <c r="AL66" s="27"/>
      <c r="AM66" s="31"/>
      <c r="AN66" s="27"/>
      <c r="AO66" s="31"/>
      <c r="AP66" s="27"/>
      <c r="AQ66" s="31"/>
      <c r="AR66" s="27"/>
      <c r="AS66" s="31"/>
      <c r="AT66" s="27"/>
      <c r="AU66" s="31"/>
      <c r="AV66" s="27"/>
      <c r="AW66" s="31"/>
      <c r="AX66" s="27"/>
      <c r="AY66" s="31"/>
      <c r="AZ66" s="27"/>
      <c r="BA66" s="31"/>
      <c r="BB66" s="27"/>
      <c r="BC66" s="31"/>
      <c r="BD66" s="27"/>
      <c r="BE66" s="31"/>
      <c r="BF66" s="27"/>
      <c r="BG66" s="31"/>
      <c r="BH66" s="27"/>
      <c r="BI66" s="31"/>
      <c r="BJ66" s="27"/>
      <c r="BK66" s="31"/>
      <c r="BL66" s="27"/>
      <c r="BM66" s="31"/>
      <c r="BN66" s="27"/>
      <c r="BO66" s="31"/>
      <c r="BP66" s="27"/>
      <c r="BQ66" s="31"/>
      <c r="BR66" s="27"/>
      <c r="BS66" s="31"/>
      <c r="BT66" s="27"/>
      <c r="BU66" s="31"/>
      <c r="BV66" s="27"/>
      <c r="BW66" s="31"/>
      <c r="BX66" s="27"/>
      <c r="BY66" s="31"/>
      <c r="BZ66" s="27"/>
      <c r="CA66" s="31"/>
      <c r="CB66" s="27"/>
      <c r="CC66" s="31"/>
      <c r="CD66" s="27"/>
      <c r="CE66" s="31"/>
      <c r="CF66" s="27"/>
      <c r="CG66" s="31"/>
      <c r="CH66" s="27"/>
      <c r="CI66" s="31"/>
      <c r="CJ66" s="27"/>
      <c r="CK66" s="31"/>
      <c r="CL66" s="27"/>
      <c r="CM66" s="31"/>
      <c r="CN66" s="27"/>
      <c r="CO66" s="31"/>
      <c r="CP66" s="27"/>
      <c r="CQ66" s="31"/>
      <c r="CR66" s="27"/>
      <c r="CS66" s="31"/>
      <c r="CT66" s="27"/>
      <c r="CU66" s="31"/>
      <c r="CV66" s="27"/>
      <c r="CW66" s="31"/>
      <c r="CX66" s="27"/>
      <c r="CY66" s="31"/>
      <c r="CZ66" s="27"/>
      <c r="DA66" s="31"/>
      <c r="DB66" s="27"/>
      <c r="DC66" s="31"/>
      <c r="DD66" s="27"/>
      <c r="DE66" s="31"/>
      <c r="DF66" s="27"/>
      <c r="DG66" s="31"/>
      <c r="DH66" s="27"/>
      <c r="DI66" s="31"/>
      <c r="DJ66" s="27"/>
      <c r="DK66" s="31"/>
      <c r="DL66" s="27"/>
      <c r="DM66" s="31"/>
      <c r="DN66" s="27"/>
      <c r="DO66" s="31"/>
      <c r="DP66" s="27"/>
      <c r="DQ66" s="31"/>
      <c r="DR66" s="27"/>
      <c r="DS66" s="31"/>
      <c r="DT66" s="27"/>
      <c r="DU66" s="31"/>
      <c r="DV66" s="27"/>
      <c r="DW66" s="31"/>
      <c r="DX66" s="27"/>
      <c r="DY66" s="31"/>
      <c r="DZ66" s="27"/>
      <c r="EA66" s="31"/>
      <c r="EB66" s="27"/>
      <c r="EC66" s="31"/>
      <c r="ED66" s="27"/>
      <c r="EE66" s="31"/>
      <c r="EF66" s="27"/>
      <c r="EG66" s="31"/>
      <c r="EH66" s="27"/>
      <c r="EI66" s="31"/>
      <c r="EJ66" s="27"/>
      <c r="EK66" s="31"/>
      <c r="EL66" s="27"/>
      <c r="EM66" s="31"/>
      <c r="EN66" s="27"/>
      <c r="EO66" s="31"/>
      <c r="EP66" s="27"/>
      <c r="EQ66" s="31"/>
      <c r="ER66" s="27"/>
      <c r="ES66" s="31"/>
      <c r="ET66" s="27"/>
      <c r="EU66" s="31"/>
      <c r="EV66" s="27"/>
      <c r="EW66" s="31"/>
      <c r="EX66" s="27"/>
      <c r="EY66" s="31"/>
      <c r="EZ66" s="27"/>
      <c r="FA66" s="31"/>
      <c r="FB66" s="27"/>
      <c r="FC66" s="31"/>
      <c r="FD66" s="27"/>
      <c r="FE66" s="31"/>
      <c r="FF66" s="27"/>
      <c r="FG66" s="31"/>
      <c r="FH66" s="27"/>
      <c r="FI66" s="31"/>
      <c r="FJ66" s="27"/>
      <c r="FK66" s="31"/>
      <c r="FL66" s="27"/>
      <c r="FM66" s="31"/>
      <c r="FN66" s="27"/>
      <c r="FO66" s="31"/>
      <c r="FP66" s="27"/>
      <c r="FQ66" s="31"/>
      <c r="FR66" s="27"/>
      <c r="FS66" s="31"/>
      <c r="FT66" s="27"/>
      <c r="FU66" s="31"/>
      <c r="FV66" s="27"/>
      <c r="FW66" s="31"/>
      <c r="FX66" s="27"/>
      <c r="FY66" s="31"/>
      <c r="FZ66" s="27"/>
      <c r="GA66" s="31"/>
      <c r="GB66" s="27"/>
      <c r="GC66" s="31"/>
      <c r="GD66" s="27"/>
      <c r="GE66" s="31"/>
      <c r="GF66" s="27"/>
      <c r="GG66" s="31"/>
      <c r="GH66" s="27"/>
      <c r="GI66" s="31"/>
      <c r="GJ66" s="27"/>
      <c r="GK66" s="31"/>
      <c r="GL66" s="27"/>
      <c r="GM66" s="31"/>
      <c r="GN66" s="27"/>
      <c r="GO66" s="31"/>
      <c r="GP66" s="27"/>
      <c r="GQ66" s="31"/>
      <c r="GR66" s="27"/>
      <c r="GS66" s="31"/>
      <c r="GT66" s="27"/>
      <c r="GU66" s="31"/>
      <c r="GV66" s="27"/>
      <c r="GW66" s="31"/>
      <c r="GX66" s="27"/>
      <c r="GY66" s="31"/>
      <c r="GZ66" s="27"/>
      <c r="HA66" s="31"/>
      <c r="HB66" s="27"/>
      <c r="HC66" s="31"/>
      <c r="HD66" s="27"/>
      <c r="HE66" s="31"/>
      <c r="HF66" s="27"/>
      <c r="HG66" s="31"/>
      <c r="HH66" s="27"/>
      <c r="HI66" s="31"/>
      <c r="HJ66" s="27"/>
      <c r="HK66" s="31"/>
      <c r="HL66" s="27"/>
      <c r="HM66" s="31"/>
      <c r="HN66" s="27"/>
      <c r="HO66" s="31"/>
      <c r="HP66" s="27"/>
      <c r="HQ66" s="31"/>
      <c r="HR66" s="27"/>
      <c r="HS66" s="31"/>
      <c r="HT66" s="27"/>
      <c r="HU66" s="31"/>
      <c r="HV66" s="27"/>
      <c r="HW66" s="31"/>
      <c r="HX66" s="27"/>
      <c r="HY66" s="31"/>
      <c r="HZ66" s="27"/>
      <c r="IA66" s="31"/>
      <c r="IB66" s="27"/>
      <c r="IC66" s="31"/>
      <c r="ID66" s="27"/>
    </row>
    <row r="67" spans="1:238">
      <c r="A67" s="8">
        <v>18</v>
      </c>
      <c r="C67" s="9" t="s">
        <v>44</v>
      </c>
      <c r="D67" s="27"/>
      <c r="E67" s="8">
        <v>18</v>
      </c>
      <c r="G67" s="50"/>
      <c r="H67" s="48">
        <v>0</v>
      </c>
      <c r="I67" s="30"/>
      <c r="J67" s="50"/>
      <c r="K67" s="48">
        <v>0</v>
      </c>
    </row>
    <row r="68" spans="1:238">
      <c r="A68" s="8">
        <v>19</v>
      </c>
      <c r="C68" s="9" t="s">
        <v>45</v>
      </c>
      <c r="D68" s="27"/>
      <c r="E68" s="8">
        <v>19</v>
      </c>
      <c r="G68" s="50"/>
      <c r="H68" s="48">
        <v>0</v>
      </c>
      <c r="I68" s="30"/>
      <c r="J68" s="50"/>
      <c r="K68" s="48">
        <v>0</v>
      </c>
    </row>
    <row r="69" spans="1:238">
      <c r="A69" s="8">
        <v>20</v>
      </c>
      <c r="C69" s="9" t="s">
        <v>46</v>
      </c>
      <c r="D69" s="27"/>
      <c r="E69" s="8">
        <v>20</v>
      </c>
      <c r="G69" s="50"/>
      <c r="H69" s="48">
        <v>0</v>
      </c>
      <c r="I69" s="30"/>
      <c r="J69" s="50"/>
      <c r="K69" s="48">
        <v>0</v>
      </c>
    </row>
    <row r="70" spans="1:238">
      <c r="A70" s="27">
        <v>21</v>
      </c>
      <c r="C70" s="9" t="s">
        <v>47</v>
      </c>
      <c r="D70" s="27"/>
      <c r="E70" s="8">
        <v>21</v>
      </c>
      <c r="G70" s="50"/>
      <c r="H70" s="48">
        <v>0</v>
      </c>
      <c r="I70" s="30"/>
      <c r="J70" s="50"/>
      <c r="K70" s="48">
        <v>0</v>
      </c>
    </row>
    <row r="71" spans="1:238">
      <c r="A71" s="27">
        <v>22</v>
      </c>
      <c r="C71" s="9"/>
      <c r="D71" s="27"/>
      <c r="E71" s="8">
        <v>22</v>
      </c>
      <c r="G71" s="50"/>
      <c r="H71" s="48">
        <v>0</v>
      </c>
      <c r="I71" s="30" t="s">
        <v>38</v>
      </c>
      <c r="J71" s="50"/>
      <c r="K71" s="48">
        <v>0</v>
      </c>
    </row>
    <row r="72" spans="1:238">
      <c r="A72" s="8">
        <v>23</v>
      </c>
      <c r="C72" s="32"/>
      <c r="E72" s="8">
        <v>23</v>
      </c>
      <c r="F72" s="19" t="s">
        <v>6</v>
      </c>
      <c r="G72" s="20"/>
      <c r="H72" s="21"/>
      <c r="I72" s="28"/>
      <c r="J72" s="20"/>
      <c r="K72" s="21"/>
    </row>
    <row r="73" spans="1:238">
      <c r="A73" s="8">
        <v>24</v>
      </c>
      <c r="C73" s="32"/>
      <c r="D73" s="9"/>
      <c r="E73" s="8">
        <v>24</v>
      </c>
    </row>
    <row r="74" spans="1:238">
      <c r="A74" s="8">
        <v>25</v>
      </c>
      <c r="C74" s="9" t="s">
        <v>239</v>
      </c>
      <c r="D74" s="27"/>
      <c r="E74" s="8">
        <v>25</v>
      </c>
      <c r="G74" s="50"/>
      <c r="H74" s="48">
        <v>0</v>
      </c>
      <c r="I74" s="30"/>
      <c r="J74" s="50"/>
      <c r="K74" s="48">
        <v>0</v>
      </c>
    </row>
    <row r="75" spans="1:238">
      <c r="A75" s="137">
        <v>26</v>
      </c>
      <c r="E75" s="137">
        <v>26</v>
      </c>
      <c r="F75" s="19" t="s">
        <v>6</v>
      </c>
      <c r="G75" s="20"/>
      <c r="H75" s="21"/>
      <c r="I75" s="28"/>
      <c r="J75" s="20"/>
      <c r="K75" s="21"/>
    </row>
    <row r="76" spans="1:238" ht="15" customHeight="1">
      <c r="A76" s="8">
        <v>27</v>
      </c>
      <c r="C76" s="9" t="s">
        <v>48</v>
      </c>
      <c r="E76" s="8">
        <v>27</v>
      </c>
      <c r="F76" s="17"/>
      <c r="G76" s="92"/>
      <c r="H76" s="93">
        <v>0</v>
      </c>
      <c r="I76" s="29"/>
      <c r="J76" s="92"/>
      <c r="K76" s="93">
        <v>0</v>
      </c>
    </row>
    <row r="77" spans="1:238">
      <c r="F77" s="19"/>
      <c r="G77" s="20"/>
      <c r="H77" s="21"/>
      <c r="I77" s="28"/>
      <c r="J77" s="20"/>
      <c r="K77" s="21"/>
    </row>
    <row r="78" spans="1:238" ht="14.25">
      <c r="F78"/>
      <c r="G78"/>
      <c r="H78"/>
      <c r="I78"/>
      <c r="J78"/>
      <c r="K78"/>
    </row>
    <row r="79" spans="1:238" ht="30.75" customHeight="1">
      <c r="A79" s="33"/>
      <c r="B79" s="33"/>
      <c r="C79" s="221" t="s">
        <v>233</v>
      </c>
      <c r="D79" s="221"/>
      <c r="E79" s="221"/>
      <c r="F79" s="221"/>
      <c r="G79" s="221"/>
      <c r="H79" s="221"/>
      <c r="I79" s="221"/>
      <c r="J79" s="221"/>
      <c r="K79" s="34"/>
    </row>
    <row r="80" spans="1:238">
      <c r="D80" s="27"/>
      <c r="F80" s="19"/>
      <c r="G80" s="20"/>
      <c r="I80" s="28"/>
      <c r="J80" s="20"/>
      <c r="K80" s="21"/>
    </row>
    <row r="81" spans="1:11">
      <c r="C81" s="137" t="s">
        <v>49</v>
      </c>
      <c r="D81" s="27"/>
      <c r="F81" s="19"/>
      <c r="G81" s="20"/>
      <c r="I81" s="28"/>
      <c r="J81" s="20"/>
      <c r="K81" s="21"/>
    </row>
    <row r="82" spans="1:11">
      <c r="A82" s="8"/>
      <c r="C82" s="9"/>
      <c r="E82" s="8"/>
      <c r="F82" s="10"/>
      <c r="G82" s="11"/>
      <c r="H82" s="12"/>
      <c r="I82" s="10"/>
      <c r="J82" s="11"/>
      <c r="K82" s="12"/>
    </row>
    <row r="83" spans="1:11">
      <c r="A83" s="16" t="s">
        <v>58</v>
      </c>
      <c r="G83" s="14"/>
      <c r="K83" s="15" t="s">
        <v>59</v>
      </c>
    </row>
    <row r="84" spans="1:11" s="36" customFormat="1">
      <c r="A84" s="224" t="s">
        <v>60</v>
      </c>
      <c r="B84" s="224"/>
      <c r="C84" s="224"/>
      <c r="D84" s="224"/>
      <c r="E84" s="224"/>
      <c r="F84" s="224"/>
      <c r="G84" s="224"/>
      <c r="H84" s="224"/>
      <c r="I84" s="224"/>
      <c r="J84" s="224"/>
      <c r="K84" s="224"/>
    </row>
    <row r="85" spans="1:11">
      <c r="A85" s="16" t="str">
        <f>$A$42</f>
        <v xml:space="preserve">NAME: </v>
      </c>
      <c r="C85" s="137" t="str">
        <f>$D$20</f>
        <v>University of Colorado</v>
      </c>
      <c r="G85" s="14"/>
      <c r="I85" s="17"/>
      <c r="J85" s="14"/>
      <c r="K85" s="18" t="str">
        <f>$K$3</f>
        <v>Date: October 09, 2017</v>
      </c>
    </row>
    <row r="86" spans="1:11">
      <c r="A86" s="19" t="s">
        <v>6</v>
      </c>
      <c r="B86" s="19" t="s">
        <v>6</v>
      </c>
      <c r="C86" s="19" t="s">
        <v>6</v>
      </c>
      <c r="D86" s="19" t="s">
        <v>6</v>
      </c>
      <c r="E86" s="19" t="s">
        <v>6</v>
      </c>
      <c r="F86" s="19" t="s">
        <v>6</v>
      </c>
      <c r="G86" s="20" t="s">
        <v>6</v>
      </c>
      <c r="H86" s="21" t="s">
        <v>6</v>
      </c>
      <c r="I86" s="19" t="s">
        <v>6</v>
      </c>
      <c r="J86" s="20" t="s">
        <v>6</v>
      </c>
      <c r="K86" s="21" t="s">
        <v>6</v>
      </c>
    </row>
    <row r="87" spans="1:11">
      <c r="A87" s="22" t="s">
        <v>7</v>
      </c>
      <c r="C87" s="9" t="s">
        <v>8</v>
      </c>
      <c r="E87" s="22" t="s">
        <v>7</v>
      </c>
      <c r="F87" s="23"/>
      <c r="G87" s="24"/>
      <c r="H87" s="25" t="str">
        <f>H44</f>
        <v>2016-17</v>
      </c>
      <c r="I87" s="23"/>
      <c r="J87" s="24"/>
      <c r="K87" s="25" t="str">
        <f>K44</f>
        <v>2017-18</v>
      </c>
    </row>
    <row r="88" spans="1:11">
      <c r="A88" s="22" t="s">
        <v>9</v>
      </c>
      <c r="C88" s="26" t="s">
        <v>10</v>
      </c>
      <c r="E88" s="22" t="s">
        <v>9</v>
      </c>
      <c r="F88" s="23"/>
      <c r="G88" s="24" t="s">
        <v>11</v>
      </c>
      <c r="H88" s="25" t="s">
        <v>12</v>
      </c>
      <c r="I88" s="23"/>
      <c r="J88" s="24" t="s">
        <v>11</v>
      </c>
      <c r="K88" s="25" t="s">
        <v>13</v>
      </c>
    </row>
    <row r="89" spans="1:11">
      <c r="A89" s="19" t="s">
        <v>6</v>
      </c>
      <c r="B89" s="19" t="s">
        <v>6</v>
      </c>
      <c r="C89" s="19" t="s">
        <v>6</v>
      </c>
      <c r="D89" s="19" t="s">
        <v>6</v>
      </c>
      <c r="E89" s="19" t="s">
        <v>6</v>
      </c>
      <c r="F89" s="19" t="s">
        <v>6</v>
      </c>
      <c r="G89" s="20" t="s">
        <v>6</v>
      </c>
      <c r="H89" s="20" t="s">
        <v>6</v>
      </c>
      <c r="I89" s="19" t="s">
        <v>6</v>
      </c>
      <c r="J89" s="20" t="s">
        <v>6</v>
      </c>
      <c r="K89" s="21" t="s">
        <v>6</v>
      </c>
    </row>
    <row r="90" spans="1:11">
      <c r="A90" s="8">
        <v>1</v>
      </c>
      <c r="C90" s="9" t="s">
        <v>14</v>
      </c>
      <c r="D90" s="27" t="s">
        <v>15</v>
      </c>
      <c r="E90" s="8">
        <v>1</v>
      </c>
      <c r="G90" s="160">
        <f>+G533</f>
        <v>3035</v>
      </c>
      <c r="H90" s="160">
        <f>+H533</f>
        <v>373966121</v>
      </c>
      <c r="I90" s="30"/>
      <c r="J90" s="160">
        <f>+J533</f>
        <v>3115</v>
      </c>
      <c r="K90" s="160">
        <f>+K533</f>
        <v>380705715.64329064</v>
      </c>
    </row>
    <row r="91" spans="1:11">
      <c r="A91" s="8">
        <v>2</v>
      </c>
      <c r="C91" s="9" t="s">
        <v>16</v>
      </c>
      <c r="D91" s="27" t="s">
        <v>17</v>
      </c>
      <c r="E91" s="8">
        <v>2</v>
      </c>
      <c r="G91" s="160">
        <f>+G572</f>
        <v>109</v>
      </c>
      <c r="H91" s="160">
        <f>+H572</f>
        <v>20088828</v>
      </c>
      <c r="I91" s="30"/>
      <c r="J91" s="160">
        <f>+J572</f>
        <v>116</v>
      </c>
      <c r="K91" s="160">
        <f>+K572</f>
        <v>20373332.961472638</v>
      </c>
    </row>
    <row r="92" spans="1:11">
      <c r="A92" s="8">
        <v>3</v>
      </c>
      <c r="C92" s="9" t="s">
        <v>18</v>
      </c>
      <c r="D92" s="27" t="s">
        <v>19</v>
      </c>
      <c r="E92" s="8">
        <v>3</v>
      </c>
      <c r="G92" s="160">
        <f>+G609</f>
        <v>19</v>
      </c>
      <c r="H92" s="160">
        <f>+H609</f>
        <v>1285096</v>
      </c>
      <c r="I92" s="30"/>
      <c r="J92" s="160">
        <f>+J609</f>
        <v>20</v>
      </c>
      <c r="K92" s="160">
        <f>+K609</f>
        <v>1328989.9478383041</v>
      </c>
    </row>
    <row r="93" spans="1:11">
      <c r="A93" s="8">
        <v>4</v>
      </c>
      <c r="C93" s="9" t="s">
        <v>20</v>
      </c>
      <c r="D93" s="27" t="s">
        <v>21</v>
      </c>
      <c r="E93" s="8">
        <v>4</v>
      </c>
      <c r="G93" s="160">
        <f>+G646</f>
        <v>644</v>
      </c>
      <c r="H93" s="160">
        <f>+H646</f>
        <v>87723300</v>
      </c>
      <c r="I93" s="30"/>
      <c r="J93" s="160">
        <f>+J646</f>
        <v>650</v>
      </c>
      <c r="K93" s="160">
        <f>+K646</f>
        <v>90345823.352834418</v>
      </c>
    </row>
    <row r="94" spans="1:11">
      <c r="A94" s="8">
        <v>5</v>
      </c>
      <c r="C94" s="9" t="s">
        <v>22</v>
      </c>
      <c r="D94" s="27" t="s">
        <v>23</v>
      </c>
      <c r="E94" s="8">
        <v>5</v>
      </c>
      <c r="G94" s="160">
        <f>+G683</f>
        <v>339</v>
      </c>
      <c r="H94" s="160">
        <f>+H683</f>
        <v>32435661</v>
      </c>
      <c r="I94" s="30"/>
      <c r="J94" s="160">
        <f>+J683</f>
        <v>339</v>
      </c>
      <c r="K94" s="160">
        <f>+K683</f>
        <v>32892761.855923399</v>
      </c>
    </row>
    <row r="95" spans="1:11">
      <c r="A95" s="8">
        <v>6</v>
      </c>
      <c r="C95" s="9" t="s">
        <v>24</v>
      </c>
      <c r="D95" s="27" t="s">
        <v>25</v>
      </c>
      <c r="E95" s="8">
        <v>6</v>
      </c>
      <c r="G95" s="160">
        <f>+G720</f>
        <v>507</v>
      </c>
      <c r="H95" s="160">
        <f>+H720</f>
        <v>84910200</v>
      </c>
      <c r="I95" s="30"/>
      <c r="J95" s="160">
        <f>+J720</f>
        <v>509</v>
      </c>
      <c r="K95" s="160">
        <f>+K720</f>
        <v>86750024.087876439</v>
      </c>
    </row>
    <row r="96" spans="1:11">
      <c r="A96" s="8">
        <v>7</v>
      </c>
      <c r="C96" s="9" t="s">
        <v>26</v>
      </c>
      <c r="D96" s="27" t="s">
        <v>27</v>
      </c>
      <c r="E96" s="8">
        <v>7</v>
      </c>
      <c r="G96" s="160">
        <f>+G757</f>
        <v>528</v>
      </c>
      <c r="H96" s="160">
        <f>+H757</f>
        <v>82207583</v>
      </c>
      <c r="I96" s="30"/>
      <c r="J96" s="160">
        <f>+J757</f>
        <v>533</v>
      </c>
      <c r="K96" s="160">
        <f>+K757</f>
        <v>87523417.873899102</v>
      </c>
    </row>
    <row r="97" spans="1:238">
      <c r="A97" s="8">
        <v>8</v>
      </c>
      <c r="C97" s="9" t="s">
        <v>28</v>
      </c>
      <c r="D97" s="27" t="s">
        <v>29</v>
      </c>
      <c r="E97" s="8">
        <v>8</v>
      </c>
      <c r="G97" s="160">
        <f>+G794</f>
        <v>0</v>
      </c>
      <c r="H97" s="160">
        <f>+H794</f>
        <v>75475300</v>
      </c>
      <c r="I97" s="30"/>
      <c r="J97" s="160">
        <f>+J794</f>
        <v>0</v>
      </c>
      <c r="K97" s="160">
        <f>+K794</f>
        <v>80532145</v>
      </c>
    </row>
    <row r="98" spans="1:238">
      <c r="A98" s="8">
        <v>9</v>
      </c>
      <c r="C98" s="9" t="s">
        <v>30</v>
      </c>
      <c r="D98" s="27" t="s">
        <v>31</v>
      </c>
      <c r="E98" s="8">
        <v>9</v>
      </c>
      <c r="G98" s="160">
        <f>+G832</f>
        <v>0</v>
      </c>
      <c r="H98" s="160">
        <f>+H832</f>
        <v>0</v>
      </c>
      <c r="I98" s="30" t="s">
        <v>38</v>
      </c>
      <c r="J98" s="160">
        <f>+J832</f>
        <v>0</v>
      </c>
      <c r="K98" s="160">
        <f>+K832</f>
        <v>0</v>
      </c>
    </row>
    <row r="99" spans="1:238">
      <c r="A99" s="8">
        <v>10</v>
      </c>
      <c r="C99" s="9" t="s">
        <v>32</v>
      </c>
      <c r="D99" s="27" t="s">
        <v>33</v>
      </c>
      <c r="E99" s="8">
        <v>10</v>
      </c>
      <c r="G99" s="160">
        <f>+G868</f>
        <v>0</v>
      </c>
      <c r="H99" s="160">
        <f>+H868</f>
        <v>11256003</v>
      </c>
      <c r="I99" s="30"/>
      <c r="J99" s="160">
        <f>+J868</f>
        <v>0</v>
      </c>
      <c r="K99" s="160">
        <f>+K868</f>
        <v>43382379</v>
      </c>
    </row>
    <row r="100" spans="1:238">
      <c r="A100" s="8"/>
      <c r="C100" s="9"/>
      <c r="D100" s="27"/>
      <c r="E100" s="8"/>
      <c r="F100" s="19" t="s">
        <v>6</v>
      </c>
      <c r="G100" s="20" t="s">
        <v>6</v>
      </c>
      <c r="H100" s="49"/>
      <c r="I100" s="28"/>
      <c r="J100" s="20"/>
      <c r="K100" s="49"/>
    </row>
    <row r="101" spans="1:238">
      <c r="A101" s="137">
        <v>11</v>
      </c>
      <c r="C101" s="9" t="s">
        <v>61</v>
      </c>
      <c r="E101" s="137">
        <v>11</v>
      </c>
      <c r="G101" s="160">
        <f>SUM(G90:G99)</f>
        <v>5181</v>
      </c>
      <c r="H101" s="48">
        <f>SUM(H90:H99)</f>
        <v>769348092</v>
      </c>
      <c r="I101" s="30"/>
      <c r="J101" s="160">
        <f>SUM(J90:J99)</f>
        <v>5282</v>
      </c>
      <c r="K101" s="48">
        <f>SUM(K90:K99)</f>
        <v>823834589.72313488</v>
      </c>
    </row>
    <row r="102" spans="1:238">
      <c r="A102" s="8"/>
      <c r="E102" s="8"/>
      <c r="F102" s="19" t="s">
        <v>6</v>
      </c>
      <c r="G102" s="20" t="s">
        <v>6</v>
      </c>
      <c r="H102" s="21"/>
      <c r="I102" s="28"/>
      <c r="J102" s="20"/>
      <c r="K102" s="21"/>
    </row>
    <row r="103" spans="1:238">
      <c r="A103" s="8"/>
      <c r="E103" s="8"/>
      <c r="F103" s="19"/>
      <c r="G103" s="14"/>
      <c r="H103" s="21"/>
      <c r="I103" s="28"/>
      <c r="J103" s="14"/>
      <c r="K103" s="21"/>
    </row>
    <row r="104" spans="1:238">
      <c r="A104" s="137">
        <v>12</v>
      </c>
      <c r="C104" s="9" t="s">
        <v>35</v>
      </c>
      <c r="E104" s="137">
        <v>12</v>
      </c>
      <c r="G104" s="29"/>
      <c r="H104" s="29"/>
      <c r="I104" s="30"/>
      <c r="J104" s="50"/>
      <c r="K104" s="29"/>
    </row>
    <row r="105" spans="1:238">
      <c r="A105" s="8">
        <v>13</v>
      </c>
      <c r="C105" s="9" t="s">
        <v>36</v>
      </c>
      <c r="D105" s="27" t="s">
        <v>37</v>
      </c>
      <c r="E105" s="8">
        <v>13</v>
      </c>
      <c r="G105" s="160"/>
      <c r="H105" s="160">
        <f>+H495</f>
        <v>32645887.5</v>
      </c>
      <c r="I105" s="30"/>
      <c r="J105" s="50"/>
      <c r="K105" s="160">
        <f>+K495</f>
        <v>33390840</v>
      </c>
    </row>
    <row r="106" spans="1:238">
      <c r="A106" s="8">
        <v>14</v>
      </c>
      <c r="C106" s="9" t="s">
        <v>39</v>
      </c>
      <c r="D106" s="27" t="s">
        <v>62</v>
      </c>
      <c r="E106" s="8">
        <v>14</v>
      </c>
      <c r="G106" s="160"/>
      <c r="H106" s="161">
        <f>H145</f>
        <v>36746855</v>
      </c>
      <c r="I106" s="30"/>
      <c r="J106" s="50"/>
      <c r="K106" s="161">
        <f>K145</f>
        <v>39494292</v>
      </c>
    </row>
    <row r="107" spans="1:238">
      <c r="A107" s="8">
        <v>15</v>
      </c>
      <c r="C107" s="9" t="s">
        <v>41</v>
      </c>
      <c r="D107" s="27"/>
      <c r="E107" s="8">
        <v>15</v>
      </c>
      <c r="G107" s="160">
        <f>H182</f>
        <v>15121</v>
      </c>
      <c r="H107" s="162">
        <v>32645887.5</v>
      </c>
      <c r="I107" s="30"/>
      <c r="J107" s="160">
        <f>K182</f>
        <v>15332</v>
      </c>
      <c r="K107" s="162">
        <v>33390840</v>
      </c>
    </row>
    <row r="108" spans="1:238">
      <c r="A108" s="8">
        <v>16</v>
      </c>
      <c r="C108" s="9" t="s">
        <v>42</v>
      </c>
      <c r="D108" s="27"/>
      <c r="E108" s="8">
        <v>16</v>
      </c>
      <c r="G108" s="160"/>
      <c r="H108" s="160">
        <f>+H308-H107</f>
        <v>172143176.5</v>
      </c>
      <c r="I108" s="30"/>
      <c r="J108" s="50"/>
      <c r="K108" s="163">
        <v>178246838</v>
      </c>
    </row>
    <row r="109" spans="1:238">
      <c r="A109" s="27">
        <v>17</v>
      </c>
      <c r="B109" s="27"/>
      <c r="C109" s="31" t="s">
        <v>63</v>
      </c>
      <c r="D109" s="27" t="s">
        <v>64</v>
      </c>
      <c r="E109" s="27">
        <v>17</v>
      </c>
      <c r="F109" s="27"/>
      <c r="G109" s="160"/>
      <c r="H109" s="164">
        <f>SUM(H107:H108)</f>
        <v>204789064</v>
      </c>
      <c r="I109" s="31"/>
      <c r="J109" s="50"/>
      <c r="K109" s="160">
        <f>SUM(K107:K108)</f>
        <v>211637678</v>
      </c>
      <c r="L109" s="27"/>
      <c r="M109" s="31"/>
      <c r="N109" s="27"/>
      <c r="O109" s="31"/>
      <c r="P109" s="27"/>
      <c r="Q109" s="31"/>
      <c r="R109" s="27"/>
      <c r="S109" s="31"/>
      <c r="T109" s="27"/>
      <c r="U109" s="31"/>
      <c r="V109" s="27"/>
      <c r="W109" s="31"/>
      <c r="X109" s="27"/>
      <c r="Y109" s="31"/>
      <c r="Z109" s="27"/>
      <c r="AA109" s="31"/>
      <c r="AB109" s="27"/>
      <c r="AC109" s="31"/>
      <c r="AD109" s="27"/>
      <c r="AE109" s="31"/>
      <c r="AF109" s="27"/>
      <c r="AG109" s="31"/>
      <c r="AH109" s="27"/>
      <c r="AI109" s="31"/>
      <c r="AJ109" s="27"/>
      <c r="AK109" s="31"/>
      <c r="AL109" s="27"/>
      <c r="AM109" s="31"/>
      <c r="AN109" s="27"/>
      <c r="AO109" s="31"/>
      <c r="AP109" s="27"/>
      <c r="AQ109" s="31"/>
      <c r="AR109" s="27"/>
      <c r="AS109" s="31"/>
      <c r="AT109" s="27"/>
      <c r="AU109" s="31"/>
      <c r="AV109" s="27"/>
      <c r="AW109" s="31"/>
      <c r="AX109" s="27"/>
      <c r="AY109" s="31"/>
      <c r="AZ109" s="27"/>
      <c r="BA109" s="31"/>
      <c r="BB109" s="27"/>
      <c r="BC109" s="31"/>
      <c r="BD109" s="27"/>
      <c r="BE109" s="31"/>
      <c r="BF109" s="27"/>
      <c r="BG109" s="31"/>
      <c r="BH109" s="27"/>
      <c r="BI109" s="31"/>
      <c r="BJ109" s="27"/>
      <c r="BK109" s="31"/>
      <c r="BL109" s="27"/>
      <c r="BM109" s="31"/>
      <c r="BN109" s="27"/>
      <c r="BO109" s="31"/>
      <c r="BP109" s="27"/>
      <c r="BQ109" s="31"/>
      <c r="BR109" s="27"/>
      <c r="BS109" s="31"/>
      <c r="BT109" s="27"/>
      <c r="BU109" s="31"/>
      <c r="BV109" s="27"/>
      <c r="BW109" s="31"/>
      <c r="BX109" s="27"/>
      <c r="BY109" s="31"/>
      <c r="BZ109" s="27"/>
      <c r="CA109" s="31"/>
      <c r="CB109" s="27"/>
      <c r="CC109" s="31"/>
      <c r="CD109" s="27"/>
      <c r="CE109" s="31"/>
      <c r="CF109" s="27"/>
      <c r="CG109" s="31"/>
      <c r="CH109" s="27"/>
      <c r="CI109" s="31"/>
      <c r="CJ109" s="27"/>
      <c r="CK109" s="31"/>
      <c r="CL109" s="27"/>
      <c r="CM109" s="31"/>
      <c r="CN109" s="27"/>
      <c r="CO109" s="31"/>
      <c r="CP109" s="27"/>
      <c r="CQ109" s="31"/>
      <c r="CR109" s="27"/>
      <c r="CS109" s="31"/>
      <c r="CT109" s="27"/>
      <c r="CU109" s="31"/>
      <c r="CV109" s="27"/>
      <c r="CW109" s="31"/>
      <c r="CX109" s="27"/>
      <c r="CY109" s="31"/>
      <c r="CZ109" s="27"/>
      <c r="DA109" s="31"/>
      <c r="DB109" s="27"/>
      <c r="DC109" s="31"/>
      <c r="DD109" s="27"/>
      <c r="DE109" s="31"/>
      <c r="DF109" s="27"/>
      <c r="DG109" s="31"/>
      <c r="DH109" s="27"/>
      <c r="DI109" s="31"/>
      <c r="DJ109" s="27"/>
      <c r="DK109" s="31"/>
      <c r="DL109" s="27"/>
      <c r="DM109" s="31"/>
      <c r="DN109" s="27"/>
      <c r="DO109" s="31"/>
      <c r="DP109" s="27"/>
      <c r="DQ109" s="31"/>
      <c r="DR109" s="27"/>
      <c r="DS109" s="31"/>
      <c r="DT109" s="27"/>
      <c r="DU109" s="31"/>
      <c r="DV109" s="27"/>
      <c r="DW109" s="31"/>
      <c r="DX109" s="27"/>
      <c r="DY109" s="31"/>
      <c r="DZ109" s="27"/>
      <c r="EA109" s="31"/>
      <c r="EB109" s="27"/>
      <c r="EC109" s="31"/>
      <c r="ED109" s="27"/>
      <c r="EE109" s="31"/>
      <c r="EF109" s="27"/>
      <c r="EG109" s="31"/>
      <c r="EH109" s="27"/>
      <c r="EI109" s="31"/>
      <c r="EJ109" s="27"/>
      <c r="EK109" s="31"/>
      <c r="EL109" s="27"/>
      <c r="EM109" s="31"/>
      <c r="EN109" s="27"/>
      <c r="EO109" s="31"/>
      <c r="EP109" s="27"/>
      <c r="EQ109" s="31"/>
      <c r="ER109" s="27"/>
      <c r="ES109" s="31"/>
      <c r="ET109" s="27"/>
      <c r="EU109" s="31"/>
      <c r="EV109" s="27"/>
      <c r="EW109" s="31"/>
      <c r="EX109" s="27"/>
      <c r="EY109" s="31"/>
      <c r="EZ109" s="27"/>
      <c r="FA109" s="31"/>
      <c r="FB109" s="27"/>
      <c r="FC109" s="31"/>
      <c r="FD109" s="27"/>
      <c r="FE109" s="31"/>
      <c r="FF109" s="27"/>
      <c r="FG109" s="31"/>
      <c r="FH109" s="27"/>
      <c r="FI109" s="31"/>
      <c r="FJ109" s="27"/>
      <c r="FK109" s="31"/>
      <c r="FL109" s="27"/>
      <c r="FM109" s="31"/>
      <c r="FN109" s="27"/>
      <c r="FO109" s="31"/>
      <c r="FP109" s="27"/>
      <c r="FQ109" s="31"/>
      <c r="FR109" s="27"/>
      <c r="FS109" s="31"/>
      <c r="FT109" s="27"/>
      <c r="FU109" s="31"/>
      <c r="FV109" s="27"/>
      <c r="FW109" s="31"/>
      <c r="FX109" s="27"/>
      <c r="FY109" s="31"/>
      <c r="FZ109" s="27"/>
      <c r="GA109" s="31"/>
      <c r="GB109" s="27"/>
      <c r="GC109" s="31"/>
      <c r="GD109" s="27"/>
      <c r="GE109" s="31"/>
      <c r="GF109" s="27"/>
      <c r="GG109" s="31"/>
      <c r="GH109" s="27"/>
      <c r="GI109" s="31"/>
      <c r="GJ109" s="27"/>
      <c r="GK109" s="31"/>
      <c r="GL109" s="27"/>
      <c r="GM109" s="31"/>
      <c r="GN109" s="27"/>
      <c r="GO109" s="31"/>
      <c r="GP109" s="27"/>
      <c r="GQ109" s="31"/>
      <c r="GR109" s="27"/>
      <c r="GS109" s="31"/>
      <c r="GT109" s="27"/>
      <c r="GU109" s="31"/>
      <c r="GV109" s="27"/>
      <c r="GW109" s="31"/>
      <c r="GX109" s="27"/>
      <c r="GY109" s="31"/>
      <c r="GZ109" s="27"/>
      <c r="HA109" s="31"/>
      <c r="HB109" s="27"/>
      <c r="HC109" s="31"/>
      <c r="HD109" s="27"/>
      <c r="HE109" s="31"/>
      <c r="HF109" s="27"/>
      <c r="HG109" s="31"/>
      <c r="HH109" s="27"/>
      <c r="HI109" s="31"/>
      <c r="HJ109" s="27"/>
      <c r="HK109" s="31"/>
      <c r="HL109" s="27"/>
      <c r="HM109" s="31"/>
      <c r="HN109" s="27"/>
      <c r="HO109" s="31"/>
      <c r="HP109" s="27"/>
      <c r="HQ109" s="31"/>
      <c r="HR109" s="27"/>
      <c r="HS109" s="31"/>
      <c r="HT109" s="27"/>
      <c r="HU109" s="31"/>
      <c r="HV109" s="27"/>
      <c r="HW109" s="31"/>
      <c r="HX109" s="27"/>
      <c r="HY109" s="31"/>
      <c r="HZ109" s="27"/>
      <c r="IA109" s="31"/>
      <c r="IB109" s="27"/>
      <c r="IC109" s="31"/>
      <c r="ID109" s="27"/>
    </row>
    <row r="110" spans="1:238">
      <c r="A110" s="8">
        <v>18</v>
      </c>
      <c r="C110" s="9" t="s">
        <v>44</v>
      </c>
      <c r="D110" s="27" t="s">
        <v>64</v>
      </c>
      <c r="E110" s="8">
        <v>18</v>
      </c>
      <c r="G110" s="160"/>
      <c r="H110" s="164">
        <f>+H307</f>
        <v>40994383</v>
      </c>
      <c r="I110" s="30"/>
      <c r="J110" s="50"/>
      <c r="K110" s="163">
        <v>42224214</v>
      </c>
    </row>
    <row r="111" spans="1:238">
      <c r="A111" s="8">
        <v>19</v>
      </c>
      <c r="C111" s="9" t="s">
        <v>45</v>
      </c>
      <c r="D111" s="27" t="s">
        <v>64</v>
      </c>
      <c r="E111" s="8">
        <v>19</v>
      </c>
      <c r="G111" s="160"/>
      <c r="H111" s="164">
        <f>+H313</f>
        <v>402286116</v>
      </c>
      <c r="I111" s="30"/>
      <c r="J111" s="50"/>
      <c r="K111" s="163">
        <v>439140594</v>
      </c>
    </row>
    <row r="112" spans="1:238">
      <c r="A112" s="8">
        <v>20</v>
      </c>
      <c r="C112" s="9" t="s">
        <v>46</v>
      </c>
      <c r="D112" s="27" t="s">
        <v>64</v>
      </c>
      <c r="E112" s="8">
        <v>20</v>
      </c>
      <c r="G112" s="160"/>
      <c r="H112" s="160">
        <f>H109+H110+H111</f>
        <v>648069563</v>
      </c>
      <c r="I112" s="30"/>
      <c r="J112" s="50"/>
      <c r="K112" s="160">
        <f>K109+K110+K111</f>
        <v>693002486</v>
      </c>
    </row>
    <row r="113" spans="1:11">
      <c r="A113" s="27">
        <v>21</v>
      </c>
      <c r="C113" s="9"/>
      <c r="D113" s="27"/>
      <c r="E113" s="8">
        <v>21</v>
      </c>
      <c r="G113" s="160"/>
      <c r="H113" s="160">
        <f>+H352-H333</f>
        <v>0</v>
      </c>
      <c r="I113" s="30"/>
      <c r="J113" s="50"/>
      <c r="K113" s="160">
        <f>+K352-K333</f>
        <v>0</v>
      </c>
    </row>
    <row r="114" spans="1:11">
      <c r="A114" s="27">
        <v>22</v>
      </c>
      <c r="C114" s="9"/>
      <c r="D114" s="27"/>
      <c r="E114" s="8">
        <v>22</v>
      </c>
      <c r="G114" s="160"/>
      <c r="H114" s="160">
        <f>H333</f>
        <v>0</v>
      </c>
      <c r="I114" s="30" t="s">
        <v>38</v>
      </c>
      <c r="J114" s="50"/>
      <c r="K114" s="160">
        <f>K333</f>
        <v>0</v>
      </c>
    </row>
    <row r="115" spans="1:11">
      <c r="A115" s="8">
        <v>23</v>
      </c>
      <c r="C115" s="32"/>
      <c r="E115" s="8">
        <v>23</v>
      </c>
      <c r="F115" s="19" t="s">
        <v>6</v>
      </c>
      <c r="G115" s="20"/>
      <c r="H115" s="21"/>
      <c r="I115" s="28"/>
      <c r="J115" s="20"/>
      <c r="K115" s="21"/>
    </row>
    <row r="116" spans="1:11">
      <c r="A116" s="8">
        <v>24</v>
      </c>
      <c r="C116" s="32"/>
      <c r="D116" s="9"/>
      <c r="E116" s="8">
        <v>24</v>
      </c>
    </row>
    <row r="117" spans="1:11">
      <c r="A117" s="8">
        <v>25</v>
      </c>
      <c r="C117" s="9" t="s">
        <v>239</v>
      </c>
      <c r="D117" s="27" t="s">
        <v>65</v>
      </c>
      <c r="E117" s="8">
        <v>25</v>
      </c>
      <c r="G117" s="50"/>
      <c r="H117" s="48">
        <f>+H399</f>
        <v>84531674.079999998</v>
      </c>
      <c r="I117" s="30"/>
      <c r="J117" s="50"/>
      <c r="K117" s="48">
        <f>+K399</f>
        <v>91337812</v>
      </c>
    </row>
    <row r="118" spans="1:11">
      <c r="A118" s="137">
        <v>26</v>
      </c>
      <c r="E118" s="137">
        <v>26</v>
      </c>
      <c r="F118" s="19" t="s">
        <v>6</v>
      </c>
      <c r="G118" s="20"/>
      <c r="H118" s="21"/>
      <c r="I118" s="28"/>
      <c r="J118" s="20"/>
      <c r="K118" s="21"/>
    </row>
    <row r="119" spans="1:11">
      <c r="A119" s="8">
        <v>27</v>
      </c>
      <c r="C119" s="9" t="s">
        <v>48</v>
      </c>
      <c r="E119" s="8">
        <v>27</v>
      </c>
      <c r="F119" s="17"/>
      <c r="G119" s="50"/>
      <c r="H119" s="48">
        <f>H105+H106+H112+H113+H114+H117-H105</f>
        <v>769348092.08000004</v>
      </c>
      <c r="I119" s="29" t="s">
        <v>280</v>
      </c>
      <c r="J119" s="51"/>
      <c r="K119" s="48">
        <f>K105+K106+K112+K113+K114+K117-K105</f>
        <v>823834590</v>
      </c>
    </row>
    <row r="120" spans="1:11">
      <c r="A120" s="8"/>
      <c r="C120" s="9"/>
      <c r="E120" s="8"/>
      <c r="F120" s="52" t="s">
        <v>258</v>
      </c>
      <c r="G120" s="53"/>
      <c r="H120" s="53"/>
      <c r="I120" s="53"/>
      <c r="J120" s="54"/>
      <c r="K120" s="55"/>
    </row>
    <row r="121" spans="1:11" ht="29.25" customHeight="1">
      <c r="C121" s="221" t="s">
        <v>233</v>
      </c>
      <c r="D121" s="221"/>
      <c r="E121" s="221"/>
      <c r="F121" s="221"/>
      <c r="G121" s="221"/>
      <c r="H121" s="221"/>
      <c r="I121" s="221"/>
      <c r="J121" s="221"/>
      <c r="K121" s="56"/>
    </row>
    <row r="122" spans="1:11">
      <c r="D122" s="27"/>
      <c r="F122" s="19"/>
      <c r="G122" s="20"/>
      <c r="I122" s="28"/>
      <c r="J122" s="20"/>
      <c r="K122" s="21"/>
    </row>
    <row r="123" spans="1:11">
      <c r="C123" s="137" t="s">
        <v>49</v>
      </c>
      <c r="G123" s="137"/>
      <c r="H123" s="137"/>
      <c r="J123" s="137"/>
      <c r="K123" s="137"/>
    </row>
    <row r="124" spans="1:11">
      <c r="D124" s="27"/>
      <c r="F124" s="19"/>
      <c r="G124" s="20"/>
      <c r="I124" s="28"/>
      <c r="J124" s="20"/>
      <c r="K124" s="21"/>
    </row>
    <row r="125" spans="1:11">
      <c r="E125" s="35"/>
    </row>
    <row r="126" spans="1:11">
      <c r="A126" s="36" t="s">
        <v>234</v>
      </c>
    </row>
    <row r="127" spans="1:11">
      <c r="A127" s="16" t="str">
        <f>$A$83</f>
        <v xml:space="preserve">Institution No.:  </v>
      </c>
      <c r="B127" s="36"/>
      <c r="C127" s="36"/>
      <c r="D127" s="36"/>
      <c r="E127" s="37"/>
      <c r="F127" s="36"/>
      <c r="G127" s="38"/>
      <c r="H127" s="39"/>
      <c r="I127" s="36"/>
      <c r="J127" s="38"/>
      <c r="K127" s="15" t="s">
        <v>50</v>
      </c>
    </row>
    <row r="128" spans="1:11" ht="14.25">
      <c r="A128" s="222" t="s">
        <v>249</v>
      </c>
      <c r="B128" s="222"/>
      <c r="C128" s="222"/>
      <c r="D128" s="222"/>
      <c r="E128" s="222"/>
      <c r="F128" s="222"/>
      <c r="G128" s="222"/>
      <c r="H128" s="222"/>
      <c r="I128" s="222"/>
      <c r="J128" s="222"/>
      <c r="K128" s="222"/>
    </row>
    <row r="129" spans="1:11">
      <c r="A129" s="16" t="str">
        <f>$A$42</f>
        <v xml:space="preserve">NAME: </v>
      </c>
      <c r="C129" s="137" t="str">
        <f>$D$20</f>
        <v>University of Colorado</v>
      </c>
      <c r="H129" s="40"/>
      <c r="J129" s="14"/>
      <c r="K129" s="18" t="str">
        <f>$K$3</f>
        <v>Date: October 09, 2017</v>
      </c>
    </row>
    <row r="130" spans="1:11">
      <c r="A130" s="19" t="s">
        <v>6</v>
      </c>
      <c r="B130" s="19" t="s">
        <v>6</v>
      </c>
      <c r="C130" s="19" t="s">
        <v>6</v>
      </c>
      <c r="D130" s="19" t="s">
        <v>6</v>
      </c>
      <c r="E130" s="19" t="s">
        <v>6</v>
      </c>
      <c r="F130" s="19" t="s">
        <v>6</v>
      </c>
      <c r="G130" s="20" t="s">
        <v>6</v>
      </c>
      <c r="H130" s="21" t="s">
        <v>6</v>
      </c>
      <c r="I130" s="19" t="s">
        <v>6</v>
      </c>
      <c r="J130" s="20" t="s">
        <v>6</v>
      </c>
      <c r="K130" s="21" t="s">
        <v>6</v>
      </c>
    </row>
    <row r="131" spans="1:11">
      <c r="A131" s="22" t="s">
        <v>7</v>
      </c>
      <c r="E131" s="22" t="s">
        <v>7</v>
      </c>
      <c r="F131" s="23"/>
      <c r="G131" s="24"/>
      <c r="H131" s="25" t="str">
        <f>H87</f>
        <v>2016-17</v>
      </c>
      <c r="I131" s="23"/>
      <c r="J131" s="24"/>
      <c r="K131" s="25" t="str">
        <f>K87</f>
        <v>2017-18</v>
      </c>
    </row>
    <row r="132" spans="1:11">
      <c r="A132" s="22" t="s">
        <v>9</v>
      </c>
      <c r="C132" s="26" t="s">
        <v>51</v>
      </c>
      <c r="E132" s="22" t="s">
        <v>9</v>
      </c>
      <c r="F132" s="23"/>
      <c r="G132" s="24"/>
      <c r="H132" s="25" t="s">
        <v>12</v>
      </c>
      <c r="I132" s="23"/>
      <c r="J132" s="24"/>
      <c r="K132" s="25" t="s">
        <v>13</v>
      </c>
    </row>
    <row r="133" spans="1:11">
      <c r="A133" s="19" t="s">
        <v>6</v>
      </c>
      <c r="B133" s="19" t="s">
        <v>6</v>
      </c>
      <c r="C133" s="19" t="s">
        <v>6</v>
      </c>
      <c r="D133" s="19" t="s">
        <v>6</v>
      </c>
      <c r="E133" s="19" t="s">
        <v>6</v>
      </c>
      <c r="F133" s="19" t="s">
        <v>6</v>
      </c>
      <c r="G133" s="20" t="s">
        <v>6</v>
      </c>
      <c r="H133" s="21" t="s">
        <v>6</v>
      </c>
      <c r="I133" s="19" t="s">
        <v>6</v>
      </c>
      <c r="J133" s="20" t="s">
        <v>6</v>
      </c>
      <c r="K133" s="21" t="s">
        <v>6</v>
      </c>
    </row>
    <row r="134" spans="1:11">
      <c r="A134" s="137">
        <v>1</v>
      </c>
      <c r="C134" s="137" t="s">
        <v>52</v>
      </c>
      <c r="E134" s="137">
        <v>1</v>
      </c>
    </row>
    <row r="135" spans="1:11" ht="33.75" customHeight="1">
      <c r="A135" s="41">
        <v>2</v>
      </c>
      <c r="C135" s="223" t="s">
        <v>66</v>
      </c>
      <c r="D135" s="223"/>
      <c r="E135" s="41">
        <v>2</v>
      </c>
      <c r="G135" s="94"/>
      <c r="H135" s="139">
        <v>0</v>
      </c>
      <c r="I135" s="95"/>
      <c r="J135" s="95"/>
      <c r="K135" s="139">
        <v>0</v>
      </c>
    </row>
    <row r="136" spans="1:11" ht="15.75" customHeight="1">
      <c r="A136" s="137">
        <v>3</v>
      </c>
      <c r="C136" s="137" t="s">
        <v>53</v>
      </c>
      <c r="E136" s="137">
        <v>3</v>
      </c>
      <c r="G136" s="94"/>
      <c r="H136" s="140">
        <v>0</v>
      </c>
      <c r="I136" s="94"/>
      <c r="J136" s="94"/>
      <c r="K136" s="140">
        <v>0</v>
      </c>
    </row>
    <row r="137" spans="1:11">
      <c r="A137" s="137">
        <v>4</v>
      </c>
      <c r="C137" s="137" t="s">
        <v>54</v>
      </c>
      <c r="E137" s="137">
        <v>4</v>
      </c>
      <c r="G137" s="94"/>
      <c r="H137" s="140">
        <v>36746855</v>
      </c>
      <c r="I137" s="94"/>
      <c r="J137" s="94"/>
      <c r="K137" s="215">
        <v>39494292</v>
      </c>
    </row>
    <row r="138" spans="1:11">
      <c r="A138" s="137">
        <v>5</v>
      </c>
      <c r="C138" s="137" t="s">
        <v>55</v>
      </c>
      <c r="E138" s="137">
        <v>5</v>
      </c>
      <c r="G138" s="94"/>
      <c r="H138" s="140">
        <v>0</v>
      </c>
      <c r="I138" s="94"/>
      <c r="J138" s="94"/>
      <c r="K138" s="140">
        <v>0</v>
      </c>
    </row>
    <row r="139" spans="1:11" ht="47.25" customHeight="1">
      <c r="A139" s="41">
        <v>6</v>
      </c>
      <c r="C139" s="223" t="s">
        <v>56</v>
      </c>
      <c r="D139" s="223"/>
      <c r="E139" s="41">
        <v>6</v>
      </c>
      <c r="G139" s="94"/>
      <c r="H139" s="139">
        <v>0</v>
      </c>
      <c r="I139" s="95"/>
      <c r="J139" s="95"/>
      <c r="K139" s="139">
        <v>0</v>
      </c>
    </row>
    <row r="140" spans="1:11">
      <c r="A140" s="137">
        <v>7</v>
      </c>
      <c r="E140" s="137">
        <v>7</v>
      </c>
      <c r="G140" s="94"/>
      <c r="H140" s="94"/>
      <c r="I140" s="94"/>
      <c r="J140" s="94"/>
      <c r="K140" s="94"/>
    </row>
    <row r="141" spans="1:11">
      <c r="A141" s="137">
        <v>8</v>
      </c>
      <c r="E141" s="137">
        <v>8</v>
      </c>
      <c r="G141" s="94"/>
      <c r="H141" s="94"/>
      <c r="I141" s="94"/>
      <c r="J141" s="94"/>
      <c r="K141" s="94"/>
    </row>
    <row r="142" spans="1:11">
      <c r="A142" s="137">
        <v>9</v>
      </c>
      <c r="E142" s="137">
        <v>9</v>
      </c>
      <c r="G142" s="94"/>
      <c r="H142" s="94"/>
      <c r="I142" s="94"/>
      <c r="J142" s="94"/>
      <c r="K142" s="94"/>
    </row>
    <row r="143" spans="1:11">
      <c r="A143" s="137">
        <v>10</v>
      </c>
      <c r="E143" s="137">
        <v>10</v>
      </c>
      <c r="G143" s="94"/>
      <c r="H143" s="94"/>
      <c r="I143" s="94"/>
      <c r="J143" s="94"/>
      <c r="K143" s="94"/>
    </row>
    <row r="144" spans="1:11">
      <c r="A144" s="137">
        <v>11</v>
      </c>
      <c r="E144" s="137">
        <v>11</v>
      </c>
      <c r="G144" s="94"/>
      <c r="H144" s="94"/>
      <c r="I144" s="94"/>
      <c r="J144" s="94"/>
      <c r="K144" s="94"/>
    </row>
    <row r="145" spans="1:11">
      <c r="A145" s="137">
        <v>12</v>
      </c>
      <c r="C145" s="137" t="s">
        <v>57</v>
      </c>
      <c r="E145" s="137">
        <v>12</v>
      </c>
      <c r="G145" s="94"/>
      <c r="H145" s="94">
        <f>SUM(H135:H144)</f>
        <v>36746855</v>
      </c>
      <c r="I145" s="94"/>
      <c r="J145" s="94"/>
      <c r="K145" s="94">
        <f>SUM(K135:K144)</f>
        <v>39494292</v>
      </c>
    </row>
    <row r="146" spans="1:11">
      <c r="E146" s="35"/>
    </row>
    <row r="147" spans="1:11">
      <c r="E147" s="35"/>
    </row>
    <row r="148" spans="1:11">
      <c r="E148" s="35"/>
    </row>
    <row r="149" spans="1:11">
      <c r="E149" s="35"/>
    </row>
    <row r="150" spans="1:11">
      <c r="E150" s="35"/>
    </row>
    <row r="151" spans="1:11">
      <c r="E151" s="35"/>
    </row>
    <row r="152" spans="1:11">
      <c r="E152" s="35"/>
    </row>
    <row r="154" spans="1:11">
      <c r="D154" s="42"/>
      <c r="F154" s="42"/>
      <c r="G154" s="43"/>
      <c r="H154" s="44"/>
    </row>
    <row r="155" spans="1:11">
      <c r="E155" s="35"/>
    </row>
    <row r="156" spans="1:11">
      <c r="E156" s="35"/>
    </row>
    <row r="157" spans="1:11">
      <c r="E157" s="35"/>
    </row>
    <row r="158" spans="1:11" ht="13.5">
      <c r="C158" s="137" t="s">
        <v>256</v>
      </c>
      <c r="E158" s="35"/>
    </row>
    <row r="159" spans="1:11">
      <c r="E159" s="35"/>
    </row>
    <row r="160" spans="1:11" ht="12.75">
      <c r="B160" s="45"/>
      <c r="C160" s="46"/>
      <c r="D160" s="47"/>
      <c r="E160" s="47"/>
      <c r="F160" s="47"/>
    </row>
    <row r="161" spans="1:11" ht="12.75">
      <c r="B161" s="45"/>
      <c r="C161" s="46"/>
      <c r="D161" s="47"/>
      <c r="E161" s="47"/>
      <c r="F161" s="47"/>
    </row>
    <row r="162" spans="1:11">
      <c r="E162" s="35"/>
    </row>
    <row r="163" spans="1:11">
      <c r="E163" s="35"/>
    </row>
    <row r="164" spans="1:11">
      <c r="E164" s="35"/>
    </row>
    <row r="165" spans="1:11">
      <c r="E165" s="35"/>
    </row>
    <row r="166" spans="1:11">
      <c r="E166" s="35"/>
    </row>
    <row r="167" spans="1:11">
      <c r="E167" s="35"/>
    </row>
    <row r="168" spans="1:11">
      <c r="E168" s="35"/>
    </row>
    <row r="169" spans="1:11">
      <c r="E169" s="35"/>
    </row>
    <row r="170" spans="1:11">
      <c r="E170" s="35"/>
    </row>
    <row r="171" spans="1:11">
      <c r="E171" s="35"/>
    </row>
    <row r="172" spans="1:11">
      <c r="E172" s="35"/>
    </row>
    <row r="173" spans="1:11">
      <c r="E173" s="35"/>
    </row>
    <row r="174" spans="1:11">
      <c r="A174" s="16" t="str">
        <f>$A$83</f>
        <v xml:space="preserve">Institution No.:  </v>
      </c>
      <c r="E174" s="35"/>
      <c r="G174" s="14"/>
      <c r="H174" s="40"/>
      <c r="J174" s="14"/>
      <c r="K174" s="15" t="s">
        <v>67</v>
      </c>
    </row>
    <row r="175" spans="1:11" s="36" customFormat="1">
      <c r="A175" s="222" t="s">
        <v>68</v>
      </c>
      <c r="B175" s="222"/>
      <c r="C175" s="222"/>
      <c r="D175" s="222"/>
      <c r="E175" s="222"/>
      <c r="F175" s="222"/>
      <c r="G175" s="222"/>
      <c r="H175" s="222"/>
      <c r="I175" s="222"/>
      <c r="J175" s="222"/>
      <c r="K175" s="222"/>
    </row>
    <row r="176" spans="1:11">
      <c r="A176" s="16" t="str">
        <f>$A$42</f>
        <v xml:space="preserve">NAME: </v>
      </c>
      <c r="C176" s="137" t="str">
        <f>$D$20</f>
        <v>University of Colorado</v>
      </c>
      <c r="H176" s="40"/>
      <c r="J176" s="14"/>
      <c r="K176" s="18" t="str">
        <f>$K$3</f>
        <v>Date: October 09, 2017</v>
      </c>
    </row>
    <row r="177" spans="1:11">
      <c r="A177" s="19" t="s">
        <v>6</v>
      </c>
      <c r="B177" s="19" t="s">
        <v>6</v>
      </c>
      <c r="C177" s="19" t="s">
        <v>6</v>
      </c>
      <c r="D177" s="19" t="s">
        <v>6</v>
      </c>
      <c r="E177" s="19" t="s">
        <v>6</v>
      </c>
      <c r="F177" s="19" t="s">
        <v>6</v>
      </c>
      <c r="G177" s="20" t="s">
        <v>6</v>
      </c>
      <c r="H177" s="21" t="s">
        <v>6</v>
      </c>
      <c r="I177" s="19" t="s">
        <v>6</v>
      </c>
      <c r="J177" s="20" t="s">
        <v>6</v>
      </c>
      <c r="K177" s="21" t="s">
        <v>6</v>
      </c>
    </row>
    <row r="178" spans="1:11">
      <c r="A178" s="22" t="s">
        <v>7</v>
      </c>
      <c r="E178" s="22" t="s">
        <v>7</v>
      </c>
      <c r="G178" s="24"/>
      <c r="H178" s="25" t="str">
        <f>H131</f>
        <v>2016-17</v>
      </c>
      <c r="I178" s="23"/>
      <c r="J178" s="137"/>
      <c r="K178" s="25" t="str">
        <f>K131</f>
        <v>2017-18</v>
      </c>
    </row>
    <row r="179" spans="1:11">
      <c r="A179" s="22" t="s">
        <v>9</v>
      </c>
      <c r="E179" s="22" t="s">
        <v>9</v>
      </c>
      <c r="G179" s="24"/>
      <c r="H179" s="25" t="s">
        <v>12</v>
      </c>
      <c r="I179" s="23"/>
      <c r="J179" s="137"/>
      <c r="K179" s="25" t="str">
        <f>K132</f>
        <v>Estimate</v>
      </c>
    </row>
    <row r="180" spans="1:11">
      <c r="A180" s="19" t="s">
        <v>6</v>
      </c>
      <c r="B180" s="19" t="s">
        <v>6</v>
      </c>
      <c r="C180" s="19" t="s">
        <v>6</v>
      </c>
      <c r="D180" s="19" t="s">
        <v>6</v>
      </c>
      <c r="E180" s="19" t="s">
        <v>6</v>
      </c>
      <c r="F180" s="19" t="s">
        <v>6</v>
      </c>
      <c r="G180" s="20" t="s">
        <v>6</v>
      </c>
      <c r="H180" s="21" t="s">
        <v>6</v>
      </c>
      <c r="I180" s="19" t="s">
        <v>6</v>
      </c>
      <c r="J180" s="20" t="s">
        <v>6</v>
      </c>
      <c r="K180" s="20" t="s">
        <v>6</v>
      </c>
    </row>
    <row r="181" spans="1:11">
      <c r="A181" s="8">
        <v>1</v>
      </c>
      <c r="C181" s="9" t="s">
        <v>69</v>
      </c>
      <c r="E181" s="8">
        <v>1</v>
      </c>
      <c r="G181" s="14"/>
      <c r="H181" s="30"/>
      <c r="J181" s="137"/>
      <c r="K181" s="137"/>
    </row>
    <row r="182" spans="1:11">
      <c r="A182" s="27" t="s">
        <v>70</v>
      </c>
      <c r="C182" s="9" t="s">
        <v>71</v>
      </c>
      <c r="E182" s="27" t="s">
        <v>70</v>
      </c>
      <c r="F182" s="60"/>
      <c r="G182" s="96"/>
      <c r="H182" s="165">
        <v>15121</v>
      </c>
      <c r="I182" s="96"/>
      <c r="J182" s="137"/>
      <c r="K182" s="165">
        <v>15332</v>
      </c>
    </row>
    <row r="183" spans="1:11">
      <c r="A183" s="27" t="s">
        <v>72</v>
      </c>
      <c r="C183" s="9" t="s">
        <v>73</v>
      </c>
      <c r="E183" s="27" t="s">
        <v>72</v>
      </c>
      <c r="F183" s="60"/>
      <c r="G183" s="96"/>
      <c r="H183" s="166"/>
      <c r="I183" s="96"/>
      <c r="J183" s="137"/>
      <c r="K183" s="166"/>
    </row>
    <row r="184" spans="1:11">
      <c r="A184" s="27" t="s">
        <v>74</v>
      </c>
      <c r="C184" s="9" t="s">
        <v>75</v>
      </c>
      <c r="E184" s="27" t="s">
        <v>74</v>
      </c>
      <c r="F184" s="60"/>
      <c r="G184" s="96"/>
      <c r="H184" s="167">
        <f>SUM(H182:H183)</f>
        <v>15121</v>
      </c>
      <c r="I184" s="96"/>
      <c r="J184" s="137"/>
      <c r="K184" s="167">
        <f>SUM(K182:K183)</f>
        <v>15332</v>
      </c>
    </row>
    <row r="185" spans="1:11">
      <c r="A185" s="8">
        <v>3</v>
      </c>
      <c r="C185" s="9" t="s">
        <v>76</v>
      </c>
      <c r="E185" s="8">
        <v>3</v>
      </c>
      <c r="F185" s="60"/>
      <c r="G185" s="96"/>
      <c r="H185" s="165">
        <v>2358</v>
      </c>
      <c r="I185" s="96"/>
      <c r="J185" s="137"/>
      <c r="K185" s="165">
        <v>2432</v>
      </c>
    </row>
    <row r="186" spans="1:11">
      <c r="A186" s="8">
        <v>4</v>
      </c>
      <c r="C186" s="9" t="s">
        <v>77</v>
      </c>
      <c r="E186" s="8">
        <v>4</v>
      </c>
      <c r="F186" s="60"/>
      <c r="G186" s="96"/>
      <c r="H186" s="167">
        <f>SUM(H184:H185)</f>
        <v>17479</v>
      </c>
      <c r="I186" s="96"/>
      <c r="J186" s="137"/>
      <c r="K186" s="167">
        <f>SUM(K184:K185)</f>
        <v>17764</v>
      </c>
    </row>
    <row r="187" spans="1:11">
      <c r="A187" s="8">
        <v>5</v>
      </c>
      <c r="E187" s="8">
        <v>5</v>
      </c>
      <c r="F187" s="60"/>
      <c r="G187" s="96"/>
      <c r="H187" s="167"/>
      <c r="I187" s="96"/>
      <c r="J187" s="137"/>
      <c r="K187" s="167"/>
    </row>
    <row r="188" spans="1:11">
      <c r="A188" s="8">
        <v>6</v>
      </c>
      <c r="C188" s="9" t="s">
        <v>78</v>
      </c>
      <c r="E188" s="8">
        <v>6</v>
      </c>
      <c r="F188" s="60"/>
      <c r="G188" s="96"/>
      <c r="H188" s="165">
        <v>10411</v>
      </c>
      <c r="I188" s="96"/>
      <c r="J188" s="137"/>
      <c r="K188" s="165">
        <v>10978</v>
      </c>
    </row>
    <row r="189" spans="1:11">
      <c r="A189" s="8">
        <v>7</v>
      </c>
      <c r="C189" s="9" t="s">
        <v>79</v>
      </c>
      <c r="E189" s="8">
        <v>7</v>
      </c>
      <c r="F189" s="60"/>
      <c r="G189" s="96"/>
      <c r="H189" s="165">
        <v>1431</v>
      </c>
      <c r="I189" s="96"/>
      <c r="J189" s="137"/>
      <c r="K189" s="165">
        <v>1468</v>
      </c>
    </row>
    <row r="190" spans="1:11">
      <c r="A190" s="8">
        <v>8</v>
      </c>
      <c r="C190" s="9" t="s">
        <v>80</v>
      </c>
      <c r="E190" s="8">
        <v>8</v>
      </c>
      <c r="F190" s="60"/>
      <c r="G190" s="96"/>
      <c r="H190" s="167">
        <f>SUM(H188:H189)</f>
        <v>11842</v>
      </c>
      <c r="I190" s="96"/>
      <c r="J190" s="137"/>
      <c r="K190" s="167">
        <f>SUM(K188:K189)</f>
        <v>12446</v>
      </c>
    </row>
    <row r="191" spans="1:11">
      <c r="A191" s="8">
        <v>9</v>
      </c>
      <c r="E191" s="8">
        <v>9</v>
      </c>
      <c r="F191" s="60"/>
      <c r="G191" s="96"/>
      <c r="H191" s="167"/>
      <c r="I191" s="96"/>
      <c r="J191" s="137"/>
      <c r="K191" s="167"/>
    </row>
    <row r="192" spans="1:11">
      <c r="A192" s="8">
        <v>10</v>
      </c>
      <c r="C192" s="9" t="s">
        <v>81</v>
      </c>
      <c r="E192" s="8">
        <v>10</v>
      </c>
      <c r="F192" s="60"/>
      <c r="G192" s="96"/>
      <c r="H192" s="167">
        <f>H184+H188</f>
        <v>25532</v>
      </c>
      <c r="I192" s="96"/>
      <c r="J192" s="137"/>
      <c r="K192" s="167">
        <f>K184+K188</f>
        <v>26310</v>
      </c>
    </row>
    <row r="193" spans="1:11">
      <c r="A193" s="8">
        <v>11</v>
      </c>
      <c r="C193" s="9" t="s">
        <v>82</v>
      </c>
      <c r="E193" s="8">
        <v>11</v>
      </c>
      <c r="F193" s="60"/>
      <c r="G193" s="96"/>
      <c r="H193" s="167">
        <f>H185+H189</f>
        <v>3789</v>
      </c>
      <c r="I193" s="96"/>
      <c r="J193" s="137"/>
      <c r="K193" s="167">
        <f>K185+K189</f>
        <v>3900</v>
      </c>
    </row>
    <row r="194" spans="1:11">
      <c r="A194" s="8">
        <v>12</v>
      </c>
      <c r="C194" s="9" t="s">
        <v>83</v>
      </c>
      <c r="E194" s="8">
        <v>12</v>
      </c>
      <c r="F194" s="60"/>
      <c r="G194" s="96"/>
      <c r="H194" s="167">
        <f>H192+H193</f>
        <v>29321</v>
      </c>
      <c r="I194" s="96"/>
      <c r="J194" s="137"/>
      <c r="K194" s="167">
        <f>K192+K193</f>
        <v>30210</v>
      </c>
    </row>
    <row r="195" spans="1:11">
      <c r="A195" s="8">
        <v>13</v>
      </c>
      <c r="E195" s="8">
        <v>13</v>
      </c>
      <c r="G195" s="96"/>
      <c r="H195" s="168"/>
      <c r="I195" s="100"/>
      <c r="J195" s="137"/>
      <c r="K195" s="99"/>
    </row>
    <row r="196" spans="1:11">
      <c r="A196" s="8">
        <v>15</v>
      </c>
      <c r="C196" s="9" t="s">
        <v>84</v>
      </c>
      <c r="E196" s="8">
        <v>15</v>
      </c>
      <c r="G196" s="96"/>
      <c r="H196" s="169"/>
      <c r="I196" s="100"/>
      <c r="J196" s="137"/>
      <c r="K196" s="101"/>
    </row>
    <row r="197" spans="1:11">
      <c r="A197" s="8">
        <v>16</v>
      </c>
      <c r="C197" s="9" t="s">
        <v>85</v>
      </c>
      <c r="E197" s="8">
        <v>16</v>
      </c>
      <c r="G197" s="96"/>
      <c r="H197" s="170">
        <f>(H119-H367)/H194</f>
        <v>23966.334302377138</v>
      </c>
      <c r="I197" s="102"/>
      <c r="J197" s="137"/>
      <c r="K197" s="99"/>
    </row>
    <row r="198" spans="1:11">
      <c r="A198" s="8">
        <v>17</v>
      </c>
      <c r="C198" s="9" t="s">
        <v>86</v>
      </c>
      <c r="E198" s="8">
        <v>17</v>
      </c>
      <c r="G198" s="96"/>
      <c r="H198" s="146">
        <v>2250</v>
      </c>
      <c r="I198" s="100"/>
      <c r="J198" s="137"/>
      <c r="K198" s="100"/>
    </row>
    <row r="199" spans="1:11">
      <c r="A199" s="8">
        <v>18</v>
      </c>
      <c r="E199" s="8">
        <v>18</v>
      </c>
      <c r="G199" s="96"/>
      <c r="H199" s="100"/>
      <c r="I199" s="100"/>
      <c r="J199" s="137"/>
      <c r="K199" s="100"/>
    </row>
    <row r="200" spans="1:11">
      <c r="A200" s="137">
        <v>19</v>
      </c>
      <c r="C200" s="9" t="s">
        <v>87</v>
      </c>
      <c r="E200" s="137">
        <v>19</v>
      </c>
      <c r="G200" s="96"/>
      <c r="H200" s="100"/>
      <c r="I200" s="100"/>
      <c r="J200" s="137"/>
      <c r="K200" s="100"/>
    </row>
    <row r="201" spans="1:11">
      <c r="A201" s="8">
        <v>20</v>
      </c>
      <c r="C201" s="9" t="s">
        <v>88</v>
      </c>
      <c r="E201" s="8">
        <v>20</v>
      </c>
      <c r="F201" s="10"/>
      <c r="G201" s="103"/>
      <c r="H201" s="104">
        <f>G512+G551</f>
        <v>2591</v>
      </c>
      <c r="I201" s="103"/>
      <c r="J201" s="137"/>
      <c r="K201" s="104"/>
    </row>
    <row r="202" spans="1:11">
      <c r="A202" s="8">
        <v>21</v>
      </c>
      <c r="C202" s="9" t="s">
        <v>89</v>
      </c>
      <c r="E202" s="8">
        <v>21</v>
      </c>
      <c r="F202" s="10"/>
      <c r="G202" s="103"/>
      <c r="H202" s="104">
        <f>G508+G547</f>
        <v>1925</v>
      </c>
      <c r="I202" s="103"/>
      <c r="J202" s="137"/>
      <c r="K202" s="104"/>
    </row>
    <row r="203" spans="1:11">
      <c r="A203" s="8">
        <v>22</v>
      </c>
      <c r="C203" s="9" t="s">
        <v>90</v>
      </c>
      <c r="E203" s="8">
        <v>22</v>
      </c>
      <c r="F203" s="10"/>
      <c r="G203" s="103"/>
      <c r="H203" s="104">
        <f>G510+G549</f>
        <v>666</v>
      </c>
      <c r="I203" s="103"/>
      <c r="J203" s="137"/>
      <c r="K203" s="104"/>
    </row>
    <row r="204" spans="1:11">
      <c r="A204" s="8">
        <v>23</v>
      </c>
      <c r="E204" s="8">
        <v>23</v>
      </c>
      <c r="F204" s="10"/>
      <c r="G204" s="103"/>
      <c r="H204" s="104"/>
      <c r="I204" s="103"/>
      <c r="J204" s="137"/>
      <c r="K204" s="104"/>
    </row>
    <row r="205" spans="1:11">
      <c r="A205" s="8">
        <v>24</v>
      </c>
      <c r="C205" s="9" t="s">
        <v>91</v>
      </c>
      <c r="E205" s="8">
        <v>24</v>
      </c>
      <c r="F205" s="10"/>
      <c r="G205" s="103"/>
      <c r="H205" s="103"/>
      <c r="I205" s="103"/>
      <c r="K205" s="103"/>
    </row>
    <row r="206" spans="1:11" ht="15">
      <c r="A206" s="8">
        <v>25</v>
      </c>
      <c r="C206" s="9" t="s">
        <v>92</v>
      </c>
      <c r="E206" s="8">
        <v>25</v>
      </c>
      <c r="G206" s="96"/>
      <c r="H206" s="136">
        <f>IF(OR(G512&gt;0,G551&gt;0),(H551+H512)/(G551+G512),0)</f>
        <v>118245.78579698958</v>
      </c>
      <c r="I206" s="100"/>
      <c r="K206" s="136"/>
    </row>
    <row r="207" spans="1:11">
      <c r="A207" s="8">
        <v>26</v>
      </c>
      <c r="C207" s="9" t="s">
        <v>93</v>
      </c>
      <c r="E207" s="8">
        <v>26</v>
      </c>
      <c r="G207" s="96"/>
      <c r="H207" s="100">
        <f>IF(H202=0,0,(H508+H509+H547+H548)/H202)</f>
        <v>124228.3735064935</v>
      </c>
      <c r="I207" s="100"/>
      <c r="J207" s="137"/>
      <c r="K207" s="100"/>
    </row>
    <row r="208" spans="1:11">
      <c r="A208" s="8">
        <v>27</v>
      </c>
      <c r="C208" s="9" t="s">
        <v>94</v>
      </c>
      <c r="E208" s="8">
        <v>27</v>
      </c>
      <c r="G208" s="96"/>
      <c r="H208" s="100">
        <f>IF(H203=0,0,(H510+H511+H549+H550)/H203)</f>
        <v>100953.77177177178</v>
      </c>
      <c r="I208" s="100"/>
      <c r="J208" s="137"/>
      <c r="K208" s="100"/>
    </row>
    <row r="209" spans="1:11">
      <c r="A209" s="8">
        <v>28</v>
      </c>
      <c r="E209" s="8">
        <v>28</v>
      </c>
      <c r="G209" s="96"/>
      <c r="H209" s="100"/>
      <c r="I209" s="100"/>
      <c r="J209" s="137"/>
      <c r="K209" s="100"/>
    </row>
    <row r="210" spans="1:11">
      <c r="A210" s="8">
        <v>29</v>
      </c>
      <c r="C210" s="9" t="s">
        <v>95</v>
      </c>
      <c r="E210" s="8">
        <v>29</v>
      </c>
      <c r="F210" s="61"/>
      <c r="G210" s="96"/>
      <c r="H210" s="167">
        <f>G101</f>
        <v>5181</v>
      </c>
      <c r="I210" s="96"/>
      <c r="J210" s="137"/>
      <c r="K210" s="97"/>
    </row>
    <row r="211" spans="1:11">
      <c r="A211" s="9"/>
      <c r="H211" s="40"/>
      <c r="J211" s="137"/>
      <c r="K211" s="137"/>
    </row>
    <row r="212" spans="1:11">
      <c r="A212" s="9"/>
      <c r="H212" s="40"/>
      <c r="K212" s="40"/>
    </row>
    <row r="213" spans="1:11" ht="30" customHeight="1">
      <c r="A213" s="9"/>
      <c r="C213" s="231" t="s">
        <v>96</v>
      </c>
      <c r="D213" s="231"/>
      <c r="E213" s="231"/>
      <c r="F213" s="231"/>
      <c r="G213" s="231"/>
      <c r="H213" s="231"/>
      <c r="I213" s="231"/>
      <c r="K213" s="40"/>
    </row>
    <row r="214" spans="1:11">
      <c r="A214" s="9"/>
      <c r="H214" s="40"/>
      <c r="K214" s="40"/>
    </row>
    <row r="215" spans="1:11">
      <c r="A215" s="9"/>
      <c r="H215" s="40"/>
      <c r="K215" s="40"/>
    </row>
    <row r="216" spans="1:11">
      <c r="A216" s="9"/>
      <c r="H216" s="40"/>
      <c r="K216" s="40"/>
    </row>
    <row r="217" spans="1:11">
      <c r="A217" s="9"/>
      <c r="C217" s="36"/>
      <c r="D217" s="36"/>
      <c r="E217" s="36"/>
      <c r="F217" s="36"/>
      <c r="G217" s="62"/>
      <c r="H217" s="39"/>
      <c r="K217" s="40"/>
    </row>
    <row r="218" spans="1:11">
      <c r="A218" s="9"/>
      <c r="H218" s="40"/>
      <c r="K218" s="40"/>
    </row>
    <row r="219" spans="1:11">
      <c r="A219" s="9"/>
      <c r="H219" s="40"/>
      <c r="K219" s="40"/>
    </row>
    <row r="220" spans="1:11">
      <c r="A220" s="9"/>
      <c r="H220" s="40"/>
      <c r="K220" s="40"/>
    </row>
    <row r="221" spans="1:11">
      <c r="A221" s="9"/>
      <c r="H221" s="40"/>
      <c r="K221" s="40"/>
    </row>
    <row r="222" spans="1:11">
      <c r="A222" s="9"/>
      <c r="H222" s="40"/>
      <c r="K222" s="40"/>
    </row>
    <row r="223" spans="1:11">
      <c r="A223" s="9"/>
      <c r="H223" s="40"/>
      <c r="K223" s="40"/>
    </row>
    <row r="224" spans="1:11">
      <c r="E224" s="35"/>
      <c r="G224" s="14"/>
      <c r="H224" s="40"/>
      <c r="I224" s="17"/>
      <c r="K224" s="40"/>
    </row>
    <row r="225" spans="1:11">
      <c r="A225" s="9"/>
      <c r="H225" s="40"/>
      <c r="K225" s="40"/>
    </row>
    <row r="226" spans="1:11">
      <c r="A226" s="16" t="str">
        <f>$A$83</f>
        <v xml:space="preserve">Institution No.:  </v>
      </c>
      <c r="C226" s="63"/>
      <c r="G226" s="137"/>
      <c r="H226" s="137"/>
      <c r="I226" s="31" t="s">
        <v>97</v>
      </c>
      <c r="J226" s="137"/>
      <c r="K226" s="137"/>
    </row>
    <row r="227" spans="1:11">
      <c r="A227" s="158"/>
      <c r="B227" s="232" t="s">
        <v>98</v>
      </c>
      <c r="C227" s="232"/>
      <c r="D227" s="232"/>
      <c r="E227" s="232"/>
      <c r="F227" s="232"/>
      <c r="G227" s="232"/>
      <c r="H227" s="232"/>
      <c r="I227" s="232"/>
      <c r="J227" s="232"/>
      <c r="K227" s="232"/>
    </row>
    <row r="228" spans="1:11">
      <c r="A228" s="16" t="str">
        <f>$A$42</f>
        <v xml:space="preserve">NAME: </v>
      </c>
      <c r="C228" s="137" t="str">
        <f>$D$20</f>
        <v>University of Colorado</v>
      </c>
      <c r="G228" s="137"/>
      <c r="H228" s="137"/>
      <c r="I228" s="18" t="str">
        <f>$K$3</f>
        <v>Date: October 09, 2017</v>
      </c>
      <c r="J228" s="137"/>
      <c r="K228" s="137"/>
    </row>
    <row r="229" spans="1:11">
      <c r="A229" s="19"/>
      <c r="C229" s="19" t="s">
        <v>6</v>
      </c>
      <c r="D229" s="19" t="s">
        <v>6</v>
      </c>
      <c r="E229" s="19" t="s">
        <v>6</v>
      </c>
      <c r="F229" s="19" t="s">
        <v>6</v>
      </c>
      <c r="G229" s="19" t="s">
        <v>6</v>
      </c>
      <c r="H229" s="19" t="s">
        <v>6</v>
      </c>
      <c r="I229" s="19" t="s">
        <v>6</v>
      </c>
      <c r="J229" s="19" t="s">
        <v>6</v>
      </c>
      <c r="K229" s="137"/>
    </row>
    <row r="230" spans="1:11">
      <c r="A230" s="22"/>
      <c r="D230" s="26" t="s">
        <v>232</v>
      </c>
      <c r="G230" s="137"/>
      <c r="H230" s="137"/>
      <c r="J230" s="137"/>
      <c r="K230" s="137"/>
    </row>
    <row r="231" spans="1:11">
      <c r="A231" s="22"/>
      <c r="D231" s="26" t="s">
        <v>12</v>
      </c>
      <c r="G231" s="137"/>
      <c r="H231" s="137"/>
      <c r="J231" s="137"/>
      <c r="K231" s="137"/>
    </row>
    <row r="232" spans="1:11">
      <c r="A232" s="19"/>
      <c r="D232" s="26" t="s">
        <v>99</v>
      </c>
      <c r="E232" s="26" t="s">
        <v>99</v>
      </c>
      <c r="F232" s="26" t="s">
        <v>100</v>
      </c>
      <c r="G232" s="26"/>
      <c r="H232" s="137"/>
      <c r="J232" s="137"/>
      <c r="K232" s="137"/>
    </row>
    <row r="233" spans="1:11">
      <c r="A233" s="9"/>
      <c r="C233" s="26" t="s">
        <v>101</v>
      </c>
      <c r="D233" s="26" t="s">
        <v>102</v>
      </c>
      <c r="E233" s="26" t="s">
        <v>103</v>
      </c>
      <c r="F233" s="26" t="s">
        <v>104</v>
      </c>
      <c r="G233" s="26"/>
      <c r="H233" s="137"/>
      <c r="J233" s="137"/>
      <c r="K233" s="137"/>
    </row>
    <row r="234" spans="1:11">
      <c r="A234" s="9"/>
      <c r="C234" s="19" t="s">
        <v>6</v>
      </c>
      <c r="D234" s="19" t="s">
        <v>6</v>
      </c>
      <c r="E234" s="19" t="s">
        <v>6</v>
      </c>
      <c r="F234" s="19" t="s">
        <v>6</v>
      </c>
      <c r="G234" s="19" t="s">
        <v>6</v>
      </c>
      <c r="H234" s="137"/>
      <c r="J234" s="137"/>
      <c r="K234" s="137"/>
    </row>
    <row r="235" spans="1:11">
      <c r="A235" s="9"/>
      <c r="G235" s="137"/>
      <c r="H235" s="137"/>
      <c r="J235" s="137"/>
      <c r="K235" s="137"/>
    </row>
    <row r="236" spans="1:11">
      <c r="A236" s="9"/>
      <c r="C236" s="9" t="s">
        <v>105</v>
      </c>
      <c r="D236" s="142"/>
      <c r="E236" s="142"/>
      <c r="F236" s="97"/>
      <c r="G236" s="137"/>
      <c r="H236" s="137"/>
      <c r="J236" s="137"/>
      <c r="K236" s="171"/>
    </row>
    <row r="237" spans="1:11">
      <c r="A237" s="9"/>
      <c r="D237" s="105"/>
      <c r="E237" s="105"/>
      <c r="F237" s="105"/>
      <c r="G237" s="137"/>
      <c r="H237" s="137"/>
      <c r="J237" s="137"/>
      <c r="K237" s="137"/>
    </row>
    <row r="238" spans="1:11">
      <c r="A238" s="9"/>
      <c r="C238" s="9" t="s">
        <v>106</v>
      </c>
      <c r="D238" s="165">
        <v>15503</v>
      </c>
      <c r="E238" s="165">
        <v>654</v>
      </c>
      <c r="F238" s="97">
        <f>D238/E238</f>
        <v>23.704892966360855</v>
      </c>
      <c r="G238" s="8"/>
      <c r="H238" s="137"/>
      <c r="J238" s="172"/>
      <c r="K238" s="172"/>
    </row>
    <row r="239" spans="1:11">
      <c r="A239" s="9"/>
      <c r="D239" s="168"/>
      <c r="E239" s="168"/>
      <c r="F239" s="99"/>
      <c r="G239" s="137"/>
      <c r="H239" s="137"/>
      <c r="J239" s="172"/>
      <c r="K239" s="172"/>
    </row>
    <row r="240" spans="1:11">
      <c r="A240" s="9"/>
      <c r="C240" s="9" t="s">
        <v>107</v>
      </c>
      <c r="D240" s="165">
        <v>9955</v>
      </c>
      <c r="E240" s="165">
        <v>803</v>
      </c>
      <c r="F240" s="97">
        <f>D240/E240</f>
        <v>12.397260273972602</v>
      </c>
      <c r="G240" s="8"/>
      <c r="H240" s="137"/>
      <c r="J240" s="172"/>
      <c r="K240" s="172"/>
    </row>
    <row r="241" spans="1:11">
      <c r="A241" s="9"/>
      <c r="D241" s="168"/>
      <c r="E241" s="168"/>
      <c r="F241" s="99"/>
      <c r="G241" s="137"/>
      <c r="H241" s="137"/>
      <c r="J241" s="172"/>
      <c r="K241" s="172"/>
    </row>
    <row r="242" spans="1:11">
      <c r="A242" s="9"/>
      <c r="C242" s="9" t="s">
        <v>108</v>
      </c>
      <c r="D242" s="167">
        <f>SUM(D236:D240)</f>
        <v>25458</v>
      </c>
      <c r="E242" s="167">
        <f>SUM(E236:E240)</f>
        <v>1457</v>
      </c>
      <c r="F242" s="97">
        <f>D242/E242</f>
        <v>17.472889498970488</v>
      </c>
      <c r="G242" s="29"/>
      <c r="H242" s="64"/>
      <c r="J242" s="172"/>
      <c r="K242" s="172"/>
    </row>
    <row r="243" spans="1:11">
      <c r="A243" s="9"/>
      <c r="D243" s="168"/>
      <c r="E243" s="168"/>
      <c r="F243" s="65"/>
      <c r="G243" s="137"/>
      <c r="H243" s="137"/>
      <c r="J243" s="137"/>
      <c r="K243" s="172"/>
    </row>
    <row r="244" spans="1:11">
      <c r="A244" s="9"/>
      <c r="D244" s="168"/>
      <c r="E244" s="168"/>
      <c r="F244" s="65"/>
      <c r="G244" s="137"/>
      <c r="H244" s="137"/>
      <c r="J244" s="137"/>
      <c r="K244" s="172"/>
    </row>
    <row r="245" spans="1:11">
      <c r="A245" s="9"/>
      <c r="C245" s="9" t="s">
        <v>109</v>
      </c>
      <c r="D245" s="173">
        <v>2468</v>
      </c>
      <c r="E245" s="173">
        <v>427</v>
      </c>
      <c r="F245" s="97">
        <f>D245/E245</f>
        <v>5.7798594847775178</v>
      </c>
      <c r="G245" s="8"/>
      <c r="H245" s="137"/>
      <c r="J245" s="137"/>
      <c r="K245" s="172"/>
    </row>
    <row r="246" spans="1:11">
      <c r="A246" s="9"/>
      <c r="D246" s="168"/>
      <c r="E246" s="168"/>
      <c r="F246" s="97"/>
      <c r="G246" s="137"/>
      <c r="H246" s="137"/>
      <c r="J246" s="137"/>
      <c r="K246" s="172"/>
    </row>
    <row r="247" spans="1:11">
      <c r="A247" s="9"/>
      <c r="B247" s="9" t="s">
        <v>38</v>
      </c>
      <c r="C247" s="9" t="s">
        <v>110</v>
      </c>
      <c r="D247" s="173">
        <v>1395</v>
      </c>
      <c r="E247" s="173">
        <v>602</v>
      </c>
      <c r="F247" s="97">
        <f>D247/E247</f>
        <v>2.3172757475083055</v>
      </c>
      <c r="G247" s="8"/>
      <c r="H247" s="137"/>
      <c r="J247" s="137"/>
      <c r="K247" s="172"/>
    </row>
    <row r="248" spans="1:11">
      <c r="A248" s="9"/>
      <c r="D248" s="168"/>
      <c r="E248" s="168"/>
      <c r="F248" s="97"/>
      <c r="G248" s="137"/>
      <c r="H248" s="137"/>
      <c r="J248" s="137"/>
      <c r="K248" s="172"/>
    </row>
    <row r="249" spans="1:11">
      <c r="A249" s="9"/>
      <c r="C249" s="9" t="s">
        <v>111</v>
      </c>
      <c r="D249" s="168">
        <f>SUM(D245:D247)</f>
        <v>3863</v>
      </c>
      <c r="E249" s="168">
        <f>SUM(E245:E247)</f>
        <v>1029</v>
      </c>
      <c r="F249" s="97">
        <f>D249/E249</f>
        <v>3.7541302235179788</v>
      </c>
      <c r="G249" s="8"/>
      <c r="H249" s="137"/>
      <c r="J249" s="137"/>
      <c r="K249" s="172"/>
    </row>
    <row r="250" spans="1:11">
      <c r="A250" s="9"/>
      <c r="D250" s="168"/>
      <c r="E250" s="168"/>
      <c r="F250" s="97"/>
      <c r="G250" s="137"/>
      <c r="H250" s="137"/>
      <c r="J250" s="137"/>
      <c r="K250" s="172"/>
    </row>
    <row r="251" spans="1:11">
      <c r="A251" s="9"/>
      <c r="C251" s="9" t="s">
        <v>112</v>
      </c>
      <c r="D251" s="167">
        <f>SUM(D242,D249)</f>
        <v>29321</v>
      </c>
      <c r="E251" s="167">
        <f>SUM(E242,E249)</f>
        <v>2486</v>
      </c>
      <c r="F251" s="97">
        <f>D251/E251</f>
        <v>11.79444891391794</v>
      </c>
      <c r="G251" s="8"/>
      <c r="H251" s="137"/>
      <c r="J251" s="137"/>
      <c r="K251" s="172"/>
    </row>
    <row r="252" spans="1:11">
      <c r="A252" s="9"/>
      <c r="G252" s="137"/>
      <c r="H252" s="137"/>
      <c r="J252" s="137"/>
      <c r="K252" s="137"/>
    </row>
    <row r="253" spans="1:11">
      <c r="A253" s="9"/>
      <c r="G253" s="137"/>
      <c r="H253" s="137"/>
      <c r="J253" s="137"/>
      <c r="K253" s="137"/>
    </row>
    <row r="254" spans="1:11">
      <c r="A254" s="9"/>
      <c r="G254" s="137"/>
      <c r="H254" s="137"/>
      <c r="J254" s="137"/>
      <c r="K254" s="137"/>
    </row>
    <row r="255" spans="1:11">
      <c r="A255" s="9"/>
      <c r="G255" s="137"/>
      <c r="H255" s="137"/>
      <c r="J255" s="137"/>
      <c r="K255" s="137"/>
    </row>
    <row r="256" spans="1:11">
      <c r="A256" s="9"/>
      <c r="C256" s="9" t="s">
        <v>113</v>
      </c>
      <c r="G256" s="137"/>
      <c r="H256" s="137"/>
      <c r="J256" s="137"/>
      <c r="K256" s="137"/>
    </row>
    <row r="257" spans="1:11">
      <c r="A257" s="9"/>
      <c r="C257" s="9" t="s">
        <v>114</v>
      </c>
      <c r="G257" s="137"/>
      <c r="H257" s="137"/>
      <c r="J257" s="137"/>
      <c r="K257" s="137"/>
    </row>
    <row r="258" spans="1:11">
      <c r="A258" s="9"/>
      <c r="H258" s="40"/>
      <c r="K258" s="40"/>
    </row>
    <row r="259" spans="1:11">
      <c r="A259" s="9"/>
      <c r="H259" s="40"/>
      <c r="K259" s="40"/>
    </row>
    <row r="260" spans="1:11">
      <c r="A260" s="9"/>
      <c r="H260" s="40"/>
      <c r="K260" s="40"/>
    </row>
    <row r="261" spans="1:11">
      <c r="A261" s="9"/>
      <c r="H261" s="40"/>
      <c r="K261" s="40"/>
    </row>
    <row r="262" spans="1:11">
      <c r="A262" s="9"/>
      <c r="H262" s="40"/>
      <c r="K262" s="40"/>
    </row>
    <row r="263" spans="1:11">
      <c r="A263" s="9"/>
      <c r="H263" s="40"/>
      <c r="K263" s="40"/>
    </row>
    <row r="264" spans="1:11">
      <c r="A264" s="9"/>
      <c r="H264" s="40"/>
      <c r="K264" s="40"/>
    </row>
    <row r="265" spans="1:11">
      <c r="A265" s="9"/>
      <c r="H265" s="40"/>
      <c r="K265" s="40"/>
    </row>
    <row r="266" spans="1:11">
      <c r="A266" s="9"/>
      <c r="H266" s="40"/>
      <c r="K266" s="40"/>
    </row>
    <row r="267" spans="1:11">
      <c r="A267" s="9"/>
      <c r="H267" s="40"/>
      <c r="K267" s="40"/>
    </row>
    <row r="268" spans="1:11">
      <c r="A268" s="9"/>
      <c r="H268" s="40"/>
      <c r="K268" s="40"/>
    </row>
    <row r="269" spans="1:11">
      <c r="A269" s="9"/>
      <c r="H269" s="40"/>
      <c r="K269" s="40"/>
    </row>
    <row r="270" spans="1:11">
      <c r="A270" s="9"/>
      <c r="H270" s="40"/>
      <c r="K270" s="40"/>
    </row>
    <row r="271" spans="1:11">
      <c r="A271" s="9"/>
      <c r="H271" s="40"/>
      <c r="K271" s="40"/>
    </row>
    <row r="272" spans="1:11">
      <c r="A272" s="9"/>
      <c r="H272" s="40"/>
      <c r="K272" s="40"/>
    </row>
    <row r="273" spans="1:11">
      <c r="A273" s="9"/>
      <c r="H273" s="40"/>
      <c r="K273" s="40"/>
    </row>
    <row r="274" spans="1:11">
      <c r="A274" s="9"/>
      <c r="H274" s="40"/>
      <c r="K274" s="40"/>
    </row>
    <row r="275" spans="1:11" s="36" customFormat="1">
      <c r="A275" s="16" t="str">
        <f>$A$83</f>
        <v xml:space="preserve">Institution No.:  </v>
      </c>
      <c r="E275" s="37"/>
      <c r="G275" s="38"/>
      <c r="H275" s="39"/>
      <c r="J275" s="38"/>
      <c r="K275" s="15" t="s">
        <v>115</v>
      </c>
    </row>
    <row r="276" spans="1:11" s="36" customFormat="1">
      <c r="E276" s="37" t="s">
        <v>116</v>
      </c>
      <c r="G276" s="38"/>
      <c r="H276" s="39"/>
      <c r="J276" s="38"/>
      <c r="K276" s="39"/>
    </row>
    <row r="277" spans="1:11">
      <c r="A277" s="16" t="str">
        <f>$A$42</f>
        <v xml:space="preserve">NAME: </v>
      </c>
      <c r="C277" s="137" t="str">
        <f>$D$20</f>
        <v>University of Colorado</v>
      </c>
      <c r="F277" s="32"/>
      <c r="G277" s="66"/>
      <c r="H277" s="67"/>
      <c r="J277" s="14"/>
      <c r="K277" s="18" t="str">
        <f>$K$3</f>
        <v>Date: October 09, 2017</v>
      </c>
    </row>
    <row r="278" spans="1:11">
      <c r="A278" s="19" t="s">
        <v>6</v>
      </c>
      <c r="B278" s="19" t="s">
        <v>6</v>
      </c>
      <c r="C278" s="19" t="s">
        <v>6</v>
      </c>
      <c r="D278" s="19" t="s">
        <v>6</v>
      </c>
      <c r="E278" s="19" t="s">
        <v>6</v>
      </c>
      <c r="F278" s="19" t="s">
        <v>6</v>
      </c>
      <c r="G278" s="20" t="s">
        <v>6</v>
      </c>
      <c r="H278" s="21" t="s">
        <v>6</v>
      </c>
      <c r="I278" s="19"/>
      <c r="J278" s="137"/>
      <c r="K278" s="21"/>
    </row>
    <row r="279" spans="1:11">
      <c r="A279" s="22" t="s">
        <v>7</v>
      </c>
      <c r="E279" s="22" t="s">
        <v>7</v>
      </c>
      <c r="F279" s="23"/>
      <c r="G279" s="24"/>
      <c r="H279" s="25" t="str">
        <f>H178</f>
        <v>2016-17</v>
      </c>
      <c r="I279" s="23"/>
      <c r="J279" s="137"/>
      <c r="K279" s="25"/>
    </row>
    <row r="280" spans="1:11" ht="21" customHeight="1">
      <c r="A280" s="22" t="s">
        <v>9</v>
      </c>
      <c r="C280" s="26" t="s">
        <v>51</v>
      </c>
      <c r="D280" s="68" t="s">
        <v>235</v>
      </c>
      <c r="E280" s="22" t="s">
        <v>9</v>
      </c>
      <c r="F280" s="23"/>
      <c r="G280" s="24" t="s">
        <v>11</v>
      </c>
      <c r="H280" s="25" t="s">
        <v>12</v>
      </c>
      <c r="I280" s="23"/>
      <c r="J280" s="137"/>
      <c r="K280" s="23"/>
    </row>
    <row r="281" spans="1:11">
      <c r="A281" s="19" t="s">
        <v>6</v>
      </c>
      <c r="B281" s="19" t="s">
        <v>6</v>
      </c>
      <c r="C281" s="19" t="s">
        <v>6</v>
      </c>
      <c r="D281" s="19" t="s">
        <v>6</v>
      </c>
      <c r="E281" s="19" t="s">
        <v>6</v>
      </c>
      <c r="F281" s="19" t="s">
        <v>6</v>
      </c>
      <c r="G281" s="20" t="s">
        <v>6</v>
      </c>
      <c r="H281" s="21" t="s">
        <v>6</v>
      </c>
      <c r="I281" s="19"/>
      <c r="J281" s="137"/>
      <c r="K281" s="19"/>
    </row>
    <row r="282" spans="1:11">
      <c r="A282" s="8">
        <v>1</v>
      </c>
      <c r="C282" s="9" t="s">
        <v>117</v>
      </c>
      <c r="E282" s="8">
        <v>1</v>
      </c>
      <c r="G282" s="14"/>
      <c r="H282" s="40"/>
      <c r="J282" s="137"/>
      <c r="K282" s="137"/>
    </row>
    <row r="283" spans="1:11">
      <c r="A283" s="8">
        <f>(A282+1)</f>
        <v>2</v>
      </c>
      <c r="C283" s="9" t="s">
        <v>118</v>
      </c>
      <c r="D283" s="9" t="s">
        <v>119</v>
      </c>
      <c r="E283" s="8">
        <f>(E282+1)</f>
        <v>2</v>
      </c>
      <c r="F283" s="10"/>
      <c r="G283" s="145">
        <v>69</v>
      </c>
      <c r="H283" s="145">
        <v>1358906</v>
      </c>
      <c r="I283" s="103"/>
      <c r="J283" s="137"/>
      <c r="K283" s="137"/>
    </row>
    <row r="284" spans="1:11">
      <c r="A284" s="8">
        <f>(A283+1)</f>
        <v>3</v>
      </c>
      <c r="D284" s="9" t="s">
        <v>120</v>
      </c>
      <c r="E284" s="8">
        <f>(E283+1)</f>
        <v>3</v>
      </c>
      <c r="F284" s="10"/>
      <c r="G284" s="145">
        <v>785</v>
      </c>
      <c r="H284" s="145">
        <v>9720067</v>
      </c>
      <c r="I284" s="103"/>
      <c r="J284" s="137"/>
      <c r="K284" s="137"/>
    </row>
    <row r="285" spans="1:11">
      <c r="A285" s="8">
        <v>4</v>
      </c>
      <c r="C285" s="9" t="s">
        <v>121</v>
      </c>
      <c r="D285" s="9" t="s">
        <v>122</v>
      </c>
      <c r="E285" s="8">
        <v>4</v>
      </c>
      <c r="F285" s="10"/>
      <c r="G285" s="145">
        <v>41</v>
      </c>
      <c r="H285" s="145">
        <v>1323993</v>
      </c>
      <c r="I285" s="103"/>
      <c r="J285" s="137"/>
      <c r="K285" s="137"/>
    </row>
    <row r="286" spans="1:11">
      <c r="A286" s="8">
        <f>(A285+1)</f>
        <v>5</v>
      </c>
      <c r="D286" s="9" t="s">
        <v>123</v>
      </c>
      <c r="E286" s="8">
        <f>(E285+1)</f>
        <v>5</v>
      </c>
      <c r="F286" s="10"/>
      <c r="G286" s="145">
        <v>504</v>
      </c>
      <c r="H286" s="145">
        <v>14902492</v>
      </c>
      <c r="I286" s="103"/>
      <c r="J286" s="137"/>
      <c r="K286" s="137"/>
    </row>
    <row r="287" spans="1:11">
      <c r="A287" s="8">
        <f>(A286+1)</f>
        <v>6</v>
      </c>
      <c r="C287" s="9" t="s">
        <v>124</v>
      </c>
      <c r="E287" s="8">
        <f>(E286+1)</f>
        <v>6</v>
      </c>
      <c r="G287" s="100">
        <f>SUM(G283:G286)</f>
        <v>1399</v>
      </c>
      <c r="H287" s="100">
        <f>SUM(H283:H286)</f>
        <v>27305458</v>
      </c>
      <c r="I287" s="100"/>
      <c r="J287" s="137"/>
      <c r="K287" s="137"/>
    </row>
    <row r="288" spans="1:11">
      <c r="A288" s="8">
        <f>(A287+1)</f>
        <v>7</v>
      </c>
      <c r="C288" s="9" t="s">
        <v>125</v>
      </c>
      <c r="E288" s="8">
        <f>(E287+1)</f>
        <v>7</v>
      </c>
      <c r="G288" s="96"/>
      <c r="H288" s="96"/>
      <c r="I288" s="100"/>
      <c r="J288" s="137"/>
      <c r="K288" s="137"/>
    </row>
    <row r="289" spans="1:11">
      <c r="A289" s="8">
        <f>(A288+1)</f>
        <v>8</v>
      </c>
      <c r="C289" s="9" t="s">
        <v>118</v>
      </c>
      <c r="D289" s="9" t="s">
        <v>119</v>
      </c>
      <c r="E289" s="8">
        <f>(E288+1)</f>
        <v>8</v>
      </c>
      <c r="F289" s="10"/>
      <c r="G289" s="145">
        <v>1157</v>
      </c>
      <c r="H289" s="145">
        <v>19897238</v>
      </c>
      <c r="I289" s="103"/>
      <c r="J289" s="137"/>
      <c r="K289" s="137"/>
    </row>
    <row r="290" spans="1:11">
      <c r="A290" s="8">
        <v>9</v>
      </c>
      <c r="D290" s="9" t="s">
        <v>120</v>
      </c>
      <c r="E290" s="8">
        <v>9</v>
      </c>
      <c r="F290" s="10"/>
      <c r="G290" s="145">
        <v>7361</v>
      </c>
      <c r="H290" s="145">
        <v>100210266</v>
      </c>
      <c r="I290" s="103"/>
      <c r="J290" s="137"/>
      <c r="K290" s="137"/>
    </row>
    <row r="291" spans="1:11">
      <c r="A291" s="8">
        <v>10</v>
      </c>
      <c r="C291" s="9" t="s">
        <v>121</v>
      </c>
      <c r="D291" s="9" t="s">
        <v>122</v>
      </c>
      <c r="E291" s="8">
        <v>10</v>
      </c>
      <c r="F291" s="10"/>
      <c r="G291" s="145">
        <v>734</v>
      </c>
      <c r="H291" s="145">
        <v>25473282</v>
      </c>
      <c r="I291" s="103"/>
      <c r="J291" s="137"/>
      <c r="K291" s="137"/>
    </row>
    <row r="292" spans="1:11">
      <c r="A292" s="8">
        <f>(A291+1)</f>
        <v>11</v>
      </c>
      <c r="D292" s="9" t="s">
        <v>123</v>
      </c>
      <c r="E292" s="8">
        <f>(E291+1)</f>
        <v>11</v>
      </c>
      <c r="F292" s="10"/>
      <c r="G292" s="145">
        <v>5126</v>
      </c>
      <c r="H292" s="145">
        <v>174869664</v>
      </c>
      <c r="I292" s="103"/>
      <c r="J292" s="137"/>
      <c r="K292" s="137"/>
    </row>
    <row r="293" spans="1:11">
      <c r="A293" s="8">
        <f>(A292+1)</f>
        <v>12</v>
      </c>
      <c r="C293" s="9" t="s">
        <v>126</v>
      </c>
      <c r="E293" s="8">
        <f>(E292+1)</f>
        <v>12</v>
      </c>
      <c r="G293" s="100">
        <f>SUM(G289:G292)</f>
        <v>14378</v>
      </c>
      <c r="H293" s="100">
        <f>SUM(H289:H292)</f>
        <v>320450450</v>
      </c>
      <c r="I293" s="100"/>
      <c r="J293" s="137"/>
      <c r="K293" s="137"/>
    </row>
    <row r="294" spans="1:11">
      <c r="A294" s="8">
        <f>(A293+1)</f>
        <v>13</v>
      </c>
      <c r="C294" s="9" t="s">
        <v>127</v>
      </c>
      <c r="E294" s="8">
        <f>(E293+1)</f>
        <v>13</v>
      </c>
      <c r="G294" s="96"/>
      <c r="H294" s="96"/>
      <c r="I294" s="100"/>
      <c r="J294" s="137"/>
      <c r="K294" s="137"/>
    </row>
    <row r="295" spans="1:11">
      <c r="A295" s="8">
        <f>(A294+1)</f>
        <v>14</v>
      </c>
      <c r="C295" s="9" t="s">
        <v>118</v>
      </c>
      <c r="D295" s="9" t="s">
        <v>119</v>
      </c>
      <c r="E295" s="8">
        <f>(E294+1)</f>
        <v>14</v>
      </c>
      <c r="F295" s="10"/>
      <c r="G295" s="145"/>
      <c r="H295" s="145">
        <v>0</v>
      </c>
      <c r="I295" s="103"/>
      <c r="J295" s="137"/>
      <c r="K295" s="137"/>
    </row>
    <row r="296" spans="1:11">
      <c r="A296" s="8">
        <v>15</v>
      </c>
      <c r="C296" s="9"/>
      <c r="D296" s="9" t="s">
        <v>120</v>
      </c>
      <c r="E296" s="8">
        <v>15</v>
      </c>
      <c r="F296" s="10"/>
      <c r="G296" s="145"/>
      <c r="H296" s="145">
        <v>0</v>
      </c>
      <c r="I296" s="103"/>
      <c r="J296" s="137"/>
      <c r="K296" s="137"/>
    </row>
    <row r="297" spans="1:11">
      <c r="A297" s="8">
        <v>16</v>
      </c>
      <c r="C297" s="9" t="s">
        <v>121</v>
      </c>
      <c r="D297" s="9" t="s">
        <v>122</v>
      </c>
      <c r="E297" s="8">
        <v>16</v>
      </c>
      <c r="F297" s="10"/>
      <c r="G297" s="145"/>
      <c r="H297" s="145">
        <v>0</v>
      </c>
      <c r="I297" s="103"/>
      <c r="J297" s="137"/>
      <c r="K297" s="137"/>
    </row>
    <row r="298" spans="1:11">
      <c r="A298" s="8">
        <v>17</v>
      </c>
      <c r="C298" s="9"/>
      <c r="D298" s="9" t="s">
        <v>123</v>
      </c>
      <c r="E298" s="8">
        <v>17</v>
      </c>
      <c r="G298" s="146"/>
      <c r="H298" s="146">
        <v>0</v>
      </c>
      <c r="I298" s="100"/>
      <c r="J298" s="137"/>
      <c r="K298" s="137"/>
    </row>
    <row r="299" spans="1:11">
      <c r="A299" s="8">
        <v>18</v>
      </c>
      <c r="C299" s="9" t="s">
        <v>128</v>
      </c>
      <c r="D299" s="9"/>
      <c r="E299" s="8">
        <v>18</v>
      </c>
      <c r="G299" s="100">
        <f>SUM(G295:G298)</f>
        <v>0</v>
      </c>
      <c r="H299" s="100">
        <f>SUM(H295:H298)</f>
        <v>0</v>
      </c>
      <c r="I299" s="100"/>
      <c r="J299" s="137"/>
      <c r="K299" s="137"/>
    </row>
    <row r="300" spans="1:11">
      <c r="A300" s="8">
        <v>19</v>
      </c>
      <c r="C300" s="9" t="s">
        <v>129</v>
      </c>
      <c r="D300" s="9"/>
      <c r="E300" s="8">
        <v>19</v>
      </c>
      <c r="G300" s="100"/>
      <c r="H300" s="100"/>
      <c r="I300" s="100"/>
      <c r="J300" s="137"/>
      <c r="K300" s="137"/>
    </row>
    <row r="301" spans="1:11">
      <c r="A301" s="8">
        <v>20</v>
      </c>
      <c r="C301" s="9" t="s">
        <v>118</v>
      </c>
      <c r="D301" s="9" t="s">
        <v>119</v>
      </c>
      <c r="E301" s="8">
        <v>20</v>
      </c>
      <c r="F301" s="69"/>
      <c r="G301" s="145">
        <v>1132</v>
      </c>
      <c r="H301" s="145">
        <v>19738239</v>
      </c>
      <c r="I301" s="103"/>
      <c r="J301" s="137"/>
      <c r="K301" s="137"/>
    </row>
    <row r="302" spans="1:11">
      <c r="A302" s="8">
        <v>21</v>
      </c>
      <c r="C302" s="9"/>
      <c r="D302" s="9" t="s">
        <v>120</v>
      </c>
      <c r="E302" s="8">
        <v>21</v>
      </c>
      <c r="F302" s="69"/>
      <c r="G302" s="145">
        <v>6975</v>
      </c>
      <c r="H302" s="145">
        <v>94858731</v>
      </c>
      <c r="I302" s="103"/>
      <c r="J302" s="137"/>
      <c r="K302" s="137"/>
    </row>
    <row r="303" spans="1:11">
      <c r="A303" s="8">
        <v>22</v>
      </c>
      <c r="C303" s="9" t="s">
        <v>121</v>
      </c>
      <c r="D303" s="9" t="s">
        <v>122</v>
      </c>
      <c r="E303" s="8">
        <v>22</v>
      </c>
      <c r="F303" s="69"/>
      <c r="G303" s="145">
        <v>656</v>
      </c>
      <c r="H303" s="145">
        <v>22862785</v>
      </c>
      <c r="I303" s="103"/>
      <c r="J303" s="137"/>
      <c r="K303" s="137"/>
    </row>
    <row r="304" spans="1:11">
      <c r="A304" s="8">
        <v>23</v>
      </c>
      <c r="D304" s="9" t="s">
        <v>123</v>
      </c>
      <c r="E304" s="8">
        <v>23</v>
      </c>
      <c r="F304" s="69"/>
      <c r="G304" s="145">
        <v>4781</v>
      </c>
      <c r="H304" s="145">
        <v>162853900</v>
      </c>
      <c r="I304" s="103"/>
      <c r="J304" s="137"/>
      <c r="K304" s="137"/>
    </row>
    <row r="305" spans="1:11">
      <c r="A305" s="8">
        <v>24</v>
      </c>
      <c r="C305" s="9" t="s">
        <v>130</v>
      </c>
      <c r="E305" s="8">
        <v>24</v>
      </c>
      <c r="F305" s="57"/>
      <c r="G305" s="96">
        <f>SUM(G301:G304)</f>
        <v>13544</v>
      </c>
      <c r="H305" s="96">
        <f>SUM(H301:H304)</f>
        <v>300313655</v>
      </c>
      <c r="I305" s="96"/>
      <c r="J305" s="137"/>
      <c r="K305" s="137"/>
    </row>
    <row r="306" spans="1:11">
      <c r="A306" s="8">
        <v>25</v>
      </c>
      <c r="C306" s="9" t="s">
        <v>131</v>
      </c>
      <c r="E306" s="8">
        <v>25</v>
      </c>
      <c r="G306" s="100"/>
      <c r="H306" s="100"/>
      <c r="I306" s="100"/>
      <c r="J306" s="137"/>
      <c r="K306" s="137"/>
    </row>
    <row r="307" spans="1:11">
      <c r="A307" s="8">
        <v>26</v>
      </c>
      <c r="C307" s="9" t="s">
        <v>118</v>
      </c>
      <c r="D307" s="9" t="s">
        <v>119</v>
      </c>
      <c r="E307" s="8">
        <v>26</v>
      </c>
      <c r="G307" s="100">
        <f>G283+G289+G295+G301</f>
        <v>2358</v>
      </c>
      <c r="H307" s="100">
        <f t="shared" ref="G307:H310" si="0">H283+H289+H295+H301</f>
        <v>40994383</v>
      </c>
      <c r="I307" s="100"/>
      <c r="J307" s="137"/>
      <c r="K307" s="99"/>
    </row>
    <row r="308" spans="1:11">
      <c r="A308" s="8">
        <v>27</v>
      </c>
      <c r="C308" s="9"/>
      <c r="D308" s="9" t="s">
        <v>120</v>
      </c>
      <c r="E308" s="8">
        <v>27</v>
      </c>
      <c r="G308" s="100">
        <f>G284+G290+G296+G302</f>
        <v>15121</v>
      </c>
      <c r="H308" s="100">
        <f t="shared" si="0"/>
        <v>204789064</v>
      </c>
      <c r="I308" s="100"/>
      <c r="J308" s="137"/>
      <c r="K308" s="99"/>
    </row>
    <row r="309" spans="1:11">
      <c r="A309" s="8">
        <v>28</v>
      </c>
      <c r="C309" s="9" t="s">
        <v>121</v>
      </c>
      <c r="D309" s="9" t="s">
        <v>122</v>
      </c>
      <c r="E309" s="8">
        <v>28</v>
      </c>
      <c r="G309" s="100">
        <f>G285+G291+G297+G303</f>
        <v>1431</v>
      </c>
      <c r="H309" s="100">
        <f t="shared" si="0"/>
        <v>49660060</v>
      </c>
      <c r="I309" s="100"/>
      <c r="J309" s="137"/>
      <c r="K309" s="99"/>
    </row>
    <row r="310" spans="1:11">
      <c r="A310" s="8">
        <v>29</v>
      </c>
      <c r="D310" s="9" t="s">
        <v>123</v>
      </c>
      <c r="E310" s="8">
        <v>29</v>
      </c>
      <c r="G310" s="100">
        <f t="shared" si="0"/>
        <v>10411</v>
      </c>
      <c r="H310" s="100">
        <f t="shared" si="0"/>
        <v>352626056</v>
      </c>
      <c r="I310" s="100"/>
      <c r="J310" s="137"/>
      <c r="K310" s="99"/>
    </row>
    <row r="311" spans="1:11">
      <c r="A311" s="8">
        <v>30</v>
      </c>
      <c r="E311" s="8">
        <v>30</v>
      </c>
      <c r="G311" s="96"/>
      <c r="H311" s="96"/>
      <c r="I311" s="100"/>
      <c r="J311" s="137"/>
      <c r="K311" s="97"/>
    </row>
    <row r="312" spans="1:11">
      <c r="A312" s="8">
        <v>31</v>
      </c>
      <c r="C312" s="9" t="s">
        <v>132</v>
      </c>
      <c r="E312" s="8">
        <v>31</v>
      </c>
      <c r="G312" s="100">
        <f>SUM(G307:G308)</f>
        <v>17479</v>
      </c>
      <c r="H312" s="100">
        <f>SUM(H307:H308)</f>
        <v>245783447</v>
      </c>
      <c r="I312" s="100"/>
      <c r="J312" s="137"/>
      <c r="K312" s="99"/>
    </row>
    <row r="313" spans="1:11">
      <c r="A313" s="8">
        <v>32</v>
      </c>
      <c r="C313" s="9" t="s">
        <v>133</v>
      </c>
      <c r="E313" s="8">
        <v>32</v>
      </c>
      <c r="G313" s="100">
        <f>SUM(G309:G310)</f>
        <v>11842</v>
      </c>
      <c r="H313" s="100">
        <f>SUM(H309:H310)</f>
        <v>402286116</v>
      </c>
      <c r="I313" s="100"/>
      <c r="J313" s="137"/>
      <c r="K313" s="99"/>
    </row>
    <row r="314" spans="1:11">
      <c r="A314" s="8">
        <v>33</v>
      </c>
      <c r="C314" s="9" t="s">
        <v>134</v>
      </c>
      <c r="E314" s="8">
        <v>33</v>
      </c>
      <c r="F314" s="57"/>
      <c r="G314" s="96">
        <f>SUM(G307,G309)</f>
        <v>3789</v>
      </c>
      <c r="H314" s="96">
        <f>SUM(H307,H309)</f>
        <v>90654443</v>
      </c>
      <c r="I314" s="96"/>
      <c r="J314" s="137"/>
      <c r="K314" s="97"/>
    </row>
    <row r="315" spans="1:11">
      <c r="A315" s="8">
        <v>34</v>
      </c>
      <c r="C315" s="9" t="s">
        <v>135</v>
      </c>
      <c r="E315" s="8">
        <v>34</v>
      </c>
      <c r="F315" s="57"/>
      <c r="G315" s="96">
        <f>SUM(G308,G310)</f>
        <v>25532</v>
      </c>
      <c r="H315" s="96">
        <f>SUM(H308,H310)</f>
        <v>557415120</v>
      </c>
      <c r="I315" s="96"/>
      <c r="J315" s="137"/>
      <c r="K315" s="97"/>
    </row>
    <row r="316" spans="1:11">
      <c r="A316" s="9"/>
      <c r="C316" s="19" t="s">
        <v>6</v>
      </c>
      <c r="D316" s="19" t="s">
        <v>6</v>
      </c>
      <c r="E316" s="19" t="s">
        <v>6</v>
      </c>
      <c r="F316" s="19" t="s">
        <v>6</v>
      </c>
      <c r="G316" s="19" t="s">
        <v>6</v>
      </c>
      <c r="H316" s="19" t="s">
        <v>6</v>
      </c>
      <c r="I316" s="19"/>
      <c r="J316" s="19"/>
      <c r="K316" s="19"/>
    </row>
    <row r="317" spans="1:11">
      <c r="A317" s="8">
        <v>35</v>
      </c>
      <c r="C317" s="137" t="s">
        <v>136</v>
      </c>
      <c r="E317" s="8">
        <v>35</v>
      </c>
      <c r="G317" s="100">
        <f>SUM(G314:G315)</f>
        <v>29321</v>
      </c>
      <c r="H317" s="100">
        <f>SUM(H314:H315)</f>
        <v>648069563</v>
      </c>
      <c r="I317" s="100"/>
      <c r="J317" s="100"/>
      <c r="K317" s="99"/>
    </row>
    <row r="318" spans="1:11">
      <c r="C318" s="9" t="s">
        <v>238</v>
      </c>
      <c r="F318" s="70" t="s">
        <v>6</v>
      </c>
      <c r="G318" s="20"/>
      <c r="H318" s="21"/>
      <c r="I318" s="70"/>
      <c r="J318" s="70"/>
      <c r="K318" s="20"/>
    </row>
    <row r="319" spans="1:11">
      <c r="C319" s="9"/>
      <c r="F319" s="70"/>
      <c r="G319" s="20"/>
      <c r="H319" s="21"/>
      <c r="I319" s="70"/>
      <c r="J319" s="137"/>
      <c r="K319" s="137"/>
    </row>
    <row r="320" spans="1:11">
      <c r="J320" s="137"/>
      <c r="K320" s="137"/>
    </row>
    <row r="321" spans="1:11" ht="36" customHeight="1">
      <c r="A321" s="137">
        <v>36</v>
      </c>
      <c r="B321" s="33"/>
      <c r="C321" s="221" t="s">
        <v>233</v>
      </c>
      <c r="D321" s="221"/>
      <c r="E321" s="221"/>
      <c r="F321" s="221"/>
      <c r="G321" s="221"/>
      <c r="H321" s="221"/>
      <c r="I321" s="221"/>
      <c r="J321" s="221"/>
      <c r="K321" s="137"/>
    </row>
    <row r="322" spans="1:11">
      <c r="C322" s="137" t="s">
        <v>137</v>
      </c>
      <c r="F322" s="70"/>
      <c r="G322" s="20"/>
      <c r="H322" s="40"/>
      <c r="I322" s="70"/>
      <c r="J322" s="20"/>
      <c r="K322" s="40"/>
    </row>
    <row r="323" spans="1:11">
      <c r="C323" s="137" t="s">
        <v>2</v>
      </c>
      <c r="F323" s="70"/>
      <c r="G323" s="20"/>
      <c r="H323" s="40"/>
      <c r="I323" s="70"/>
      <c r="J323" s="20"/>
      <c r="K323" s="40"/>
    </row>
    <row r="324" spans="1:11">
      <c r="A324" s="9"/>
    </row>
    <row r="325" spans="1:11" s="36" customFormat="1">
      <c r="A325" s="16" t="str">
        <f>$A$83</f>
        <v xml:space="preserve">Institution No.:  </v>
      </c>
      <c r="E325" s="37"/>
      <c r="G325" s="38"/>
      <c r="H325" s="39"/>
      <c r="J325" s="38"/>
      <c r="K325" s="71" t="s">
        <v>138</v>
      </c>
    </row>
    <row r="326" spans="1:11" s="36" customFormat="1" ht="14.25">
      <c r="D326" s="58" t="s">
        <v>246</v>
      </c>
      <c r="E326" s="37"/>
      <c r="G326" s="38"/>
      <c r="H326" s="39"/>
      <c r="J326" s="38"/>
      <c r="K326" s="39"/>
    </row>
    <row r="327" spans="1:11">
      <c r="A327" s="16" t="str">
        <f>$A$42</f>
        <v xml:space="preserve">NAME: </v>
      </c>
      <c r="C327" s="137" t="str">
        <f>$D$20</f>
        <v>University of Colorado</v>
      </c>
      <c r="F327" s="72"/>
      <c r="G327" s="66"/>
      <c r="H327" s="67"/>
      <c r="J327" s="14"/>
      <c r="K327" s="18" t="str">
        <f>$K$3</f>
        <v>Date: October 09, 2017</v>
      </c>
    </row>
    <row r="328" spans="1:11">
      <c r="A328" s="19" t="s">
        <v>6</v>
      </c>
      <c r="B328" s="19" t="s">
        <v>6</v>
      </c>
      <c r="C328" s="19" t="s">
        <v>6</v>
      </c>
      <c r="D328" s="19" t="s">
        <v>6</v>
      </c>
      <c r="E328" s="19" t="s">
        <v>6</v>
      </c>
      <c r="F328" s="19" t="s">
        <v>6</v>
      </c>
      <c r="G328" s="20" t="s">
        <v>6</v>
      </c>
      <c r="H328" s="21" t="s">
        <v>6</v>
      </c>
      <c r="I328" s="19" t="s">
        <v>6</v>
      </c>
      <c r="J328" s="20" t="s">
        <v>6</v>
      </c>
      <c r="K328" s="21" t="s">
        <v>6</v>
      </c>
    </row>
    <row r="329" spans="1:11">
      <c r="A329" s="22" t="s">
        <v>7</v>
      </c>
      <c r="E329" s="22" t="s">
        <v>7</v>
      </c>
      <c r="G329" s="24"/>
      <c r="H329" s="25" t="str">
        <f>H279</f>
        <v>2016-17</v>
      </c>
      <c r="I329" s="23"/>
      <c r="J329" s="24"/>
      <c r="K329" s="25" t="s">
        <v>261</v>
      </c>
    </row>
    <row r="330" spans="1:11">
      <c r="A330" s="22" t="s">
        <v>9</v>
      </c>
      <c r="C330" s="26" t="s">
        <v>51</v>
      </c>
      <c r="E330" s="22" t="s">
        <v>9</v>
      </c>
      <c r="G330" s="14"/>
      <c r="H330" s="25" t="s">
        <v>12</v>
      </c>
      <c r="J330" s="14"/>
      <c r="K330" s="25" t="s">
        <v>13</v>
      </c>
    </row>
    <row r="331" spans="1:11">
      <c r="A331" s="19" t="s">
        <v>6</v>
      </c>
      <c r="B331" s="19" t="s">
        <v>6</v>
      </c>
      <c r="C331" s="19" t="s">
        <v>6</v>
      </c>
      <c r="D331" s="19" t="s">
        <v>6</v>
      </c>
      <c r="E331" s="19" t="s">
        <v>6</v>
      </c>
      <c r="F331" s="19" t="s">
        <v>6</v>
      </c>
      <c r="G331" s="20" t="s">
        <v>6</v>
      </c>
      <c r="H331" s="21" t="s">
        <v>6</v>
      </c>
      <c r="I331" s="19" t="s">
        <v>6</v>
      </c>
      <c r="J331" s="20" t="s">
        <v>6</v>
      </c>
      <c r="K331" s="21" t="s">
        <v>6</v>
      </c>
    </row>
    <row r="332" spans="1:11" ht="13.5">
      <c r="A332" s="73">
        <v>1</v>
      </c>
      <c r="C332" s="9" t="s">
        <v>247</v>
      </c>
      <c r="E332" s="73">
        <v>1</v>
      </c>
      <c r="G332" s="14"/>
      <c r="H332" s="40" t="s">
        <v>226</v>
      </c>
      <c r="J332" s="14"/>
      <c r="K332" s="40" t="s">
        <v>226</v>
      </c>
    </row>
    <row r="333" spans="1:11">
      <c r="A333" s="73">
        <v>2</v>
      </c>
      <c r="C333" s="9"/>
      <c r="E333" s="73">
        <v>2</v>
      </c>
      <c r="G333" s="14"/>
      <c r="H333" s="147">
        <v>0</v>
      </c>
      <c r="J333" s="14"/>
      <c r="K333" s="147">
        <v>0</v>
      </c>
    </row>
    <row r="334" spans="1:11" ht="13.5">
      <c r="A334" s="137">
        <v>3</v>
      </c>
      <c r="C334" s="137" t="s">
        <v>248</v>
      </c>
      <c r="E334" s="137">
        <v>3</v>
      </c>
      <c r="F334" s="40"/>
      <c r="G334" s="40"/>
      <c r="H334" s="40" t="s">
        <v>226</v>
      </c>
      <c r="I334" s="40"/>
      <c r="J334" s="40"/>
      <c r="K334" s="40" t="s">
        <v>226</v>
      </c>
    </row>
    <row r="335" spans="1:11">
      <c r="A335" s="73">
        <v>4</v>
      </c>
      <c r="C335" s="137" t="s">
        <v>139</v>
      </c>
      <c r="E335" s="73">
        <v>4</v>
      </c>
      <c r="F335" s="40"/>
      <c r="G335" s="40"/>
      <c r="H335" s="147"/>
      <c r="I335" s="40"/>
      <c r="J335" s="40"/>
      <c r="K335" s="147"/>
    </row>
    <row r="336" spans="1:11">
      <c r="A336" s="73">
        <v>5</v>
      </c>
      <c r="C336" s="137" t="s">
        <v>140</v>
      </c>
      <c r="E336" s="73">
        <v>5</v>
      </c>
      <c r="F336" s="40"/>
      <c r="G336" s="40"/>
      <c r="H336" s="147"/>
      <c r="I336" s="40"/>
      <c r="J336" s="40"/>
      <c r="K336" s="147"/>
    </row>
    <row r="337" spans="1:11">
      <c r="A337" s="73">
        <v>6</v>
      </c>
      <c r="E337" s="73">
        <v>6</v>
      </c>
      <c r="F337" s="40"/>
      <c r="G337" s="40"/>
      <c r="H337" s="147"/>
      <c r="I337" s="40"/>
      <c r="J337" s="40"/>
      <c r="K337" s="147"/>
    </row>
    <row r="338" spans="1:11">
      <c r="A338" s="73">
        <v>7</v>
      </c>
      <c r="E338" s="73">
        <v>7</v>
      </c>
      <c r="F338" s="40"/>
      <c r="G338" s="40"/>
      <c r="H338" s="147"/>
      <c r="I338" s="40"/>
      <c r="J338" s="40"/>
      <c r="K338" s="147"/>
    </row>
    <row r="339" spans="1:11">
      <c r="A339" s="73">
        <v>8</v>
      </c>
      <c r="E339" s="73">
        <v>8</v>
      </c>
      <c r="F339" s="40"/>
      <c r="G339" s="40"/>
      <c r="H339" s="147"/>
      <c r="I339" s="40"/>
      <c r="J339" s="40"/>
      <c r="K339" s="147"/>
    </row>
    <row r="340" spans="1:11">
      <c r="A340" s="73">
        <v>9</v>
      </c>
      <c r="E340" s="73">
        <v>9</v>
      </c>
      <c r="F340" s="40"/>
      <c r="G340" s="40"/>
      <c r="H340" s="147"/>
      <c r="I340" s="40"/>
      <c r="J340" s="40"/>
      <c r="K340" s="147"/>
    </row>
    <row r="341" spans="1:11">
      <c r="A341" s="73">
        <v>10</v>
      </c>
      <c r="E341" s="73">
        <v>10</v>
      </c>
      <c r="F341" s="40"/>
      <c r="G341" s="40"/>
      <c r="H341" s="147"/>
      <c r="I341" s="40"/>
      <c r="J341" s="40"/>
      <c r="K341" s="147"/>
    </row>
    <row r="342" spans="1:11">
      <c r="A342" s="73">
        <v>11</v>
      </c>
      <c r="E342" s="73">
        <v>11</v>
      </c>
      <c r="F342" s="40"/>
      <c r="G342" s="40"/>
      <c r="H342" s="147"/>
      <c r="I342" s="40"/>
      <c r="J342" s="40"/>
      <c r="K342" s="147"/>
    </row>
    <row r="343" spans="1:11">
      <c r="A343" s="73">
        <v>12</v>
      </c>
      <c r="E343" s="73">
        <v>12</v>
      </c>
      <c r="F343" s="40"/>
      <c r="G343" s="40"/>
      <c r="H343" s="147"/>
      <c r="I343" s="40"/>
      <c r="J343" s="40"/>
      <c r="K343" s="147"/>
    </row>
    <row r="344" spans="1:11">
      <c r="A344" s="73">
        <v>13</v>
      </c>
      <c r="E344" s="73">
        <v>13</v>
      </c>
      <c r="F344" s="40"/>
      <c r="G344" s="40"/>
      <c r="H344" s="147"/>
      <c r="I344" s="40"/>
      <c r="J344" s="40"/>
      <c r="K344" s="147"/>
    </row>
    <row r="345" spans="1:11">
      <c r="A345" s="73">
        <v>14</v>
      </c>
      <c r="C345" s="74" t="s">
        <v>38</v>
      </c>
      <c r="D345" s="75"/>
      <c r="E345" s="73">
        <v>14</v>
      </c>
      <c r="F345" s="40"/>
      <c r="G345" s="40"/>
      <c r="H345" s="147"/>
      <c r="I345" s="40"/>
      <c r="J345" s="40"/>
      <c r="K345" s="147"/>
    </row>
    <row r="346" spans="1:11">
      <c r="A346" s="73">
        <v>15</v>
      </c>
      <c r="C346" s="74"/>
      <c r="D346" s="75"/>
      <c r="E346" s="73">
        <v>15</v>
      </c>
      <c r="F346" s="40"/>
      <c r="G346" s="40"/>
      <c r="H346" s="147"/>
      <c r="I346" s="40"/>
      <c r="J346" s="40"/>
      <c r="K346" s="147"/>
    </row>
    <row r="347" spans="1:11">
      <c r="A347" s="73">
        <v>16</v>
      </c>
      <c r="E347" s="73">
        <v>16</v>
      </c>
      <c r="F347" s="40"/>
      <c r="G347" s="40"/>
      <c r="H347" s="147"/>
      <c r="I347" s="40"/>
      <c r="J347" s="40"/>
      <c r="K347" s="147"/>
    </row>
    <row r="348" spans="1:11">
      <c r="A348" s="73">
        <v>17</v>
      </c>
      <c r="C348" s="9" t="s">
        <v>38</v>
      </c>
      <c r="E348" s="73">
        <v>17</v>
      </c>
      <c r="F348" s="40"/>
      <c r="G348" s="40"/>
      <c r="H348" s="147"/>
      <c r="I348" s="40"/>
      <c r="J348" s="40"/>
      <c r="K348" s="147"/>
    </row>
    <row r="349" spans="1:11">
      <c r="A349" s="73">
        <v>18</v>
      </c>
      <c r="E349" s="73">
        <v>18</v>
      </c>
      <c r="F349" s="40"/>
      <c r="G349" s="40"/>
      <c r="H349" s="147"/>
      <c r="I349" s="40"/>
      <c r="J349" s="40" t="s">
        <v>38</v>
      </c>
      <c r="K349" s="147"/>
    </row>
    <row r="350" spans="1:11">
      <c r="A350" s="73">
        <v>19</v>
      </c>
      <c r="E350" s="73">
        <v>19</v>
      </c>
      <c r="F350" s="40"/>
      <c r="G350" s="40"/>
      <c r="H350" s="147"/>
      <c r="I350" s="40"/>
      <c r="J350" s="40"/>
      <c r="K350" s="147"/>
    </row>
    <row r="351" spans="1:11">
      <c r="A351" s="73"/>
      <c r="C351" s="74"/>
      <c r="E351" s="73"/>
      <c r="F351" s="70" t="s">
        <v>6</v>
      </c>
      <c r="G351" s="20" t="s">
        <v>6</v>
      </c>
      <c r="H351" s="21" t="s">
        <v>6</v>
      </c>
      <c r="I351" s="70" t="s">
        <v>6</v>
      </c>
      <c r="J351" s="20" t="s">
        <v>6</v>
      </c>
      <c r="K351" s="21" t="s">
        <v>6</v>
      </c>
    </row>
    <row r="352" spans="1:11">
      <c r="A352" s="73">
        <v>20</v>
      </c>
      <c r="C352" s="74" t="s">
        <v>141</v>
      </c>
      <c r="E352" s="73">
        <v>20</v>
      </c>
      <c r="G352" s="96"/>
      <c r="H352" s="100">
        <f>SUM(H332:H350)</f>
        <v>0</v>
      </c>
      <c r="I352" s="100"/>
      <c r="J352" s="96"/>
      <c r="K352" s="100">
        <f>SUM(K332:K350)</f>
        <v>0</v>
      </c>
    </row>
    <row r="353" spans="1:11">
      <c r="A353" s="76"/>
      <c r="C353" s="9"/>
      <c r="E353" s="35"/>
      <c r="F353" s="70" t="s">
        <v>6</v>
      </c>
      <c r="G353" s="20" t="s">
        <v>6</v>
      </c>
      <c r="H353" s="21" t="s">
        <v>6</v>
      </c>
      <c r="I353" s="70" t="s">
        <v>6</v>
      </c>
      <c r="J353" s="20" t="s">
        <v>6</v>
      </c>
      <c r="K353" s="21" t="s">
        <v>6</v>
      </c>
    </row>
    <row r="354" spans="1:11" ht="13.5">
      <c r="C354" s="137" t="s">
        <v>254</v>
      </c>
      <c r="F354" s="70"/>
      <c r="G354" s="20"/>
      <c r="H354" s="40"/>
      <c r="I354" s="70"/>
      <c r="J354" s="20"/>
      <c r="K354" s="40"/>
    </row>
    <row r="355" spans="1:11" ht="13.5">
      <c r="C355" s="137" t="s">
        <v>253</v>
      </c>
      <c r="F355" s="70"/>
      <c r="G355" s="20"/>
      <c r="H355" s="40"/>
      <c r="I355" s="70"/>
      <c r="J355" s="20"/>
      <c r="K355" s="40"/>
    </row>
    <row r="356" spans="1:11" ht="13.5">
      <c r="A356" s="9"/>
      <c r="C356" s="137" t="s">
        <v>255</v>
      </c>
    </row>
    <row r="357" spans="1:11">
      <c r="A357" s="9"/>
      <c r="C357" s="137" t="s">
        <v>240</v>
      </c>
    </row>
    <row r="358" spans="1:11" s="36" customFormat="1">
      <c r="A358" s="16" t="str">
        <f>$A$83</f>
        <v xml:space="preserve">Institution No.:  </v>
      </c>
      <c r="E358" s="37"/>
      <c r="G358" s="38"/>
      <c r="H358" s="39"/>
      <c r="J358" s="38"/>
      <c r="K358" s="15" t="s">
        <v>142</v>
      </c>
    </row>
    <row r="359" spans="1:11" s="36" customFormat="1" ht="14.25">
      <c r="D359" s="58" t="s">
        <v>241</v>
      </c>
      <c r="E359" s="37"/>
      <c r="G359" s="38"/>
      <c r="H359" s="39"/>
      <c r="J359" s="38"/>
      <c r="K359" s="39"/>
    </row>
    <row r="360" spans="1:11">
      <c r="A360" s="16" t="str">
        <f>$A$42</f>
        <v xml:space="preserve">NAME: </v>
      </c>
      <c r="C360" s="137" t="str">
        <f>$D$20</f>
        <v>University of Colorado</v>
      </c>
      <c r="F360" s="72"/>
      <c r="G360" s="66"/>
      <c r="H360" s="40"/>
      <c r="J360" s="14"/>
      <c r="K360" s="18" t="str">
        <f>$K$3</f>
        <v>Date: October 09, 2017</v>
      </c>
    </row>
    <row r="361" spans="1:11">
      <c r="A361" s="19" t="s">
        <v>6</v>
      </c>
      <c r="B361" s="19" t="s">
        <v>6</v>
      </c>
      <c r="C361" s="19" t="s">
        <v>6</v>
      </c>
      <c r="D361" s="19" t="s">
        <v>6</v>
      </c>
      <c r="E361" s="19" t="s">
        <v>6</v>
      </c>
      <c r="F361" s="19" t="s">
        <v>6</v>
      </c>
      <c r="G361" s="20" t="s">
        <v>6</v>
      </c>
      <c r="H361" s="21" t="s">
        <v>6</v>
      </c>
      <c r="I361" s="19" t="s">
        <v>6</v>
      </c>
      <c r="J361" s="20" t="s">
        <v>6</v>
      </c>
      <c r="K361" s="21" t="s">
        <v>6</v>
      </c>
    </row>
    <row r="362" spans="1:11">
      <c r="A362" s="22" t="s">
        <v>7</v>
      </c>
      <c r="E362" s="22" t="s">
        <v>7</v>
      </c>
      <c r="G362" s="24"/>
      <c r="H362" s="25" t="str">
        <f>H329</f>
        <v>2016-17</v>
      </c>
      <c r="I362" s="23"/>
      <c r="J362" s="24"/>
      <c r="K362" s="25" t="str">
        <f>K329</f>
        <v>2017-18</v>
      </c>
    </row>
    <row r="363" spans="1:11">
      <c r="A363" s="22" t="s">
        <v>9</v>
      </c>
      <c r="C363" s="26" t="s">
        <v>51</v>
      </c>
      <c r="E363" s="22" t="s">
        <v>9</v>
      </c>
      <c r="G363" s="14"/>
      <c r="H363" s="25" t="s">
        <v>12</v>
      </c>
      <c r="J363" s="14"/>
      <c r="K363" s="25" t="s">
        <v>13</v>
      </c>
    </row>
    <row r="364" spans="1:11">
      <c r="A364" s="19" t="s">
        <v>6</v>
      </c>
      <c r="B364" s="19" t="s">
        <v>6</v>
      </c>
      <c r="C364" s="19" t="s">
        <v>6</v>
      </c>
      <c r="D364" s="19" t="s">
        <v>6</v>
      </c>
      <c r="E364" s="19" t="s">
        <v>6</v>
      </c>
      <c r="F364" s="19" t="s">
        <v>6</v>
      </c>
      <c r="G364" s="20" t="s">
        <v>6</v>
      </c>
      <c r="H364" s="21" t="s">
        <v>6</v>
      </c>
      <c r="I364" s="19" t="s">
        <v>6</v>
      </c>
      <c r="J364" s="20" t="s">
        <v>6</v>
      </c>
      <c r="K364" s="21" t="s">
        <v>6</v>
      </c>
    </row>
    <row r="365" spans="1:11">
      <c r="A365" s="73"/>
      <c r="C365" s="31" t="s">
        <v>143</v>
      </c>
      <c r="E365" s="73"/>
      <c r="G365" s="96"/>
      <c r="H365" s="96"/>
      <c r="I365" s="100"/>
      <c r="J365" s="96"/>
      <c r="K365" s="96"/>
    </row>
    <row r="366" spans="1:11" ht="13.5">
      <c r="A366" s="73">
        <v>1</v>
      </c>
      <c r="C366" s="77" t="s">
        <v>250</v>
      </c>
      <c r="E366" s="73">
        <v>1</v>
      </c>
      <c r="G366" s="96"/>
      <c r="H366" s="148">
        <f>18672803+48600</f>
        <v>18721403</v>
      </c>
      <c r="I366" s="100"/>
      <c r="J366" s="96"/>
      <c r="K366" s="148">
        <v>18870017</v>
      </c>
    </row>
    <row r="367" spans="1:11">
      <c r="A367" s="73">
        <v>2</v>
      </c>
      <c r="C367" s="10" t="s">
        <v>144</v>
      </c>
      <c r="E367" s="73">
        <v>2</v>
      </c>
      <c r="F367" s="10"/>
      <c r="G367" s="103"/>
      <c r="H367" s="145">
        <v>66631204</v>
      </c>
      <c r="I367" s="103"/>
      <c r="J367" s="103"/>
      <c r="K367" s="145">
        <v>67357288</v>
      </c>
    </row>
    <row r="368" spans="1:11">
      <c r="A368" s="73">
        <v>3</v>
      </c>
      <c r="C368" s="10" t="s">
        <v>145</v>
      </c>
      <c r="E368" s="73">
        <v>3</v>
      </c>
      <c r="F368" s="10"/>
      <c r="G368" s="103"/>
      <c r="H368" s="145">
        <v>3288650</v>
      </c>
      <c r="I368" s="103"/>
      <c r="J368" s="103"/>
      <c r="K368" s="145">
        <v>2324857</v>
      </c>
    </row>
    <row r="369" spans="1:11" ht="13.5">
      <c r="A369" s="73">
        <v>4</v>
      </c>
      <c r="C369" s="10" t="s">
        <v>252</v>
      </c>
      <c r="E369" s="73">
        <v>4</v>
      </c>
      <c r="F369" s="10"/>
      <c r="G369" s="103"/>
      <c r="H369" s="145">
        <v>1406428.62</v>
      </c>
      <c r="I369" s="103"/>
      <c r="J369" s="103"/>
      <c r="K369" s="145">
        <v>1408500</v>
      </c>
    </row>
    <row r="370" spans="1:11">
      <c r="A370" s="73">
        <v>5</v>
      </c>
      <c r="C370" s="10" t="s">
        <v>146</v>
      </c>
      <c r="E370" s="73">
        <v>5</v>
      </c>
      <c r="F370" s="10"/>
      <c r="G370" s="103"/>
      <c r="H370" s="145"/>
      <c r="I370" s="103"/>
      <c r="J370" s="103"/>
      <c r="K370" s="145"/>
    </row>
    <row r="371" spans="1:11">
      <c r="A371" s="73">
        <v>6</v>
      </c>
      <c r="C371" s="10" t="s">
        <v>147</v>
      </c>
      <c r="E371" s="73">
        <v>6</v>
      </c>
      <c r="F371" s="10"/>
      <c r="G371" s="103"/>
      <c r="H371" s="145"/>
      <c r="I371" s="103"/>
      <c r="J371" s="103"/>
      <c r="K371" s="145"/>
    </row>
    <row r="372" spans="1:11">
      <c r="A372" s="73">
        <v>7</v>
      </c>
      <c r="C372" s="10" t="s">
        <v>148</v>
      </c>
      <c r="E372" s="73">
        <v>7</v>
      </c>
      <c r="F372" s="10"/>
      <c r="G372" s="103"/>
      <c r="H372" s="145"/>
      <c r="I372" s="103"/>
      <c r="J372" s="103"/>
      <c r="K372" s="145"/>
    </row>
    <row r="373" spans="1:11">
      <c r="A373" s="73">
        <v>8</v>
      </c>
      <c r="C373" s="10" t="s">
        <v>149</v>
      </c>
      <c r="E373" s="73">
        <v>8</v>
      </c>
      <c r="F373" s="70"/>
      <c r="G373" s="20"/>
      <c r="H373" s="149"/>
      <c r="I373" s="70"/>
      <c r="J373" s="20"/>
      <c r="K373" s="149"/>
    </row>
    <row r="374" spans="1:11" ht="13.5">
      <c r="A374" s="73">
        <v>9</v>
      </c>
      <c r="C374" s="137" t="s">
        <v>251</v>
      </c>
      <c r="E374" s="73">
        <v>9</v>
      </c>
      <c r="F374" s="70"/>
      <c r="G374" s="20"/>
      <c r="H374" s="149"/>
      <c r="I374" s="70"/>
      <c r="J374" s="20"/>
      <c r="K374" s="149"/>
    </row>
    <row r="375" spans="1:11">
      <c r="A375" s="73">
        <v>10</v>
      </c>
      <c r="C375" s="10"/>
      <c r="E375" s="73">
        <v>10</v>
      </c>
      <c r="F375" s="70"/>
      <c r="G375" s="20"/>
      <c r="H375" s="149"/>
      <c r="I375" s="70"/>
      <c r="J375" s="20"/>
      <c r="K375" s="149"/>
    </row>
    <row r="376" spans="1:11">
      <c r="A376" s="73">
        <v>11</v>
      </c>
      <c r="C376" s="10"/>
      <c r="E376" s="73">
        <v>11</v>
      </c>
      <c r="F376" s="70"/>
      <c r="G376" s="20"/>
      <c r="H376" s="149"/>
      <c r="I376" s="70"/>
      <c r="J376" s="20"/>
      <c r="K376" s="149"/>
    </row>
    <row r="377" spans="1:11">
      <c r="A377" s="73">
        <v>12</v>
      </c>
      <c r="C377" s="10"/>
      <c r="E377" s="73">
        <v>12</v>
      </c>
      <c r="F377" s="70"/>
      <c r="G377" s="20"/>
      <c r="H377" s="149"/>
      <c r="I377" s="70"/>
      <c r="J377" s="20"/>
      <c r="K377" s="149"/>
    </row>
    <row r="378" spans="1:11">
      <c r="A378" s="73">
        <v>13</v>
      </c>
      <c r="C378" s="10"/>
      <c r="E378" s="73">
        <v>13</v>
      </c>
      <c r="F378" s="70"/>
      <c r="G378" s="20"/>
      <c r="H378" s="149"/>
      <c r="I378" s="70"/>
      <c r="J378" s="20"/>
      <c r="K378" s="149"/>
    </row>
    <row r="379" spans="1:11">
      <c r="A379" s="73">
        <v>14</v>
      </c>
      <c r="C379" s="10"/>
      <c r="E379" s="73">
        <v>14</v>
      </c>
      <c r="F379" s="70"/>
      <c r="G379" s="20"/>
      <c r="H379" s="149"/>
      <c r="I379" s="70"/>
      <c r="J379" s="20"/>
      <c r="K379" s="149"/>
    </row>
    <row r="380" spans="1:11">
      <c r="A380" s="73">
        <v>15</v>
      </c>
      <c r="E380" s="73">
        <v>15</v>
      </c>
      <c r="F380" s="10"/>
      <c r="G380" s="103"/>
      <c r="H380" s="145"/>
      <c r="I380" s="103"/>
      <c r="J380" s="103"/>
      <c r="K380" s="145"/>
    </row>
    <row r="381" spans="1:11">
      <c r="A381" s="73"/>
      <c r="C381" s="10"/>
      <c r="E381" s="73"/>
      <c r="F381" s="10"/>
      <c r="G381" s="103"/>
      <c r="H381" s="145"/>
      <c r="I381" s="103"/>
      <c r="J381" s="103"/>
      <c r="K381" s="145"/>
    </row>
    <row r="382" spans="1:11">
      <c r="A382" s="73">
        <v>16</v>
      </c>
      <c r="C382" s="10" t="s">
        <v>150</v>
      </c>
      <c r="E382" s="73">
        <v>16</v>
      </c>
      <c r="F382" s="10"/>
      <c r="G382" s="103"/>
      <c r="H382" s="145">
        <v>1177052</v>
      </c>
      <c r="I382" s="103"/>
      <c r="J382" s="103"/>
      <c r="K382" s="145">
        <v>1377150</v>
      </c>
    </row>
    <row r="383" spans="1:11">
      <c r="A383" s="73">
        <v>17</v>
      </c>
      <c r="C383" s="10" t="s">
        <v>151</v>
      </c>
      <c r="E383" s="73">
        <v>17</v>
      </c>
      <c r="F383" s="10"/>
      <c r="G383" s="103"/>
      <c r="H383" s="145"/>
      <c r="I383" s="103"/>
      <c r="J383" s="103"/>
      <c r="K383" s="145"/>
    </row>
    <row r="384" spans="1:11">
      <c r="A384" s="73">
        <v>18</v>
      </c>
      <c r="C384" s="10" t="s">
        <v>152</v>
      </c>
      <c r="E384" s="73">
        <v>18</v>
      </c>
      <c r="F384" s="10"/>
      <c r="G384" s="103"/>
      <c r="H384" s="145"/>
      <c r="I384" s="103"/>
      <c r="J384" s="103"/>
      <c r="K384" s="145"/>
    </row>
    <row r="385" spans="1:11">
      <c r="A385" s="73">
        <v>19</v>
      </c>
      <c r="C385" s="10" t="s">
        <v>38</v>
      </c>
      <c r="E385" s="73">
        <v>19</v>
      </c>
      <c r="F385" s="10"/>
      <c r="G385" s="103"/>
      <c r="H385" s="145"/>
      <c r="I385" s="103"/>
      <c r="J385" s="103"/>
      <c r="K385" s="145"/>
    </row>
    <row r="386" spans="1:11">
      <c r="A386" s="137">
        <v>20</v>
      </c>
      <c r="C386" s="10"/>
      <c r="E386" s="137">
        <v>20</v>
      </c>
      <c r="F386" s="70"/>
      <c r="G386" s="20"/>
      <c r="H386" s="149"/>
      <c r="I386" s="70"/>
      <c r="J386" s="20"/>
      <c r="K386" s="149"/>
    </row>
    <row r="387" spans="1:11">
      <c r="A387" s="137">
        <v>21</v>
      </c>
      <c r="C387" s="10"/>
      <c r="E387" s="137">
        <v>21</v>
      </c>
      <c r="F387" s="70"/>
      <c r="G387" s="20"/>
      <c r="H387" s="149"/>
      <c r="I387" s="70"/>
      <c r="J387" s="20"/>
      <c r="K387" s="149"/>
    </row>
    <row r="388" spans="1:11">
      <c r="A388" s="137">
        <v>22</v>
      </c>
      <c r="C388" s="10"/>
      <c r="E388" s="137">
        <v>22</v>
      </c>
      <c r="F388" s="70"/>
      <c r="G388" s="20"/>
      <c r="H388" s="149"/>
      <c r="I388" s="70"/>
      <c r="J388" s="20"/>
      <c r="K388" s="149"/>
    </row>
    <row r="389" spans="1:11">
      <c r="A389" s="137">
        <v>23</v>
      </c>
      <c r="C389" s="10"/>
      <c r="E389" s="137">
        <v>23</v>
      </c>
      <c r="F389" s="70"/>
      <c r="G389" s="20"/>
      <c r="H389" s="149"/>
      <c r="I389" s="70"/>
      <c r="J389" s="20"/>
      <c r="K389" s="149"/>
    </row>
    <row r="390" spans="1:11">
      <c r="A390" s="137">
        <v>24</v>
      </c>
      <c r="C390" s="10"/>
      <c r="E390" s="137">
        <v>24</v>
      </c>
      <c r="F390" s="70"/>
      <c r="G390" s="20"/>
      <c r="H390" s="149"/>
      <c r="I390" s="70"/>
      <c r="J390" s="20"/>
      <c r="K390" s="149"/>
    </row>
    <row r="391" spans="1:11">
      <c r="A391" s="73"/>
      <c r="C391" s="10"/>
      <c r="E391" s="73"/>
      <c r="F391" s="70" t="s">
        <v>6</v>
      </c>
      <c r="G391" s="20" t="s">
        <v>6</v>
      </c>
      <c r="H391" s="21"/>
      <c r="I391" s="70"/>
      <c r="J391" s="20"/>
      <c r="K391" s="21"/>
    </row>
    <row r="392" spans="1:11">
      <c r="A392" s="73">
        <v>25</v>
      </c>
      <c r="C392" s="9" t="s">
        <v>153</v>
      </c>
      <c r="E392" s="73">
        <v>25</v>
      </c>
      <c r="G392" s="96"/>
      <c r="H392" s="100">
        <f>SUM(H366:H390)</f>
        <v>91224737.620000005</v>
      </c>
      <c r="I392" s="100"/>
      <c r="J392" s="96"/>
      <c r="K392" s="100">
        <f>SUM(K366:K390)</f>
        <v>91337812</v>
      </c>
    </row>
    <row r="393" spans="1:11">
      <c r="A393" s="73"/>
      <c r="C393" s="9"/>
      <c r="E393" s="73"/>
      <c r="F393" s="70" t="s">
        <v>6</v>
      </c>
      <c r="G393" s="20" t="s">
        <v>6</v>
      </c>
      <c r="H393" s="21"/>
      <c r="I393" s="70"/>
      <c r="J393" s="20"/>
      <c r="K393" s="21"/>
    </row>
    <row r="394" spans="1:11" ht="13.5">
      <c r="A394" s="73">
        <v>26</v>
      </c>
      <c r="C394" s="9" t="s">
        <v>245</v>
      </c>
      <c r="E394" s="73">
        <v>26</v>
      </c>
      <c r="G394" s="96"/>
      <c r="H394" s="96">
        <v>-6693063.54</v>
      </c>
      <c r="I394" s="100"/>
      <c r="J394" s="96"/>
      <c r="K394" s="96">
        <v>0</v>
      </c>
    </row>
    <row r="395" spans="1:11">
      <c r="A395" s="73">
        <v>27</v>
      </c>
      <c r="E395" s="73">
        <v>27</v>
      </c>
      <c r="G395" s="96"/>
      <c r="H395" s="96"/>
      <c r="I395" s="100"/>
      <c r="J395" s="96"/>
      <c r="K395" s="96"/>
    </row>
    <row r="396" spans="1:11">
      <c r="A396" s="73">
        <v>28</v>
      </c>
      <c r="E396" s="73">
        <v>28</v>
      </c>
      <c r="G396" s="100"/>
      <c r="H396" s="100"/>
      <c r="I396" s="100"/>
      <c r="J396" s="100"/>
      <c r="K396" s="100"/>
    </row>
    <row r="397" spans="1:11">
      <c r="A397" s="73">
        <v>29</v>
      </c>
      <c r="C397" s="137" t="s">
        <v>38</v>
      </c>
      <c r="E397" s="73">
        <v>29</v>
      </c>
      <c r="G397" s="100"/>
      <c r="H397" s="100"/>
      <c r="I397" s="100"/>
      <c r="J397" s="100"/>
      <c r="K397" s="100"/>
    </row>
    <row r="398" spans="1:11">
      <c r="A398" s="73"/>
      <c r="C398" s="74"/>
      <c r="E398" s="73"/>
      <c r="F398" s="70" t="s">
        <v>6</v>
      </c>
      <c r="G398" s="20" t="s">
        <v>6</v>
      </c>
      <c r="H398" s="21"/>
      <c r="I398" s="70"/>
      <c r="J398" s="20"/>
      <c r="K398" s="21"/>
    </row>
    <row r="399" spans="1:11">
      <c r="A399" s="73">
        <v>30</v>
      </c>
      <c r="C399" s="74" t="s">
        <v>154</v>
      </c>
      <c r="E399" s="73">
        <v>30</v>
      </c>
      <c r="G399" s="96"/>
      <c r="H399" s="100">
        <f>SUM(H392:H397)</f>
        <v>84531674.079999998</v>
      </c>
      <c r="I399" s="100"/>
      <c r="J399" s="96"/>
      <c r="K399" s="100">
        <f>SUM(K392:K397)</f>
        <v>91337812</v>
      </c>
    </row>
    <row r="400" spans="1:11">
      <c r="A400" s="76"/>
      <c r="C400" s="9"/>
      <c r="E400" s="35"/>
      <c r="F400" s="70" t="s">
        <v>6</v>
      </c>
      <c r="G400" s="20" t="s">
        <v>6</v>
      </c>
      <c r="H400" s="21" t="s">
        <v>6</v>
      </c>
      <c r="I400" s="70" t="s">
        <v>6</v>
      </c>
      <c r="J400" s="20" t="s">
        <v>6</v>
      </c>
      <c r="K400" s="21" t="s">
        <v>6</v>
      </c>
    </row>
    <row r="401" spans="1:11" ht="13.5">
      <c r="C401" s="137" t="s">
        <v>254</v>
      </c>
      <c r="F401" s="70"/>
      <c r="G401" s="20"/>
      <c r="H401" s="40"/>
      <c r="I401" s="70"/>
      <c r="J401" s="20"/>
      <c r="K401" s="40"/>
    </row>
    <row r="402" spans="1:11" ht="13.5">
      <c r="C402" s="137" t="s">
        <v>253</v>
      </c>
      <c r="F402" s="70"/>
      <c r="G402" s="20"/>
      <c r="H402" s="40"/>
      <c r="I402" s="70"/>
      <c r="J402" s="20"/>
      <c r="K402" s="40"/>
    </row>
    <row r="403" spans="1:11" ht="13.5">
      <c r="C403" s="137" t="s">
        <v>242</v>
      </c>
      <c r="F403" s="70"/>
      <c r="G403" s="20"/>
      <c r="H403" s="40"/>
      <c r="I403" s="70"/>
      <c r="J403" s="20"/>
      <c r="K403" s="40"/>
    </row>
    <row r="404" spans="1:11">
      <c r="C404" s="137" t="s">
        <v>155</v>
      </c>
      <c r="F404" s="70"/>
      <c r="G404" s="20"/>
      <c r="H404" s="40"/>
      <c r="I404" s="70"/>
      <c r="J404" s="20"/>
      <c r="K404" s="40"/>
    </row>
    <row r="405" spans="1:11" ht="13.5">
      <c r="C405" s="137" t="s">
        <v>243</v>
      </c>
      <c r="F405" s="70"/>
      <c r="G405" s="20"/>
      <c r="H405" s="40"/>
      <c r="I405" s="70"/>
      <c r="J405" s="20"/>
      <c r="K405" s="40"/>
    </row>
    <row r="406" spans="1:11">
      <c r="C406" s="137" t="s">
        <v>156</v>
      </c>
      <c r="F406" s="70"/>
      <c r="G406" s="20"/>
      <c r="H406" s="40"/>
      <c r="I406" s="70"/>
      <c r="J406" s="20"/>
      <c r="K406" s="40"/>
    </row>
    <row r="407" spans="1:11" ht="13.5">
      <c r="C407" s="137" t="s">
        <v>244</v>
      </c>
      <c r="F407" s="70"/>
      <c r="G407" s="20"/>
      <c r="H407" s="40"/>
      <c r="I407" s="70"/>
      <c r="J407" s="20"/>
      <c r="K407" s="40"/>
    </row>
    <row r="408" spans="1:11">
      <c r="A408" s="76"/>
      <c r="C408" s="137" t="s">
        <v>240</v>
      </c>
      <c r="E408" s="35"/>
      <c r="F408" s="70"/>
      <c r="G408" s="20"/>
      <c r="H408" s="21"/>
      <c r="I408" s="70"/>
      <c r="J408" s="20"/>
      <c r="K408" s="21"/>
    </row>
    <row r="409" spans="1:11" ht="13.5" customHeight="1"/>
    <row r="410" spans="1:11">
      <c r="A410" s="16" t="str">
        <f>$A$83</f>
        <v xml:space="preserve">Institution No.:  </v>
      </c>
      <c r="B410" s="36"/>
      <c r="C410" s="36"/>
      <c r="D410" s="36"/>
      <c r="E410" s="37"/>
      <c r="F410" s="36"/>
      <c r="G410" s="38"/>
      <c r="H410" s="39"/>
      <c r="I410" s="36"/>
      <c r="J410" s="38"/>
      <c r="K410" s="15" t="s">
        <v>262</v>
      </c>
    </row>
    <row r="411" spans="1:11">
      <c r="A411" s="36"/>
      <c r="B411" s="36"/>
      <c r="C411" s="36"/>
      <c r="D411" s="58" t="s">
        <v>266</v>
      </c>
      <c r="E411" s="37"/>
      <c r="F411" s="36"/>
      <c r="G411" s="38"/>
      <c r="H411" s="39"/>
      <c r="I411" s="36"/>
      <c r="J411" s="38"/>
      <c r="K411" s="39"/>
    </row>
    <row r="412" spans="1:11" s="36" customFormat="1">
      <c r="A412" s="16" t="str">
        <f>$A$42</f>
        <v xml:space="preserve">NAME: </v>
      </c>
      <c r="B412" s="137"/>
      <c r="C412" s="137" t="str">
        <f>$D$20</f>
        <v>University of Colorado</v>
      </c>
      <c r="D412" s="137"/>
      <c r="E412" s="137"/>
      <c r="F412" s="72"/>
      <c r="G412" s="66"/>
      <c r="H412" s="40"/>
      <c r="I412" s="137"/>
      <c r="J412" s="14"/>
      <c r="K412" s="18" t="str">
        <f>$K$3</f>
        <v>Date: October 09, 2017</v>
      </c>
    </row>
    <row r="413" spans="1:11" ht="12.75" customHeight="1">
      <c r="A413" s="19" t="s">
        <v>6</v>
      </c>
      <c r="B413" s="19" t="s">
        <v>6</v>
      </c>
      <c r="C413" s="19" t="s">
        <v>6</v>
      </c>
      <c r="D413" s="19" t="s">
        <v>6</v>
      </c>
      <c r="E413" s="19" t="s">
        <v>6</v>
      </c>
      <c r="F413" s="19" t="s">
        <v>6</v>
      </c>
      <c r="G413" s="20" t="s">
        <v>6</v>
      </c>
      <c r="H413" s="21" t="s">
        <v>6</v>
      </c>
      <c r="I413" s="19" t="s">
        <v>6</v>
      </c>
      <c r="J413" s="20" t="s">
        <v>6</v>
      </c>
      <c r="K413" s="21" t="s">
        <v>6</v>
      </c>
    </row>
    <row r="414" spans="1:11">
      <c r="A414" s="22" t="s">
        <v>7</v>
      </c>
      <c r="E414" s="22" t="s">
        <v>7</v>
      </c>
      <c r="G414" s="24"/>
      <c r="H414" s="25" t="s">
        <v>257</v>
      </c>
      <c r="I414" s="23"/>
      <c r="J414" s="24"/>
      <c r="K414" s="25" t="s">
        <v>261</v>
      </c>
    </row>
    <row r="415" spans="1:11">
      <c r="A415" s="22" t="s">
        <v>9</v>
      </c>
      <c r="C415" s="26" t="s">
        <v>51</v>
      </c>
      <c r="E415" s="22" t="s">
        <v>9</v>
      </c>
      <c r="G415" s="14"/>
      <c r="H415" s="25" t="s">
        <v>12</v>
      </c>
      <c r="J415" s="14"/>
      <c r="K415" s="25" t="s">
        <v>13</v>
      </c>
    </row>
    <row r="416" spans="1:11">
      <c r="A416" s="19" t="s">
        <v>6</v>
      </c>
      <c r="B416" s="19" t="s">
        <v>6</v>
      </c>
      <c r="C416" s="19" t="s">
        <v>6</v>
      </c>
      <c r="D416" s="19" t="s">
        <v>6</v>
      </c>
      <c r="E416" s="19" t="s">
        <v>6</v>
      </c>
      <c r="F416" s="19" t="s">
        <v>6</v>
      </c>
      <c r="G416" s="20" t="s">
        <v>6</v>
      </c>
      <c r="H416" s="21" t="s">
        <v>6</v>
      </c>
      <c r="I416" s="19" t="s">
        <v>6</v>
      </c>
      <c r="J416" s="20" t="s">
        <v>6</v>
      </c>
      <c r="K416" s="21" t="s">
        <v>6</v>
      </c>
    </row>
    <row r="417" spans="1:11">
      <c r="A417" s="73"/>
      <c r="C417" s="31" t="s">
        <v>265</v>
      </c>
      <c r="E417" s="73"/>
      <c r="G417" s="96"/>
      <c r="H417" s="96"/>
      <c r="I417" s="100"/>
      <c r="J417" s="96"/>
      <c r="K417" s="96"/>
    </row>
    <row r="418" spans="1:11">
      <c r="A418" s="73">
        <v>1</v>
      </c>
      <c r="C418" s="9" t="s">
        <v>263</v>
      </c>
      <c r="E418" s="73">
        <v>1</v>
      </c>
      <c r="G418" s="96"/>
      <c r="H418" s="148"/>
      <c r="I418" s="100"/>
      <c r="J418" s="96"/>
      <c r="K418" s="148"/>
    </row>
    <row r="419" spans="1:11">
      <c r="A419" s="73">
        <v>2</v>
      </c>
      <c r="C419" s="10"/>
      <c r="E419" s="73">
        <v>2</v>
      </c>
      <c r="F419" s="10"/>
      <c r="G419" s="103"/>
      <c r="H419" s="145"/>
      <c r="I419" s="103"/>
      <c r="J419" s="103"/>
      <c r="K419" s="145"/>
    </row>
    <row r="420" spans="1:11">
      <c r="A420" s="73">
        <v>3</v>
      </c>
      <c r="C420" s="10"/>
      <c r="E420" s="73">
        <v>3</v>
      </c>
      <c r="F420" s="10"/>
      <c r="G420" s="103"/>
      <c r="H420" s="145"/>
      <c r="I420" s="103"/>
      <c r="J420" s="103"/>
      <c r="K420" s="145"/>
    </row>
    <row r="421" spans="1:11">
      <c r="A421" s="73">
        <v>4</v>
      </c>
      <c r="C421" s="10"/>
      <c r="E421" s="73">
        <v>4</v>
      </c>
      <c r="F421" s="10"/>
      <c r="G421" s="103"/>
      <c r="H421" s="145"/>
      <c r="I421" s="103"/>
      <c r="J421" s="103"/>
      <c r="K421" s="145"/>
    </row>
    <row r="422" spans="1:11">
      <c r="A422" s="73">
        <v>5</v>
      </c>
      <c r="C422" s="10"/>
      <c r="E422" s="73">
        <v>5</v>
      </c>
      <c r="F422" s="10"/>
      <c r="G422" s="103"/>
      <c r="H422" s="145"/>
      <c r="I422" s="103"/>
      <c r="J422" s="103"/>
      <c r="K422" s="145"/>
    </row>
    <row r="423" spans="1:11">
      <c r="A423" s="73">
        <v>6</v>
      </c>
      <c r="C423" s="10"/>
      <c r="E423" s="73">
        <v>6</v>
      </c>
      <c r="F423" s="10"/>
      <c r="G423" s="103"/>
      <c r="H423" s="145"/>
      <c r="I423" s="103"/>
      <c r="J423" s="103"/>
      <c r="K423" s="145"/>
    </row>
    <row r="424" spans="1:11">
      <c r="A424" s="73">
        <v>7</v>
      </c>
      <c r="C424" s="10"/>
      <c r="E424" s="73">
        <v>7</v>
      </c>
      <c r="F424" s="10"/>
      <c r="G424" s="103"/>
      <c r="H424" s="145"/>
      <c r="I424" s="103"/>
      <c r="J424" s="103"/>
      <c r="K424" s="145"/>
    </row>
    <row r="425" spans="1:11">
      <c r="A425" s="73">
        <v>8</v>
      </c>
      <c r="C425" s="10"/>
      <c r="E425" s="73">
        <v>8</v>
      </c>
      <c r="F425" s="70"/>
      <c r="G425" s="20"/>
      <c r="H425" s="149"/>
      <c r="I425" s="70"/>
      <c r="J425" s="20"/>
      <c r="K425" s="149"/>
    </row>
    <row r="426" spans="1:11">
      <c r="A426" s="73">
        <v>9</v>
      </c>
      <c r="E426" s="73">
        <v>9</v>
      </c>
      <c r="F426" s="70"/>
      <c r="G426" s="20"/>
      <c r="H426" s="149"/>
      <c r="I426" s="70"/>
      <c r="J426" s="20"/>
      <c r="K426" s="149"/>
    </row>
    <row r="427" spans="1:11">
      <c r="A427" s="73">
        <v>10</v>
      </c>
      <c r="C427" s="10"/>
      <c r="E427" s="73">
        <v>10</v>
      </c>
      <c r="F427" s="70"/>
      <c r="G427" s="20"/>
      <c r="H427" s="149"/>
      <c r="I427" s="70"/>
      <c r="J427" s="20"/>
      <c r="K427" s="149"/>
    </row>
    <row r="428" spans="1:11">
      <c r="A428" s="73">
        <v>11</v>
      </c>
      <c r="C428" s="10"/>
      <c r="E428" s="73">
        <v>11</v>
      </c>
      <c r="F428" s="70"/>
      <c r="G428" s="20"/>
      <c r="H428" s="149"/>
      <c r="I428" s="70"/>
      <c r="J428" s="20"/>
      <c r="K428" s="149"/>
    </row>
    <row r="429" spans="1:11">
      <c r="A429" s="73">
        <v>12</v>
      </c>
      <c r="C429" s="10"/>
      <c r="E429" s="73">
        <v>12</v>
      </c>
      <c r="F429" s="70"/>
      <c r="G429" s="20"/>
      <c r="H429" s="149"/>
      <c r="I429" s="70"/>
      <c r="J429" s="20"/>
      <c r="K429" s="149"/>
    </row>
    <row r="430" spans="1:11">
      <c r="A430" s="73">
        <v>13</v>
      </c>
      <c r="C430" s="10"/>
      <c r="E430" s="73">
        <v>13</v>
      </c>
      <c r="F430" s="70"/>
      <c r="G430" s="20"/>
      <c r="H430" s="149"/>
      <c r="I430" s="70"/>
      <c r="J430" s="20"/>
      <c r="K430" s="149"/>
    </row>
    <row r="431" spans="1:11">
      <c r="A431" s="73">
        <v>14</v>
      </c>
      <c r="C431" s="10"/>
      <c r="E431" s="73">
        <v>14</v>
      </c>
      <c r="F431" s="70"/>
      <c r="G431" s="20"/>
      <c r="H431" s="149"/>
      <c r="I431" s="70"/>
      <c r="J431" s="20"/>
      <c r="K431" s="149"/>
    </row>
    <row r="432" spans="1:11">
      <c r="A432" s="73">
        <v>15</v>
      </c>
      <c r="E432" s="73">
        <v>15</v>
      </c>
      <c r="F432" s="10"/>
      <c r="G432" s="103"/>
      <c r="H432" s="145"/>
      <c r="I432" s="103"/>
      <c r="J432" s="103"/>
      <c r="K432" s="145"/>
    </row>
    <row r="433" spans="1:11">
      <c r="A433" s="73"/>
      <c r="C433" s="10"/>
      <c r="E433" s="73"/>
      <c r="F433" s="10"/>
      <c r="G433" s="103"/>
      <c r="H433" s="145"/>
      <c r="I433" s="103"/>
      <c r="J433" s="103"/>
      <c r="K433" s="145"/>
    </row>
    <row r="434" spans="1:11">
      <c r="A434" s="73">
        <v>16</v>
      </c>
      <c r="C434" s="10"/>
      <c r="E434" s="73">
        <v>16</v>
      </c>
      <c r="F434" s="10"/>
      <c r="G434" s="103"/>
      <c r="H434" s="145"/>
      <c r="I434" s="103"/>
      <c r="J434" s="103"/>
      <c r="K434" s="145"/>
    </row>
    <row r="435" spans="1:11">
      <c r="A435" s="73">
        <v>17</v>
      </c>
      <c r="C435" s="10"/>
      <c r="E435" s="73">
        <v>17</v>
      </c>
      <c r="F435" s="10"/>
      <c r="G435" s="103"/>
      <c r="H435" s="145"/>
      <c r="I435" s="103"/>
      <c r="J435" s="103"/>
      <c r="K435" s="145"/>
    </row>
    <row r="436" spans="1:11">
      <c r="A436" s="73">
        <v>18</v>
      </c>
      <c r="C436" s="10"/>
      <c r="E436" s="73">
        <v>18</v>
      </c>
      <c r="F436" s="10"/>
      <c r="G436" s="103"/>
      <c r="H436" s="145"/>
      <c r="I436" s="103"/>
      <c r="J436" s="103"/>
      <c r="K436" s="145"/>
    </row>
    <row r="437" spans="1:11">
      <c r="A437" s="73">
        <v>19</v>
      </c>
      <c r="C437" s="10" t="s">
        <v>38</v>
      </c>
      <c r="E437" s="73">
        <v>19</v>
      </c>
      <c r="F437" s="10"/>
      <c r="G437" s="103"/>
      <c r="H437" s="145"/>
      <c r="I437" s="103"/>
      <c r="J437" s="103"/>
      <c r="K437" s="145"/>
    </row>
    <row r="438" spans="1:11">
      <c r="A438" s="137">
        <v>20</v>
      </c>
      <c r="C438" s="10"/>
      <c r="E438" s="137">
        <v>20</v>
      </c>
      <c r="F438" s="70"/>
      <c r="G438" s="20"/>
      <c r="H438" s="149"/>
      <c r="I438" s="70"/>
      <c r="J438" s="20"/>
      <c r="K438" s="149"/>
    </row>
    <row r="439" spans="1:11">
      <c r="A439" s="137">
        <v>21</v>
      </c>
      <c r="C439" s="10"/>
      <c r="E439" s="137">
        <v>21</v>
      </c>
      <c r="F439" s="70"/>
      <c r="G439" s="20"/>
      <c r="H439" s="149"/>
      <c r="I439" s="70"/>
      <c r="J439" s="20"/>
      <c r="K439" s="149"/>
    </row>
    <row r="440" spans="1:11">
      <c r="A440" s="137">
        <v>22</v>
      </c>
      <c r="C440" s="10"/>
      <c r="E440" s="137">
        <v>22</v>
      </c>
      <c r="F440" s="70"/>
      <c r="G440" s="20"/>
      <c r="H440" s="149"/>
      <c r="I440" s="70"/>
      <c r="J440" s="20"/>
      <c r="K440" s="149"/>
    </row>
    <row r="441" spans="1:11">
      <c r="A441" s="137">
        <v>23</v>
      </c>
      <c r="C441" s="10"/>
      <c r="E441" s="137">
        <v>23</v>
      </c>
      <c r="F441" s="70"/>
      <c r="G441" s="20"/>
      <c r="H441" s="149"/>
      <c r="I441" s="70"/>
      <c r="J441" s="20"/>
      <c r="K441" s="149"/>
    </row>
    <row r="442" spans="1:11">
      <c r="A442" s="137">
        <v>24</v>
      </c>
      <c r="C442" s="10"/>
      <c r="E442" s="137">
        <v>24</v>
      </c>
      <c r="F442" s="70"/>
      <c r="G442" s="20"/>
      <c r="H442" s="149"/>
      <c r="I442" s="70"/>
      <c r="J442" s="20"/>
      <c r="K442" s="149"/>
    </row>
    <row r="443" spans="1:11">
      <c r="A443" s="73"/>
      <c r="C443" s="10"/>
      <c r="E443" s="73"/>
      <c r="F443" s="70" t="s">
        <v>6</v>
      </c>
      <c r="G443" s="20" t="s">
        <v>6</v>
      </c>
      <c r="H443" s="21"/>
      <c r="I443" s="70"/>
      <c r="J443" s="20"/>
      <c r="K443" s="21"/>
    </row>
    <row r="444" spans="1:11">
      <c r="A444" s="73">
        <v>25</v>
      </c>
      <c r="C444" s="9"/>
      <c r="E444" s="73">
        <v>25</v>
      </c>
      <c r="G444" s="96"/>
      <c r="H444" s="100">
        <f>SUM(H418:H442)</f>
        <v>0</v>
      </c>
      <c r="I444" s="100"/>
      <c r="J444" s="96"/>
      <c r="K444" s="100">
        <f>SUM(K418:K442)</f>
        <v>0</v>
      </c>
    </row>
    <row r="445" spans="1:11">
      <c r="A445" s="73"/>
      <c r="C445" s="9"/>
      <c r="E445" s="73"/>
      <c r="F445" s="70" t="s">
        <v>6</v>
      </c>
      <c r="G445" s="20" t="s">
        <v>6</v>
      </c>
      <c r="H445" s="21"/>
      <c r="I445" s="70"/>
      <c r="J445" s="20"/>
      <c r="K445" s="21"/>
    </row>
    <row r="446" spans="1:11">
      <c r="A446" s="73">
        <v>26</v>
      </c>
      <c r="C446" s="9"/>
      <c r="E446" s="73">
        <v>26</v>
      </c>
      <c r="G446" s="96"/>
      <c r="H446" s="96">
        <v>0</v>
      </c>
      <c r="I446" s="100"/>
      <c r="J446" s="96"/>
      <c r="K446" s="96">
        <v>0</v>
      </c>
    </row>
    <row r="447" spans="1:11">
      <c r="A447" s="73">
        <v>27</v>
      </c>
      <c r="E447" s="73">
        <v>27</v>
      </c>
      <c r="G447" s="96"/>
      <c r="H447" s="96"/>
      <c r="I447" s="100"/>
      <c r="J447" s="96"/>
      <c r="K447" s="96"/>
    </row>
    <row r="448" spans="1:11">
      <c r="A448" s="73">
        <v>28</v>
      </c>
      <c r="E448" s="73">
        <v>28</v>
      </c>
      <c r="G448" s="100"/>
      <c r="H448" s="100"/>
      <c r="I448" s="100"/>
      <c r="J448" s="100"/>
      <c r="K448" s="100"/>
    </row>
    <row r="449" spans="1:11">
      <c r="A449" s="73">
        <v>29</v>
      </c>
      <c r="C449" s="137" t="s">
        <v>38</v>
      </c>
      <c r="E449" s="73">
        <v>29</v>
      </c>
      <c r="G449" s="100"/>
      <c r="H449" s="100"/>
      <c r="I449" s="100"/>
      <c r="J449" s="100"/>
      <c r="K449" s="100"/>
    </row>
    <row r="450" spans="1:11" s="36" customFormat="1">
      <c r="A450" s="73"/>
      <c r="B450" s="137"/>
      <c r="C450" s="74"/>
      <c r="D450" s="137"/>
      <c r="E450" s="73"/>
      <c r="F450" s="70" t="s">
        <v>6</v>
      </c>
      <c r="G450" s="20" t="s">
        <v>6</v>
      </c>
      <c r="H450" s="21"/>
      <c r="I450" s="70"/>
      <c r="J450" s="20"/>
      <c r="K450" s="21"/>
    </row>
    <row r="451" spans="1:11" s="36" customFormat="1">
      <c r="A451" s="73">
        <v>30</v>
      </c>
      <c r="B451" s="137"/>
      <c r="C451" s="74" t="s">
        <v>267</v>
      </c>
      <c r="D451" s="137"/>
      <c r="E451" s="73">
        <v>30</v>
      </c>
      <c r="F451" s="137"/>
      <c r="G451" s="96"/>
      <c r="H451" s="100"/>
      <c r="I451" s="100"/>
      <c r="J451" s="96"/>
      <c r="K451" s="100">
        <f>SUM(K444:K449)</f>
        <v>0</v>
      </c>
    </row>
    <row r="452" spans="1:11">
      <c r="A452" s="76"/>
      <c r="C452" s="9"/>
      <c r="E452" s="35"/>
      <c r="F452" s="70" t="s">
        <v>6</v>
      </c>
      <c r="G452" s="20" t="s">
        <v>6</v>
      </c>
      <c r="H452" s="21" t="s">
        <v>6</v>
      </c>
      <c r="I452" s="70" t="s">
        <v>6</v>
      </c>
      <c r="J452" s="20" t="s">
        <v>6</v>
      </c>
      <c r="K452" s="21" t="s">
        <v>6</v>
      </c>
    </row>
    <row r="453" spans="1:11">
      <c r="F453" s="70"/>
      <c r="G453" s="20"/>
      <c r="H453" s="40"/>
      <c r="I453" s="70"/>
      <c r="J453" s="20"/>
      <c r="K453" s="40"/>
    </row>
    <row r="454" spans="1:11">
      <c r="F454" s="70"/>
      <c r="G454" s="20"/>
      <c r="H454" s="40"/>
      <c r="I454" s="70"/>
      <c r="J454" s="20"/>
      <c r="K454" s="40"/>
    </row>
    <row r="455" spans="1:11">
      <c r="C455" s="137" t="s">
        <v>38</v>
      </c>
      <c r="F455" s="70"/>
      <c r="G455" s="20"/>
      <c r="H455" s="40"/>
      <c r="I455" s="70"/>
      <c r="J455" s="20"/>
      <c r="K455" s="40"/>
    </row>
    <row r="456" spans="1:11">
      <c r="F456" s="70"/>
      <c r="G456" s="20"/>
      <c r="H456" s="40"/>
      <c r="I456" s="70"/>
      <c r="J456" s="20"/>
      <c r="K456" s="40"/>
    </row>
    <row r="457" spans="1:11">
      <c r="C457" s="137" t="s">
        <v>38</v>
      </c>
      <c r="F457" s="70"/>
      <c r="G457" s="20"/>
      <c r="H457" s="40"/>
      <c r="I457" s="70"/>
      <c r="J457" s="20"/>
      <c r="K457" s="40"/>
    </row>
    <row r="458" spans="1:11">
      <c r="F458" s="70"/>
      <c r="G458" s="20"/>
      <c r="H458" s="40"/>
      <c r="I458" s="70"/>
      <c r="J458" s="20"/>
      <c r="K458" s="40"/>
    </row>
    <row r="459" spans="1:11">
      <c r="F459" s="70"/>
      <c r="G459" s="20"/>
      <c r="H459" s="40"/>
      <c r="I459" s="70"/>
      <c r="J459" s="20"/>
      <c r="K459" s="40"/>
    </row>
    <row r="460" spans="1:11">
      <c r="A460" s="76"/>
      <c r="E460" s="35"/>
      <c r="F460" s="70"/>
      <c r="G460" s="20"/>
      <c r="H460" s="21"/>
      <c r="I460" s="70"/>
      <c r="J460" s="20"/>
      <c r="K460" s="21"/>
    </row>
    <row r="463" spans="1:11">
      <c r="A463" s="16" t="str">
        <f>$A$83</f>
        <v xml:space="preserve">Institution No.:  </v>
      </c>
      <c r="B463" s="36"/>
      <c r="C463" s="36"/>
      <c r="D463" s="36"/>
      <c r="E463" s="37"/>
      <c r="F463" s="36"/>
      <c r="G463" s="38"/>
      <c r="H463" s="39"/>
      <c r="I463" s="36"/>
      <c r="J463" s="38"/>
      <c r="K463" s="15" t="s">
        <v>157</v>
      </c>
    </row>
    <row r="464" spans="1:11">
      <c r="A464" s="222" t="s">
        <v>158</v>
      </c>
      <c r="B464" s="222"/>
      <c r="C464" s="222"/>
      <c r="D464" s="222"/>
      <c r="E464" s="222"/>
      <c r="F464" s="222"/>
      <c r="G464" s="222"/>
      <c r="H464" s="222"/>
      <c r="I464" s="222"/>
      <c r="J464" s="222"/>
      <c r="K464" s="222"/>
    </row>
    <row r="465" spans="1:11">
      <c r="A465" s="16" t="str">
        <f>$A$42</f>
        <v xml:space="preserve">NAME: </v>
      </c>
      <c r="C465" s="137" t="str">
        <f>$D$20</f>
        <v>University of Colorado</v>
      </c>
      <c r="H465" s="40"/>
      <c r="J465" s="14"/>
      <c r="K465" s="18" t="str">
        <f>$K$3</f>
        <v>Date: October 09, 2017</v>
      </c>
    </row>
    <row r="466" spans="1:11">
      <c r="A466" s="19" t="s">
        <v>6</v>
      </c>
      <c r="B466" s="19" t="s">
        <v>6</v>
      </c>
      <c r="C466" s="19" t="s">
        <v>6</v>
      </c>
      <c r="D466" s="19" t="s">
        <v>6</v>
      </c>
      <c r="E466" s="19" t="s">
        <v>6</v>
      </c>
      <c r="F466" s="19" t="s">
        <v>6</v>
      </c>
      <c r="G466" s="20" t="s">
        <v>6</v>
      </c>
      <c r="H466" s="21" t="s">
        <v>6</v>
      </c>
      <c r="I466" s="19" t="s">
        <v>6</v>
      </c>
      <c r="J466" s="20" t="s">
        <v>6</v>
      </c>
      <c r="K466" s="21" t="s">
        <v>6</v>
      </c>
    </row>
    <row r="467" spans="1:11">
      <c r="A467" s="22" t="s">
        <v>7</v>
      </c>
      <c r="E467" s="22" t="s">
        <v>7</v>
      </c>
      <c r="F467" s="23"/>
      <c r="G467" s="24"/>
      <c r="H467" s="25" t="str">
        <f>H362</f>
        <v>2016-17</v>
      </c>
      <c r="I467" s="23"/>
      <c r="J467" s="24"/>
      <c r="K467" s="25" t="str">
        <f>K362</f>
        <v>2017-18</v>
      </c>
    </row>
    <row r="468" spans="1:11">
      <c r="A468" s="22" t="s">
        <v>9</v>
      </c>
      <c r="C468" s="26" t="s">
        <v>51</v>
      </c>
      <c r="E468" s="22" t="s">
        <v>9</v>
      </c>
      <c r="F468" s="23"/>
      <c r="G468" s="24"/>
      <c r="H468" s="25" t="s">
        <v>12</v>
      </c>
      <c r="I468" s="23"/>
      <c r="J468" s="24"/>
      <c r="K468" s="25" t="s">
        <v>13</v>
      </c>
    </row>
    <row r="469" spans="1:11">
      <c r="A469" s="19" t="s">
        <v>6</v>
      </c>
      <c r="B469" s="19" t="s">
        <v>6</v>
      </c>
      <c r="C469" s="19" t="s">
        <v>6</v>
      </c>
      <c r="D469" s="19" t="s">
        <v>6</v>
      </c>
      <c r="E469" s="19" t="s">
        <v>6</v>
      </c>
      <c r="F469" s="19" t="s">
        <v>6</v>
      </c>
      <c r="G469" s="20" t="s">
        <v>6</v>
      </c>
      <c r="H469" s="21" t="s">
        <v>6</v>
      </c>
      <c r="I469" s="19" t="s">
        <v>6</v>
      </c>
      <c r="J469" s="20" t="s">
        <v>6</v>
      </c>
      <c r="K469" s="21" t="s">
        <v>6</v>
      </c>
    </row>
    <row r="470" spans="1:11">
      <c r="A470" s="78">
        <v>1</v>
      </c>
      <c r="C470" s="9" t="s">
        <v>159</v>
      </c>
      <c r="E470" s="78">
        <v>1</v>
      </c>
      <c r="F470" s="10"/>
      <c r="G470" s="11"/>
      <c r="H470" s="152">
        <v>32645887.5</v>
      </c>
      <c r="I470" s="10"/>
      <c r="J470" s="11"/>
      <c r="K470" s="152">
        <v>33390840</v>
      </c>
    </row>
    <row r="471" spans="1:11">
      <c r="A471" s="78">
        <f t="shared" ref="A471:A493" si="1">(A470+1)</f>
        <v>2</v>
      </c>
      <c r="C471" s="9" t="s">
        <v>160</v>
      </c>
      <c r="E471" s="78">
        <f t="shared" ref="E471:E493" si="2">(E470+1)</f>
        <v>2</v>
      </c>
      <c r="F471" s="10"/>
      <c r="G471" s="106"/>
      <c r="H471" s="151"/>
      <c r="I471" s="106"/>
      <c r="J471" s="106"/>
      <c r="K471" s="151"/>
    </row>
    <row r="472" spans="1:11">
      <c r="A472" s="78">
        <f t="shared" si="1"/>
        <v>3</v>
      </c>
      <c r="C472" s="9"/>
      <c r="E472" s="78">
        <f t="shared" si="2"/>
        <v>3</v>
      </c>
      <c r="F472" s="10"/>
      <c r="G472" s="106"/>
      <c r="H472" s="151"/>
      <c r="I472" s="106"/>
      <c r="J472" s="106"/>
      <c r="K472" s="151"/>
    </row>
    <row r="473" spans="1:11">
      <c r="A473" s="78">
        <f t="shared" si="1"/>
        <v>4</v>
      </c>
      <c r="C473" s="9"/>
      <c r="E473" s="78">
        <f t="shared" si="2"/>
        <v>4</v>
      </c>
      <c r="F473" s="10"/>
      <c r="G473" s="106"/>
      <c r="H473" s="151"/>
      <c r="I473" s="106"/>
      <c r="J473" s="106"/>
      <c r="K473" s="151"/>
    </row>
    <row r="474" spans="1:11">
      <c r="A474" s="78">
        <f>(A473+1)</f>
        <v>5</v>
      </c>
      <c r="C474" s="10"/>
      <c r="E474" s="78">
        <f>(E473+1)</f>
        <v>5</v>
      </c>
      <c r="F474" s="10"/>
      <c r="G474" s="106"/>
      <c r="H474" s="151"/>
      <c r="I474" s="106"/>
      <c r="J474" s="106"/>
      <c r="K474" s="151"/>
    </row>
    <row r="475" spans="1:11">
      <c r="A475" s="78">
        <f t="shared" si="1"/>
        <v>6</v>
      </c>
      <c r="C475" s="10"/>
      <c r="E475" s="78">
        <f t="shared" si="2"/>
        <v>6</v>
      </c>
      <c r="F475" s="10"/>
      <c r="G475" s="106"/>
      <c r="H475" s="151"/>
      <c r="I475" s="106"/>
      <c r="J475" s="106"/>
      <c r="K475" s="151"/>
    </row>
    <row r="476" spans="1:11" ht="12" customHeight="1">
      <c r="A476" s="78">
        <f>(A475+1)</f>
        <v>7</v>
      </c>
      <c r="C476" s="9"/>
      <c r="E476" s="78">
        <f>(E475+1)</f>
        <v>7</v>
      </c>
      <c r="F476" s="10"/>
      <c r="G476" s="106"/>
      <c r="H476" s="151"/>
      <c r="I476" s="106"/>
      <c r="J476" s="106"/>
      <c r="K476" s="151"/>
    </row>
    <row r="477" spans="1:11" s="82" customFormat="1" ht="12" customHeight="1">
      <c r="A477" s="78">
        <f>(A476+1)</f>
        <v>8</v>
      </c>
      <c r="B477" s="137"/>
      <c r="C477" s="10"/>
      <c r="D477" s="137"/>
      <c r="E477" s="78">
        <f>(E476+1)</f>
        <v>8</v>
      </c>
      <c r="F477" s="10"/>
      <c r="G477" s="106"/>
      <c r="H477" s="151"/>
      <c r="I477" s="106"/>
      <c r="J477" s="106"/>
      <c r="K477" s="151"/>
    </row>
    <row r="478" spans="1:11">
      <c r="A478" s="78">
        <f t="shared" si="1"/>
        <v>9</v>
      </c>
      <c r="C478" s="10"/>
      <c r="E478" s="78">
        <f t="shared" si="2"/>
        <v>9</v>
      </c>
      <c r="F478" s="10"/>
      <c r="G478" s="106"/>
      <c r="H478" s="151"/>
      <c r="I478" s="106"/>
      <c r="J478" s="106"/>
      <c r="K478" s="151"/>
    </row>
    <row r="479" spans="1:11">
      <c r="A479" s="78">
        <f t="shared" si="1"/>
        <v>10</v>
      </c>
      <c r="E479" s="78">
        <f t="shared" si="2"/>
        <v>10</v>
      </c>
      <c r="F479" s="10"/>
      <c r="G479" s="106"/>
      <c r="H479" s="151"/>
      <c r="I479" s="106"/>
      <c r="J479" s="106"/>
      <c r="K479" s="151"/>
    </row>
    <row r="480" spans="1:11">
      <c r="A480" s="78">
        <f t="shared" si="1"/>
        <v>11</v>
      </c>
      <c r="E480" s="78">
        <f t="shared" si="2"/>
        <v>11</v>
      </c>
      <c r="F480" s="10"/>
      <c r="G480" s="106"/>
      <c r="H480" s="151"/>
      <c r="I480" s="106"/>
      <c r="J480" s="106"/>
      <c r="K480" s="151"/>
    </row>
    <row r="481" spans="1:11">
      <c r="A481" s="78">
        <f t="shared" si="1"/>
        <v>12</v>
      </c>
      <c r="E481" s="78">
        <f t="shared" si="2"/>
        <v>12</v>
      </c>
      <c r="F481" s="10"/>
      <c r="G481" s="106"/>
      <c r="H481" s="151"/>
      <c r="I481" s="106"/>
      <c r="J481" s="106"/>
      <c r="K481" s="151"/>
    </row>
    <row r="482" spans="1:11">
      <c r="A482" s="78">
        <f t="shared" si="1"/>
        <v>13</v>
      </c>
      <c r="C482" s="10"/>
      <c r="E482" s="78">
        <f t="shared" si="2"/>
        <v>13</v>
      </c>
      <c r="F482" s="10"/>
      <c r="G482" s="106"/>
      <c r="H482" s="151"/>
      <c r="I482" s="106"/>
      <c r="J482" s="106"/>
      <c r="K482" s="151"/>
    </row>
    <row r="483" spans="1:11">
      <c r="A483" s="78">
        <f t="shared" si="1"/>
        <v>14</v>
      </c>
      <c r="C483" s="10" t="s">
        <v>161</v>
      </c>
      <c r="E483" s="78">
        <f t="shared" si="2"/>
        <v>14</v>
      </c>
      <c r="F483" s="10"/>
      <c r="G483" s="106"/>
      <c r="H483" s="151"/>
      <c r="I483" s="106"/>
      <c r="J483" s="106"/>
      <c r="K483" s="151"/>
    </row>
    <row r="484" spans="1:11">
      <c r="A484" s="78">
        <f t="shared" si="1"/>
        <v>15</v>
      </c>
      <c r="C484" s="10"/>
      <c r="E484" s="78">
        <f t="shared" si="2"/>
        <v>15</v>
      </c>
      <c r="F484" s="10"/>
      <c r="G484" s="106"/>
      <c r="H484" s="151"/>
      <c r="I484" s="106"/>
      <c r="J484" s="106"/>
      <c r="K484" s="151"/>
    </row>
    <row r="485" spans="1:11" ht="20.25" customHeight="1">
      <c r="A485" s="78">
        <f t="shared" si="1"/>
        <v>16</v>
      </c>
      <c r="C485" s="10"/>
      <c r="E485" s="78">
        <f t="shared" si="2"/>
        <v>16</v>
      </c>
      <c r="F485" s="10"/>
      <c r="G485" s="106"/>
      <c r="H485" s="151"/>
      <c r="I485" s="106"/>
      <c r="J485" s="106"/>
      <c r="K485" s="151"/>
    </row>
    <row r="486" spans="1:11">
      <c r="A486" s="78">
        <f t="shared" si="1"/>
        <v>17</v>
      </c>
      <c r="C486" s="10"/>
      <c r="E486" s="78">
        <f t="shared" si="2"/>
        <v>17</v>
      </c>
      <c r="F486" s="10"/>
      <c r="G486" s="106"/>
      <c r="H486" s="151"/>
      <c r="I486" s="106"/>
      <c r="J486" s="106"/>
      <c r="K486" s="151"/>
    </row>
    <row r="487" spans="1:11">
      <c r="A487" s="78">
        <f t="shared" si="1"/>
        <v>18</v>
      </c>
      <c r="C487" s="10"/>
      <c r="E487" s="78">
        <f t="shared" si="2"/>
        <v>18</v>
      </c>
      <c r="F487" s="10"/>
      <c r="G487" s="106"/>
      <c r="H487" s="151"/>
      <c r="I487" s="106"/>
      <c r="J487" s="106"/>
      <c r="K487" s="151"/>
    </row>
    <row r="488" spans="1:11">
      <c r="A488" s="78">
        <f t="shared" si="1"/>
        <v>19</v>
      </c>
      <c r="C488" s="10"/>
      <c r="E488" s="78">
        <f t="shared" si="2"/>
        <v>19</v>
      </c>
      <c r="F488" s="10"/>
      <c r="G488" s="106"/>
      <c r="H488" s="151"/>
      <c r="I488" s="106"/>
      <c r="J488" s="106"/>
      <c r="K488" s="151"/>
    </row>
    <row r="489" spans="1:11" s="36" customFormat="1">
      <c r="A489" s="78">
        <f t="shared" si="1"/>
        <v>20</v>
      </c>
      <c r="B489" s="137"/>
      <c r="C489" s="10"/>
      <c r="D489" s="137"/>
      <c r="E489" s="78">
        <f t="shared" si="2"/>
        <v>20</v>
      </c>
      <c r="F489" s="10"/>
      <c r="G489" s="106"/>
      <c r="H489" s="151"/>
      <c r="I489" s="106"/>
      <c r="J489" s="106"/>
      <c r="K489" s="151"/>
    </row>
    <row r="490" spans="1:11" s="36" customFormat="1">
      <c r="A490" s="78">
        <f t="shared" si="1"/>
        <v>21</v>
      </c>
      <c r="B490" s="137"/>
      <c r="C490" s="10"/>
      <c r="D490" s="137"/>
      <c r="E490" s="78">
        <f t="shared" si="2"/>
        <v>21</v>
      </c>
      <c r="F490" s="10"/>
      <c r="G490" s="106"/>
      <c r="H490" s="151"/>
      <c r="I490" s="106"/>
      <c r="J490" s="106"/>
      <c r="K490" s="151"/>
    </row>
    <row r="491" spans="1:11">
      <c r="A491" s="78">
        <f t="shared" si="1"/>
        <v>22</v>
      </c>
      <c r="C491" s="10"/>
      <c r="E491" s="78">
        <f t="shared" si="2"/>
        <v>22</v>
      </c>
      <c r="F491" s="10"/>
      <c r="G491" s="106"/>
      <c r="H491" s="151"/>
      <c r="I491" s="106"/>
      <c r="J491" s="106"/>
      <c r="K491" s="151"/>
    </row>
    <row r="492" spans="1:11">
      <c r="A492" s="78">
        <f t="shared" si="1"/>
        <v>23</v>
      </c>
      <c r="C492" s="10"/>
      <c r="E492" s="78">
        <f t="shared" si="2"/>
        <v>23</v>
      </c>
      <c r="F492" s="10"/>
      <c r="G492" s="106"/>
      <c r="H492" s="151"/>
      <c r="I492" s="106"/>
      <c r="J492" s="106"/>
      <c r="K492" s="151"/>
    </row>
    <row r="493" spans="1:11">
      <c r="A493" s="78">
        <f t="shared" si="1"/>
        <v>24</v>
      </c>
      <c r="C493" s="10"/>
      <c r="E493" s="78">
        <f t="shared" si="2"/>
        <v>24</v>
      </c>
      <c r="F493" s="10"/>
      <c r="G493" s="106"/>
      <c r="H493" s="151"/>
      <c r="I493" s="106"/>
      <c r="J493" s="106"/>
      <c r="K493" s="151"/>
    </row>
    <row r="494" spans="1:11">
      <c r="A494" s="79"/>
      <c r="E494" s="79"/>
      <c r="F494" s="70" t="s">
        <v>6</v>
      </c>
      <c r="G494" s="20" t="s">
        <v>6</v>
      </c>
      <c r="H494" s="21"/>
      <c r="I494" s="70"/>
      <c r="J494" s="20"/>
      <c r="K494" s="21"/>
    </row>
    <row r="495" spans="1:11">
      <c r="A495" s="78">
        <f>(A493+1)</f>
        <v>25</v>
      </c>
      <c r="C495" s="9" t="s">
        <v>162</v>
      </c>
      <c r="E495" s="78">
        <f>(E493+1)</f>
        <v>25</v>
      </c>
      <c r="G495" s="107"/>
      <c r="H495" s="108">
        <f>SUM(H470:H493)</f>
        <v>32645887.5</v>
      </c>
      <c r="I495" s="108"/>
      <c r="J495" s="107"/>
      <c r="K495" s="108">
        <f>SUM(K470:K493)</f>
        <v>33390840</v>
      </c>
    </row>
    <row r="496" spans="1:11">
      <c r="A496" s="78"/>
      <c r="C496" s="9"/>
      <c r="E496" s="78"/>
      <c r="F496" s="70" t="s">
        <v>6</v>
      </c>
      <c r="G496" s="20" t="s">
        <v>6</v>
      </c>
      <c r="H496" s="21"/>
      <c r="I496" s="70"/>
      <c r="J496" s="20"/>
      <c r="K496" s="21"/>
    </row>
    <row r="497" spans="1:11">
      <c r="E497" s="35"/>
    </row>
    <row r="498" spans="1:11">
      <c r="E498" s="35"/>
    </row>
    <row r="500" spans="1:11">
      <c r="E500" s="35"/>
      <c r="G500" s="14"/>
      <c r="H500" s="40"/>
      <c r="J500" s="14"/>
      <c r="K500" s="40"/>
    </row>
    <row r="501" spans="1:11">
      <c r="A501" s="16" t="str">
        <f>$A$83</f>
        <v xml:space="preserve">Institution No.:  </v>
      </c>
      <c r="B501" s="36"/>
      <c r="C501" s="36"/>
      <c r="D501" s="36"/>
      <c r="E501" s="37"/>
      <c r="F501" s="36"/>
      <c r="G501" s="38"/>
      <c r="H501" s="39"/>
      <c r="I501" s="36"/>
      <c r="J501" s="38"/>
      <c r="K501" s="15" t="s">
        <v>163</v>
      </c>
    </row>
    <row r="502" spans="1:11">
      <c r="A502" s="229" t="s">
        <v>164</v>
      </c>
      <c r="B502" s="229"/>
      <c r="C502" s="229"/>
      <c r="D502" s="229"/>
      <c r="E502" s="229"/>
      <c r="F502" s="229"/>
      <c r="G502" s="229"/>
      <c r="H502" s="229"/>
      <c r="I502" s="229"/>
      <c r="J502" s="229"/>
      <c r="K502" s="229"/>
    </row>
    <row r="503" spans="1:11">
      <c r="A503" s="16" t="str">
        <f>$A$42</f>
        <v xml:space="preserve">NAME: </v>
      </c>
      <c r="C503" s="137" t="str">
        <f>$D$20</f>
        <v>University of Colorado</v>
      </c>
      <c r="G503" s="80"/>
      <c r="H503" s="40"/>
      <c r="J503" s="14"/>
      <c r="K503" s="18" t="str">
        <f>$K$3</f>
        <v>Date: October 09, 2017</v>
      </c>
    </row>
    <row r="504" spans="1:11" ht="12.75" customHeight="1">
      <c r="A504" s="19" t="s">
        <v>6</v>
      </c>
      <c r="B504" s="19" t="s">
        <v>6</v>
      </c>
      <c r="C504" s="19" t="s">
        <v>6</v>
      </c>
      <c r="D504" s="19" t="s">
        <v>6</v>
      </c>
      <c r="E504" s="19" t="s">
        <v>6</v>
      </c>
      <c r="F504" s="19" t="s">
        <v>6</v>
      </c>
      <c r="G504" s="20" t="s">
        <v>6</v>
      </c>
      <c r="H504" s="21" t="s">
        <v>6</v>
      </c>
      <c r="I504" s="19" t="s">
        <v>6</v>
      </c>
      <c r="J504" s="20" t="s">
        <v>6</v>
      </c>
      <c r="K504" s="21" t="s">
        <v>6</v>
      </c>
    </row>
    <row r="505" spans="1:11">
      <c r="A505" s="22" t="s">
        <v>7</v>
      </c>
      <c r="E505" s="22" t="s">
        <v>7</v>
      </c>
      <c r="F505" s="23"/>
      <c r="G505" s="24"/>
      <c r="H505" s="25" t="str">
        <f>H467</f>
        <v>2016-17</v>
      </c>
      <c r="I505" s="23"/>
      <c r="J505" s="24"/>
      <c r="K505" s="25" t="str">
        <f>K467</f>
        <v>2017-18</v>
      </c>
    </row>
    <row r="506" spans="1:11">
      <c r="A506" s="22" t="s">
        <v>9</v>
      </c>
      <c r="C506" s="26" t="s">
        <v>51</v>
      </c>
      <c r="E506" s="22" t="s">
        <v>9</v>
      </c>
      <c r="F506" s="23"/>
      <c r="G506" s="24" t="s">
        <v>11</v>
      </c>
      <c r="H506" s="25" t="s">
        <v>12</v>
      </c>
      <c r="I506" s="23"/>
      <c r="J506" s="24" t="s">
        <v>11</v>
      </c>
      <c r="K506" s="25" t="s">
        <v>13</v>
      </c>
    </row>
    <row r="507" spans="1:11">
      <c r="A507" s="19" t="s">
        <v>6</v>
      </c>
      <c r="B507" s="19" t="s">
        <v>6</v>
      </c>
      <c r="C507" s="19" t="s">
        <v>6</v>
      </c>
      <c r="D507" s="19" t="s">
        <v>6</v>
      </c>
      <c r="E507" s="19" t="s">
        <v>6</v>
      </c>
      <c r="F507" s="19" t="s">
        <v>6</v>
      </c>
      <c r="G507" s="20" t="s">
        <v>6</v>
      </c>
      <c r="H507" s="21" t="s">
        <v>6</v>
      </c>
      <c r="I507" s="19" t="s">
        <v>6</v>
      </c>
      <c r="J507" s="20" t="s">
        <v>6</v>
      </c>
      <c r="K507" s="21" t="s">
        <v>6</v>
      </c>
    </row>
    <row r="508" spans="1:11">
      <c r="A508" s="8">
        <v>1</v>
      </c>
      <c r="B508" s="19"/>
      <c r="C508" s="9" t="s">
        <v>165</v>
      </c>
      <c r="D508" s="19"/>
      <c r="E508" s="8">
        <v>1</v>
      </c>
      <c r="F508" s="19"/>
      <c r="G508" s="174">
        <v>1850</v>
      </c>
      <c r="H508" s="174">
        <v>177695934</v>
      </c>
      <c r="I508" s="109"/>
      <c r="J508" s="174">
        <v>1900</v>
      </c>
      <c r="K508" s="174">
        <v>178090464.61037299</v>
      </c>
    </row>
    <row r="509" spans="1:11">
      <c r="A509" s="8">
        <v>2</v>
      </c>
      <c r="B509" s="19"/>
      <c r="C509" s="9" t="s">
        <v>166</v>
      </c>
      <c r="D509" s="19"/>
      <c r="E509" s="8">
        <v>2</v>
      </c>
      <c r="F509" s="19"/>
      <c r="G509" s="175"/>
      <c r="H509" s="174">
        <v>55309051</v>
      </c>
      <c r="I509" s="19"/>
      <c r="J509" s="175"/>
      <c r="K509" s="174">
        <v>54618736.7074802</v>
      </c>
    </row>
    <row r="510" spans="1:11">
      <c r="A510" s="8">
        <v>3</v>
      </c>
      <c r="C510" s="9" t="s">
        <v>167</v>
      </c>
      <c r="E510" s="8">
        <v>3</v>
      </c>
      <c r="F510" s="10"/>
      <c r="G510" s="174">
        <v>636</v>
      </c>
      <c r="H510" s="174">
        <v>34303099</v>
      </c>
      <c r="I510" s="110"/>
      <c r="J510" s="174">
        <v>650</v>
      </c>
      <c r="K510" s="174">
        <v>34924258.654262602</v>
      </c>
    </row>
    <row r="511" spans="1:11">
      <c r="A511" s="8">
        <v>4</v>
      </c>
      <c r="C511" s="9" t="s">
        <v>168</v>
      </c>
      <c r="E511" s="8">
        <v>4</v>
      </c>
      <c r="F511" s="10"/>
      <c r="G511" s="176"/>
      <c r="H511" s="174">
        <v>27311710</v>
      </c>
      <c r="I511" s="110"/>
      <c r="J511" s="176"/>
      <c r="K511" s="174">
        <v>26713894.0954055</v>
      </c>
    </row>
    <row r="512" spans="1:11">
      <c r="A512" s="8">
        <v>5</v>
      </c>
      <c r="C512" s="9" t="s">
        <v>169</v>
      </c>
      <c r="E512" s="8">
        <v>5</v>
      </c>
      <c r="F512" s="10"/>
      <c r="G512" s="176">
        <f>G508+G510</f>
        <v>2486</v>
      </c>
      <c r="H512" s="176">
        <f>SUM(H508:H511)</f>
        <v>294619794</v>
      </c>
      <c r="I512" s="110"/>
      <c r="J512" s="176">
        <f>SUM(J508:J511)</f>
        <v>2550</v>
      </c>
      <c r="K512" s="176">
        <f>SUM(K508:K511)</f>
        <v>294347354.06752127</v>
      </c>
    </row>
    <row r="513" spans="1:11">
      <c r="A513" s="8">
        <v>6</v>
      </c>
      <c r="C513" s="9" t="s">
        <v>170</v>
      </c>
      <c r="E513" s="8">
        <v>6</v>
      </c>
      <c r="F513" s="10"/>
      <c r="G513" s="174">
        <v>310</v>
      </c>
      <c r="H513" s="174">
        <v>23097612</v>
      </c>
      <c r="I513" s="110"/>
      <c r="J513" s="176">
        <v>315</v>
      </c>
      <c r="K513" s="174">
        <v>25753441.1160095</v>
      </c>
    </row>
    <row r="514" spans="1:11">
      <c r="A514" s="8">
        <v>7</v>
      </c>
      <c r="C514" s="9" t="s">
        <v>171</v>
      </c>
      <c r="E514" s="8">
        <v>7</v>
      </c>
      <c r="F514" s="10"/>
      <c r="G514" s="176"/>
      <c r="H514" s="174">
        <v>9032993</v>
      </c>
      <c r="I514" s="110"/>
      <c r="J514" s="176"/>
      <c r="K514" s="174">
        <v>8438904.66237887</v>
      </c>
    </row>
    <row r="515" spans="1:11" ht="12" customHeight="1">
      <c r="A515" s="8">
        <v>8</v>
      </c>
      <c r="C515" s="9" t="s">
        <v>172</v>
      </c>
      <c r="E515" s="8">
        <v>8</v>
      </c>
      <c r="F515" s="10"/>
      <c r="G515" s="176">
        <f>G512+G513+G514</f>
        <v>2796</v>
      </c>
      <c r="H515" s="176">
        <f>H512+H513+H514</f>
        <v>326750399</v>
      </c>
      <c r="I515" s="109"/>
      <c r="J515" s="176">
        <f>J512+J513+J514</f>
        <v>2865</v>
      </c>
      <c r="K515" s="176">
        <f>K512+K513+K514</f>
        <v>328539699.8459096</v>
      </c>
    </row>
    <row r="516" spans="1:11" s="82" customFormat="1" ht="12" customHeight="1">
      <c r="A516" s="8">
        <v>9</v>
      </c>
      <c r="B516" s="137"/>
      <c r="C516" s="137"/>
      <c r="D516" s="137"/>
      <c r="E516" s="8">
        <v>9</v>
      </c>
      <c r="F516" s="10"/>
      <c r="G516" s="176"/>
      <c r="H516" s="176"/>
      <c r="I516" s="108"/>
      <c r="J516" s="176"/>
      <c r="K516" s="176"/>
    </row>
    <row r="517" spans="1:11">
      <c r="A517" s="8">
        <v>10</v>
      </c>
      <c r="C517" s="9" t="s">
        <v>173</v>
      </c>
      <c r="E517" s="8">
        <v>10</v>
      </c>
      <c r="F517" s="10"/>
      <c r="G517" s="174">
        <v>0</v>
      </c>
      <c r="H517" s="174">
        <v>0</v>
      </c>
      <c r="I517" s="110"/>
      <c r="J517" s="174">
        <v>0</v>
      </c>
      <c r="K517" s="174">
        <v>0</v>
      </c>
    </row>
    <row r="518" spans="1:11">
      <c r="A518" s="8">
        <v>11</v>
      </c>
      <c r="C518" s="9" t="s">
        <v>174</v>
      </c>
      <c r="E518" s="8">
        <v>11</v>
      </c>
      <c r="F518" s="10"/>
      <c r="G518" s="174">
        <v>239</v>
      </c>
      <c r="H518" s="174">
        <v>12087622</v>
      </c>
      <c r="I518" s="110"/>
      <c r="J518" s="174">
        <v>250</v>
      </c>
      <c r="K518" s="174">
        <v>12101750.420361601</v>
      </c>
    </row>
    <row r="519" spans="1:11">
      <c r="A519" s="8">
        <v>12</v>
      </c>
      <c r="C519" s="9" t="s">
        <v>175</v>
      </c>
      <c r="E519" s="8">
        <v>12</v>
      </c>
      <c r="F519" s="10"/>
      <c r="G519" s="176"/>
      <c r="H519" s="174">
        <v>4545978</v>
      </c>
      <c r="I519" s="110"/>
      <c r="J519" s="176"/>
      <c r="K519" s="174">
        <v>4763248.7988501498</v>
      </c>
    </row>
    <row r="520" spans="1:11">
      <c r="A520" s="8">
        <v>13</v>
      </c>
      <c r="C520" s="9" t="s">
        <v>176</v>
      </c>
      <c r="E520" s="8">
        <v>13</v>
      </c>
      <c r="F520" s="10"/>
      <c r="G520" s="176">
        <f>SUM(G517:G519)</f>
        <v>239</v>
      </c>
      <c r="H520" s="176">
        <f>SUM(H517:H519)</f>
        <v>16633600</v>
      </c>
      <c r="I520" s="107"/>
      <c r="J520" s="176">
        <f>SUM(J517:J519)</f>
        <v>250</v>
      </c>
      <c r="K520" s="176">
        <f>SUM(K517:K519)</f>
        <v>16864999.21921175</v>
      </c>
    </row>
    <row r="521" spans="1:11">
      <c r="A521" s="8">
        <v>14</v>
      </c>
      <c r="E521" s="8">
        <v>14</v>
      </c>
      <c r="F521" s="10"/>
      <c r="G521" s="177"/>
      <c r="H521" s="176"/>
      <c r="I521" s="108"/>
      <c r="J521" s="177"/>
      <c r="K521" s="176"/>
    </row>
    <row r="522" spans="1:11">
      <c r="A522" s="8">
        <v>15</v>
      </c>
      <c r="C522" s="9" t="s">
        <v>177</v>
      </c>
      <c r="E522" s="8">
        <v>15</v>
      </c>
      <c r="G522" s="160">
        <f>SUM(G515+G520)</f>
        <v>3035</v>
      </c>
      <c r="H522" s="160">
        <f>SUM(H515+H520)</f>
        <v>343383999</v>
      </c>
      <c r="I522" s="108"/>
      <c r="J522" s="160">
        <f>SUM(J515+J520)</f>
        <v>3115</v>
      </c>
      <c r="K522" s="160">
        <f>SUM(K515+K520)</f>
        <v>345404699.06512135</v>
      </c>
    </row>
    <row r="523" spans="1:11">
      <c r="A523" s="8">
        <v>16</v>
      </c>
      <c r="E523" s="8">
        <v>16</v>
      </c>
      <c r="G523" s="160"/>
      <c r="H523" s="160"/>
      <c r="I523" s="108"/>
      <c r="J523" s="160"/>
      <c r="K523" s="160"/>
    </row>
    <row r="524" spans="1:11">
      <c r="A524" s="8">
        <v>17</v>
      </c>
      <c r="C524" s="9" t="s">
        <v>178</v>
      </c>
      <c r="E524" s="8">
        <v>17</v>
      </c>
      <c r="F524" s="10"/>
      <c r="G524" s="176"/>
      <c r="H524" s="174">
        <v>4330961</v>
      </c>
      <c r="I524" s="110"/>
      <c r="J524" s="176"/>
      <c r="K524" s="174">
        <v>4456874.5781692797</v>
      </c>
    </row>
    <row r="525" spans="1:11">
      <c r="A525" s="8">
        <v>18</v>
      </c>
      <c r="E525" s="8">
        <v>18</v>
      </c>
      <c r="F525" s="10"/>
      <c r="G525" s="176"/>
      <c r="H525" s="176"/>
      <c r="I525" s="110"/>
      <c r="J525" s="176"/>
      <c r="K525" s="176"/>
    </row>
    <row r="526" spans="1:11" s="36" customFormat="1">
      <c r="A526" s="8">
        <v>19</v>
      </c>
      <c r="B526" s="137"/>
      <c r="C526" s="9" t="s">
        <v>179</v>
      </c>
      <c r="D526" s="137"/>
      <c r="E526" s="8">
        <v>19</v>
      </c>
      <c r="F526" s="10"/>
      <c r="G526" s="176"/>
      <c r="H526" s="174">
        <f>4512717</f>
        <v>4512717</v>
      </c>
      <c r="I526" s="110"/>
      <c r="J526" s="176"/>
      <c r="K526" s="174">
        <v>5715082</v>
      </c>
    </row>
    <row r="527" spans="1:11" s="36" customFormat="1">
      <c r="A527" s="8">
        <v>20</v>
      </c>
      <c r="B527" s="137"/>
      <c r="C527" s="81" t="s">
        <v>180</v>
      </c>
      <c r="D527" s="137"/>
      <c r="E527" s="8">
        <v>20</v>
      </c>
      <c r="F527" s="10"/>
      <c r="G527" s="176"/>
      <c r="H527" s="174">
        <v>21738444</v>
      </c>
      <c r="I527" s="110"/>
      <c r="J527" s="176"/>
      <c r="K527" s="174">
        <v>25129060</v>
      </c>
    </row>
    <row r="528" spans="1:11">
      <c r="A528" s="8">
        <v>21</v>
      </c>
      <c r="C528" s="81"/>
      <c r="E528" s="8">
        <v>21</v>
      </c>
      <c r="F528" s="10"/>
      <c r="G528" s="176"/>
      <c r="H528" s="176"/>
      <c r="I528" s="110"/>
      <c r="J528" s="176"/>
      <c r="K528" s="176"/>
    </row>
    <row r="529" spans="1:11">
      <c r="A529" s="8">
        <v>22</v>
      </c>
      <c r="C529" s="9"/>
      <c r="E529" s="8">
        <v>22</v>
      </c>
      <c r="G529" s="176"/>
      <c r="H529" s="176"/>
      <c r="I529" s="110"/>
      <c r="J529" s="176"/>
      <c r="K529" s="176"/>
    </row>
    <row r="530" spans="1:11">
      <c r="A530" s="8">
        <v>23</v>
      </c>
      <c r="C530" s="9" t="s">
        <v>181</v>
      </c>
      <c r="E530" s="8">
        <v>23</v>
      </c>
      <c r="G530" s="176"/>
      <c r="H530" s="174">
        <v>0</v>
      </c>
      <c r="I530" s="110"/>
      <c r="J530" s="176"/>
      <c r="K530" s="174">
        <v>0</v>
      </c>
    </row>
    <row r="531" spans="1:11">
      <c r="A531" s="8">
        <v>24</v>
      </c>
      <c r="C531" s="9"/>
      <c r="E531" s="8">
        <v>24</v>
      </c>
      <c r="G531" s="109"/>
      <c r="H531" s="176"/>
      <c r="I531" s="110"/>
      <c r="J531" s="176"/>
      <c r="K531" s="176"/>
    </row>
    <row r="532" spans="1:11">
      <c r="A532" s="8"/>
      <c r="E532" s="8"/>
      <c r="F532" s="70" t="s">
        <v>6</v>
      </c>
      <c r="G532" s="83"/>
      <c r="H532" s="21"/>
      <c r="I532" s="70"/>
      <c r="J532" s="83"/>
      <c r="K532" s="21"/>
    </row>
    <row r="533" spans="1:11">
      <c r="A533" s="8">
        <v>25</v>
      </c>
      <c r="C533" s="9" t="s">
        <v>182</v>
      </c>
      <c r="E533" s="8">
        <v>25</v>
      </c>
      <c r="G533" s="108">
        <f>SUM(G522:G531)</f>
        <v>3035</v>
      </c>
      <c r="H533" s="108">
        <f>SUM(H522:H531)</f>
        <v>373966121</v>
      </c>
      <c r="I533" s="113"/>
      <c r="J533" s="108">
        <f>SUM(J522:J531)</f>
        <v>3115</v>
      </c>
      <c r="K533" s="108">
        <f>SUM(K522:K531)</f>
        <v>380705715.64329064</v>
      </c>
    </row>
    <row r="534" spans="1:11">
      <c r="F534" s="70" t="s">
        <v>6</v>
      </c>
      <c r="G534" s="20"/>
      <c r="H534" s="21"/>
      <c r="I534" s="70"/>
      <c r="J534" s="20"/>
      <c r="K534" s="21"/>
    </row>
    <row r="535" spans="1:11">
      <c r="F535" s="70"/>
      <c r="G535" s="20"/>
      <c r="H535" s="21"/>
      <c r="I535" s="70"/>
      <c r="J535" s="20"/>
      <c r="K535" s="21"/>
    </row>
    <row r="536" spans="1:11" ht="15.75">
      <c r="C536" s="84"/>
      <c r="D536" s="84"/>
      <c r="E536" s="84"/>
      <c r="F536" s="70"/>
      <c r="G536" s="20"/>
      <c r="H536" s="21"/>
      <c r="I536" s="70"/>
      <c r="J536" s="20"/>
      <c r="K536" s="21"/>
    </row>
    <row r="537" spans="1:11">
      <c r="C537" s="137" t="s">
        <v>49</v>
      </c>
      <c r="F537" s="70"/>
      <c r="G537" s="20"/>
      <c r="H537" s="21"/>
      <c r="I537" s="70"/>
      <c r="J537" s="20"/>
      <c r="K537" s="21"/>
    </row>
    <row r="538" spans="1:11">
      <c r="A538" s="9"/>
    </row>
    <row r="539" spans="1:11">
      <c r="E539" s="35"/>
      <c r="G539" s="14"/>
      <c r="H539" s="40"/>
      <c r="J539" s="14"/>
      <c r="K539" s="40"/>
    </row>
    <row r="540" spans="1:11">
      <c r="A540" s="16" t="str">
        <f>$A$83</f>
        <v xml:space="preserve">Institution No.:  </v>
      </c>
      <c r="B540" s="36"/>
      <c r="C540" s="36"/>
      <c r="D540" s="36"/>
      <c r="E540" s="37"/>
      <c r="F540" s="36"/>
      <c r="G540" s="38"/>
      <c r="H540" s="39"/>
      <c r="I540" s="36"/>
      <c r="J540" s="38"/>
      <c r="K540" s="15" t="s">
        <v>183</v>
      </c>
    </row>
    <row r="541" spans="1:11">
      <c r="A541" s="229" t="s">
        <v>184</v>
      </c>
      <c r="B541" s="229"/>
      <c r="C541" s="229"/>
      <c r="D541" s="229"/>
      <c r="E541" s="229"/>
      <c r="F541" s="229"/>
      <c r="G541" s="229"/>
      <c r="H541" s="229"/>
      <c r="I541" s="229"/>
      <c r="J541" s="229"/>
      <c r="K541" s="229"/>
    </row>
    <row r="542" spans="1:11">
      <c r="A542" s="16" t="str">
        <f>$A$42</f>
        <v xml:space="preserve">NAME: </v>
      </c>
      <c r="C542" s="137" t="str">
        <f>$D$20</f>
        <v>University of Colorado</v>
      </c>
      <c r="G542" s="80"/>
      <c r="H542" s="40"/>
      <c r="J542" s="14"/>
      <c r="K542" s="18" t="str">
        <f>$K$3</f>
        <v>Date: October 09, 2017</v>
      </c>
    </row>
    <row r="543" spans="1:11">
      <c r="A543" s="19" t="s">
        <v>6</v>
      </c>
      <c r="B543" s="19" t="s">
        <v>6</v>
      </c>
      <c r="C543" s="19" t="s">
        <v>6</v>
      </c>
      <c r="D543" s="19" t="s">
        <v>6</v>
      </c>
      <c r="E543" s="19" t="s">
        <v>6</v>
      </c>
      <c r="F543" s="19" t="s">
        <v>6</v>
      </c>
      <c r="G543" s="20" t="s">
        <v>6</v>
      </c>
      <c r="H543" s="21" t="s">
        <v>6</v>
      </c>
      <c r="I543" s="19" t="s">
        <v>6</v>
      </c>
      <c r="J543" s="20" t="s">
        <v>6</v>
      </c>
      <c r="K543" s="21" t="s">
        <v>6</v>
      </c>
    </row>
    <row r="544" spans="1:11">
      <c r="A544" s="22" t="s">
        <v>7</v>
      </c>
      <c r="E544" s="22" t="s">
        <v>7</v>
      </c>
      <c r="F544" s="23"/>
      <c r="G544" s="24"/>
      <c r="H544" s="25" t="str">
        <f>H505</f>
        <v>2016-17</v>
      </c>
      <c r="I544" s="23"/>
      <c r="J544" s="24"/>
      <c r="K544" s="25" t="str">
        <f>K505</f>
        <v>2017-18</v>
      </c>
    </row>
    <row r="545" spans="1:11">
      <c r="A545" s="22" t="s">
        <v>9</v>
      </c>
      <c r="C545" s="26" t="s">
        <v>51</v>
      </c>
      <c r="E545" s="22" t="s">
        <v>9</v>
      </c>
      <c r="F545" s="23"/>
      <c r="G545" s="24" t="s">
        <v>11</v>
      </c>
      <c r="H545" s="25" t="s">
        <v>12</v>
      </c>
      <c r="I545" s="23"/>
      <c r="J545" s="24" t="s">
        <v>11</v>
      </c>
      <c r="K545" s="25" t="s">
        <v>13</v>
      </c>
    </row>
    <row r="546" spans="1:11">
      <c r="A546" s="19" t="s">
        <v>6</v>
      </c>
      <c r="B546" s="19" t="s">
        <v>6</v>
      </c>
      <c r="C546" s="19" t="s">
        <v>6</v>
      </c>
      <c r="D546" s="19" t="s">
        <v>6</v>
      </c>
      <c r="E546" s="19" t="s">
        <v>6</v>
      </c>
      <c r="F546" s="19" t="s">
        <v>6</v>
      </c>
      <c r="G546" s="20" t="s">
        <v>6</v>
      </c>
      <c r="H546" s="21" t="s">
        <v>6</v>
      </c>
      <c r="I546" s="19" t="s">
        <v>6</v>
      </c>
      <c r="J546" s="20" t="s">
        <v>6</v>
      </c>
      <c r="K546" s="21" t="s">
        <v>6</v>
      </c>
    </row>
    <row r="547" spans="1:11">
      <c r="A547" s="8">
        <v>1</v>
      </c>
      <c r="B547" s="19"/>
      <c r="C547" s="9" t="s">
        <v>165</v>
      </c>
      <c r="D547" s="19"/>
      <c r="E547" s="8">
        <v>1</v>
      </c>
      <c r="F547" s="19"/>
      <c r="G547" s="174">
        <v>75</v>
      </c>
      <c r="H547" s="174">
        <v>4699655</v>
      </c>
      <c r="I547" s="19"/>
      <c r="J547" s="174">
        <v>79</v>
      </c>
      <c r="K547" s="174">
        <v>4710748.6296150303</v>
      </c>
    </row>
    <row r="548" spans="1:11">
      <c r="A548" s="8">
        <v>2</v>
      </c>
      <c r="B548" s="19"/>
      <c r="C548" s="9" t="s">
        <v>166</v>
      </c>
      <c r="D548" s="19"/>
      <c r="E548" s="8">
        <v>2</v>
      </c>
      <c r="F548" s="19"/>
      <c r="G548" s="176"/>
      <c r="H548" s="174">
        <v>1434979</v>
      </c>
      <c r="I548" s="109"/>
      <c r="J548" s="176"/>
      <c r="K548" s="174">
        <v>1467298.87784877</v>
      </c>
    </row>
    <row r="549" spans="1:11">
      <c r="A549" s="8">
        <v>3</v>
      </c>
      <c r="C549" s="9" t="s">
        <v>167</v>
      </c>
      <c r="E549" s="8">
        <v>3</v>
      </c>
      <c r="F549" s="10"/>
      <c r="G549" s="174">
        <v>30</v>
      </c>
      <c r="H549" s="174">
        <v>1366308</v>
      </c>
      <c r="I549" s="110"/>
      <c r="J549" s="174">
        <v>32</v>
      </c>
      <c r="K549" s="174">
        <v>1381388.1633081699</v>
      </c>
    </row>
    <row r="550" spans="1:11">
      <c r="A550" s="8">
        <v>4</v>
      </c>
      <c r="C550" s="9" t="s">
        <v>168</v>
      </c>
      <c r="E550" s="8">
        <v>4</v>
      </c>
      <c r="F550" s="10"/>
      <c r="G550" s="176"/>
      <c r="H550" s="174">
        <v>4254095</v>
      </c>
      <c r="I550" s="110"/>
      <c r="J550" s="176"/>
      <c r="K550" s="174">
        <v>4283098.2681712098</v>
      </c>
    </row>
    <row r="551" spans="1:11">
      <c r="A551" s="8">
        <v>5</v>
      </c>
      <c r="C551" s="9" t="s">
        <v>169</v>
      </c>
      <c r="E551" s="8">
        <v>5</v>
      </c>
      <c r="F551" s="10"/>
      <c r="G551" s="176">
        <f>SUM(G547:G550)</f>
        <v>105</v>
      </c>
      <c r="H551" s="176">
        <f>SUM(H547:H550)</f>
        <v>11755037</v>
      </c>
      <c r="I551" s="110"/>
      <c r="J551" s="176">
        <f>SUM(J547:J550)</f>
        <v>111</v>
      </c>
      <c r="K551" s="176">
        <f>SUM(K547:K550)</f>
        <v>11842533.938943179</v>
      </c>
    </row>
    <row r="552" spans="1:11">
      <c r="A552" s="8">
        <v>6</v>
      </c>
      <c r="C552" s="9" t="s">
        <v>170</v>
      </c>
      <c r="E552" s="8">
        <v>6</v>
      </c>
      <c r="F552" s="10"/>
      <c r="G552" s="176"/>
      <c r="H552" s="176">
        <v>379850</v>
      </c>
      <c r="I552" s="110"/>
      <c r="J552" s="176"/>
      <c r="K552" s="176">
        <v>391246</v>
      </c>
    </row>
    <row r="553" spans="1:11">
      <c r="A553" s="8">
        <v>7</v>
      </c>
      <c r="C553" s="9" t="s">
        <v>171</v>
      </c>
      <c r="E553" s="8">
        <v>7</v>
      </c>
      <c r="F553" s="10"/>
      <c r="G553" s="176"/>
      <c r="H553" s="176">
        <v>135203</v>
      </c>
      <c r="I553" s="110"/>
      <c r="J553" s="176"/>
      <c r="K553" s="176">
        <v>141325</v>
      </c>
    </row>
    <row r="554" spans="1:11">
      <c r="A554" s="8">
        <v>8</v>
      </c>
      <c r="C554" s="9" t="s">
        <v>185</v>
      </c>
      <c r="E554" s="8">
        <v>8</v>
      </c>
      <c r="F554" s="10"/>
      <c r="G554" s="176">
        <f>G551+G552+G553</f>
        <v>105</v>
      </c>
      <c r="H554" s="176">
        <f>H551+H552+H553</f>
        <v>12270090</v>
      </c>
      <c r="I554" s="109"/>
      <c r="J554" s="176">
        <f>J551+J552+J553</f>
        <v>111</v>
      </c>
      <c r="K554" s="176">
        <f>K551+K552+K553</f>
        <v>12375104.938943179</v>
      </c>
    </row>
    <row r="555" spans="1:11">
      <c r="A555" s="8">
        <v>9</v>
      </c>
      <c r="E555" s="8">
        <v>9</v>
      </c>
      <c r="F555" s="10"/>
      <c r="G555" s="176"/>
      <c r="H555" s="176"/>
      <c r="I555" s="108"/>
      <c r="J555" s="176"/>
      <c r="K555" s="176"/>
    </row>
    <row r="556" spans="1:11">
      <c r="A556" s="8">
        <v>10</v>
      </c>
      <c r="C556" s="9" t="s">
        <v>173</v>
      </c>
      <c r="E556" s="8">
        <v>10</v>
      </c>
      <c r="F556" s="10"/>
      <c r="G556" s="174">
        <v>0</v>
      </c>
      <c r="H556" s="174">
        <v>0</v>
      </c>
      <c r="I556" s="110"/>
      <c r="J556" s="174">
        <v>0</v>
      </c>
      <c r="K556" s="174">
        <v>0</v>
      </c>
    </row>
    <row r="557" spans="1:11">
      <c r="A557" s="8">
        <v>11</v>
      </c>
      <c r="C557" s="9" t="s">
        <v>174</v>
      </c>
      <c r="E557" s="8">
        <v>11</v>
      </c>
      <c r="F557" s="10"/>
      <c r="G557" s="174">
        <v>4</v>
      </c>
      <c r="H557" s="174">
        <v>147380</v>
      </c>
      <c r="I557" s="110"/>
      <c r="J557" s="174">
        <v>5</v>
      </c>
      <c r="K557" s="174">
        <v>151455.943687922</v>
      </c>
    </row>
    <row r="558" spans="1:11">
      <c r="A558" s="8">
        <v>12</v>
      </c>
      <c r="C558" s="9" t="s">
        <v>175</v>
      </c>
      <c r="E558" s="8">
        <v>12</v>
      </c>
      <c r="F558" s="10"/>
      <c r="G558" s="176"/>
      <c r="H558" s="174">
        <v>55550</v>
      </c>
      <c r="I558" s="110"/>
      <c r="J558" s="176"/>
      <c r="K558" s="174">
        <v>57317.123570797201</v>
      </c>
    </row>
    <row r="559" spans="1:11">
      <c r="A559" s="8">
        <v>13</v>
      </c>
      <c r="C559" s="9" t="s">
        <v>186</v>
      </c>
      <c r="E559" s="8">
        <v>13</v>
      </c>
      <c r="F559" s="10"/>
      <c r="G559" s="176">
        <f>SUM(G556:G558)</f>
        <v>4</v>
      </c>
      <c r="H559" s="176">
        <f>SUM(H556:H558)</f>
        <v>202930</v>
      </c>
      <c r="I559" s="107"/>
      <c r="J559" s="176">
        <f>SUM(J556:J558)</f>
        <v>5</v>
      </c>
      <c r="K559" s="176">
        <f>SUM(K556:K558)</f>
        <v>208773.06725871921</v>
      </c>
    </row>
    <row r="560" spans="1:11">
      <c r="A560" s="8">
        <v>14</v>
      </c>
      <c r="E560" s="8">
        <v>14</v>
      </c>
      <c r="F560" s="10"/>
      <c r="G560" s="177"/>
      <c r="H560" s="176"/>
      <c r="I560" s="108"/>
      <c r="J560" s="177"/>
      <c r="K560" s="176"/>
    </row>
    <row r="561" spans="1:11">
      <c r="A561" s="8">
        <v>15</v>
      </c>
      <c r="C561" s="9" t="s">
        <v>177</v>
      </c>
      <c r="E561" s="8">
        <v>15</v>
      </c>
      <c r="G561" s="160">
        <f>SUM(G554+G559)</f>
        <v>109</v>
      </c>
      <c r="H561" s="160">
        <f>SUM(H554+H559)</f>
        <v>12473020</v>
      </c>
      <c r="I561" s="108"/>
      <c r="J561" s="160">
        <f>SUM(J554+J559)</f>
        <v>116</v>
      </c>
      <c r="K561" s="160">
        <f>SUM(K554+K559)</f>
        <v>12583878.006201899</v>
      </c>
    </row>
    <row r="562" spans="1:11">
      <c r="A562" s="8">
        <v>16</v>
      </c>
      <c r="E562" s="8">
        <v>16</v>
      </c>
      <c r="G562" s="160"/>
      <c r="H562" s="160"/>
      <c r="I562" s="108"/>
      <c r="J562" s="160"/>
      <c r="K562" s="160"/>
    </row>
    <row r="563" spans="1:11" s="36" customFormat="1">
      <c r="A563" s="8">
        <v>17</v>
      </c>
      <c r="B563" s="137"/>
      <c r="C563" s="9" t="s">
        <v>178</v>
      </c>
      <c r="D563" s="137"/>
      <c r="E563" s="8">
        <v>17</v>
      </c>
      <c r="F563" s="10"/>
      <c r="G563" s="176"/>
      <c r="H563" s="174">
        <v>87871</v>
      </c>
      <c r="I563" s="110"/>
      <c r="J563" s="176"/>
      <c r="K563" s="174">
        <v>89338.955270738501</v>
      </c>
    </row>
    <row r="564" spans="1:11" s="36" customFormat="1">
      <c r="A564" s="8">
        <v>18</v>
      </c>
      <c r="B564" s="137"/>
      <c r="C564" s="137"/>
      <c r="D564" s="137"/>
      <c r="E564" s="8">
        <v>18</v>
      </c>
      <c r="F564" s="10"/>
      <c r="G564" s="176"/>
      <c r="H564" s="176"/>
      <c r="I564" s="110"/>
      <c r="J564" s="176"/>
      <c r="K564" s="176"/>
    </row>
    <row r="565" spans="1:11">
      <c r="A565" s="8">
        <v>19</v>
      </c>
      <c r="C565" s="9" t="s">
        <v>179</v>
      </c>
      <c r="E565" s="8">
        <v>19</v>
      </c>
      <c r="F565" s="10"/>
      <c r="G565" s="176"/>
      <c r="H565" s="174">
        <v>145343</v>
      </c>
      <c r="I565" s="110"/>
      <c r="J565" s="176"/>
      <c r="K565" s="174">
        <v>184068</v>
      </c>
    </row>
    <row r="566" spans="1:11">
      <c r="A566" s="8">
        <v>20</v>
      </c>
      <c r="C566" s="81" t="s">
        <v>180</v>
      </c>
      <c r="E566" s="8">
        <v>20</v>
      </c>
      <c r="F566" s="10"/>
      <c r="G566" s="176"/>
      <c r="H566" s="174">
        <v>7382594</v>
      </c>
      <c r="I566" s="110"/>
      <c r="J566" s="176"/>
      <c r="K566" s="174">
        <v>7516048</v>
      </c>
    </row>
    <row r="567" spans="1:11">
      <c r="A567" s="8">
        <v>21</v>
      </c>
      <c r="C567" s="81"/>
      <c r="E567" s="8">
        <v>21</v>
      </c>
      <c r="F567" s="10"/>
      <c r="G567" s="176"/>
      <c r="H567" s="176"/>
      <c r="I567" s="110"/>
      <c r="J567" s="176"/>
      <c r="K567" s="176"/>
    </row>
    <row r="568" spans="1:11">
      <c r="A568" s="8">
        <v>22</v>
      </c>
      <c r="C568" s="9"/>
      <c r="E568" s="8">
        <v>22</v>
      </c>
      <c r="G568" s="176"/>
      <c r="H568" s="176"/>
      <c r="I568" s="110"/>
      <c r="J568" s="176"/>
      <c r="K568" s="176"/>
    </row>
    <row r="569" spans="1:11">
      <c r="A569" s="8">
        <v>23</v>
      </c>
      <c r="C569" s="9" t="s">
        <v>181</v>
      </c>
      <c r="E569" s="8">
        <v>23</v>
      </c>
      <c r="G569" s="176"/>
      <c r="H569" s="174">
        <v>0</v>
      </c>
      <c r="I569" s="110"/>
      <c r="J569" s="176"/>
      <c r="K569" s="174">
        <v>0</v>
      </c>
    </row>
    <row r="570" spans="1:11">
      <c r="A570" s="8">
        <v>24</v>
      </c>
      <c r="C570" s="9"/>
      <c r="E570" s="8">
        <v>24</v>
      </c>
      <c r="G570" s="176"/>
      <c r="H570" s="176"/>
      <c r="I570" s="110"/>
      <c r="J570" s="176"/>
      <c r="K570" s="176"/>
    </row>
    <row r="571" spans="1:11">
      <c r="A571" s="8"/>
      <c r="E571" s="8"/>
      <c r="F571" s="70" t="s">
        <v>6</v>
      </c>
      <c r="G571" s="83"/>
      <c r="H571" s="21"/>
      <c r="I571" s="70"/>
      <c r="J571" s="83"/>
      <c r="K571" s="21"/>
    </row>
    <row r="572" spans="1:11">
      <c r="A572" s="8">
        <v>25</v>
      </c>
      <c r="C572" s="9" t="s">
        <v>187</v>
      </c>
      <c r="E572" s="8">
        <v>25</v>
      </c>
      <c r="G572" s="108">
        <f>SUM(G561:G570)</f>
        <v>109</v>
      </c>
      <c r="H572" s="108">
        <f>SUM(H561:H570)</f>
        <v>20088828</v>
      </c>
      <c r="I572" s="113"/>
      <c r="J572" s="108">
        <f>SUM(J561:J570)</f>
        <v>116</v>
      </c>
      <c r="K572" s="108">
        <f>SUM(K561:K570)</f>
        <v>20373332.961472638</v>
      </c>
    </row>
    <row r="573" spans="1:11">
      <c r="F573" s="70" t="s">
        <v>6</v>
      </c>
      <c r="G573" s="20"/>
      <c r="H573" s="21"/>
      <c r="I573" s="70"/>
      <c r="J573" s="20"/>
      <c r="K573" s="21"/>
    </row>
    <row r="574" spans="1:11">
      <c r="C574" s="137" t="s">
        <v>49</v>
      </c>
      <c r="F574" s="70"/>
      <c r="G574" s="20"/>
      <c r="H574" s="21"/>
      <c r="I574" s="70"/>
      <c r="J574" s="20"/>
      <c r="K574" s="21"/>
    </row>
    <row r="575" spans="1:11">
      <c r="A575" s="9"/>
    </row>
    <row r="576" spans="1:11">
      <c r="H576" s="40"/>
      <c r="K576" s="40"/>
    </row>
    <row r="577" spans="1:11">
      <c r="A577" s="16" t="str">
        <f>$A$83</f>
        <v xml:space="preserve">Institution No.:  </v>
      </c>
      <c r="B577" s="36"/>
      <c r="C577" s="36"/>
      <c r="D577" s="36"/>
      <c r="E577" s="37"/>
      <c r="F577" s="36"/>
      <c r="G577" s="38"/>
      <c r="H577" s="39"/>
      <c r="I577" s="36"/>
      <c r="J577" s="38"/>
      <c r="K577" s="15" t="s">
        <v>188</v>
      </c>
    </row>
    <row r="578" spans="1:11">
      <c r="A578" s="229" t="s">
        <v>189</v>
      </c>
      <c r="B578" s="229"/>
      <c r="C578" s="229"/>
      <c r="D578" s="229"/>
      <c r="E578" s="229"/>
      <c r="F578" s="229"/>
      <c r="G578" s="229"/>
      <c r="H578" s="229"/>
      <c r="I578" s="229"/>
      <c r="J578" s="229"/>
      <c r="K578" s="229"/>
    </row>
    <row r="579" spans="1:11">
      <c r="A579" s="16" t="str">
        <f>$A$42</f>
        <v xml:space="preserve">NAME: </v>
      </c>
      <c r="C579" s="137" t="str">
        <f>$D$20</f>
        <v>University of Colorado</v>
      </c>
      <c r="G579" s="80"/>
      <c r="H579" s="67"/>
      <c r="J579" s="14"/>
      <c r="K579" s="18" t="str">
        <f>$K$3</f>
        <v>Date: October 09, 2017</v>
      </c>
    </row>
    <row r="580" spans="1:11">
      <c r="A580" s="19" t="s">
        <v>6</v>
      </c>
      <c r="B580" s="19" t="s">
        <v>6</v>
      </c>
      <c r="C580" s="19" t="s">
        <v>6</v>
      </c>
      <c r="D580" s="19" t="s">
        <v>6</v>
      </c>
      <c r="E580" s="19" t="s">
        <v>6</v>
      </c>
      <c r="F580" s="19" t="s">
        <v>6</v>
      </c>
      <c r="G580" s="20" t="s">
        <v>6</v>
      </c>
      <c r="H580" s="21" t="s">
        <v>6</v>
      </c>
      <c r="I580" s="19" t="s">
        <v>6</v>
      </c>
      <c r="J580" s="20" t="s">
        <v>6</v>
      </c>
      <c r="K580" s="21" t="s">
        <v>6</v>
      </c>
    </row>
    <row r="581" spans="1:11">
      <c r="A581" s="22" t="s">
        <v>7</v>
      </c>
      <c r="E581" s="22" t="s">
        <v>7</v>
      </c>
      <c r="F581" s="23"/>
      <c r="G581" s="24"/>
      <c r="H581" s="25" t="str">
        <f>H544</f>
        <v>2016-17</v>
      </c>
      <c r="I581" s="23"/>
      <c r="J581" s="24"/>
      <c r="K581" s="25" t="str">
        <f>K544</f>
        <v>2017-18</v>
      </c>
    </row>
    <row r="582" spans="1:11">
      <c r="A582" s="22" t="s">
        <v>9</v>
      </c>
      <c r="C582" s="26" t="s">
        <v>51</v>
      </c>
      <c r="E582" s="22" t="s">
        <v>9</v>
      </c>
      <c r="F582" s="23"/>
      <c r="G582" s="24" t="s">
        <v>11</v>
      </c>
      <c r="H582" s="25" t="s">
        <v>12</v>
      </c>
      <c r="I582" s="23"/>
      <c r="J582" s="24" t="s">
        <v>11</v>
      </c>
      <c r="K582" s="25" t="s">
        <v>13</v>
      </c>
    </row>
    <row r="583" spans="1:11">
      <c r="A583" s="19" t="s">
        <v>6</v>
      </c>
      <c r="B583" s="19" t="s">
        <v>6</v>
      </c>
      <c r="C583" s="19" t="s">
        <v>6</v>
      </c>
      <c r="D583" s="19" t="s">
        <v>6</v>
      </c>
      <c r="E583" s="19" t="s">
        <v>6</v>
      </c>
      <c r="F583" s="19" t="s">
        <v>6</v>
      </c>
      <c r="G583" s="20" t="s">
        <v>6</v>
      </c>
      <c r="H583" s="21" t="s">
        <v>6</v>
      </c>
      <c r="I583" s="19" t="s">
        <v>6</v>
      </c>
      <c r="J583" s="20" t="s">
        <v>6</v>
      </c>
      <c r="K583" s="21" t="s">
        <v>6</v>
      </c>
    </row>
    <row r="584" spans="1:11">
      <c r="A584" s="117">
        <v>1</v>
      </c>
      <c r="B584" s="118"/>
      <c r="C584" s="118" t="s">
        <v>227</v>
      </c>
      <c r="D584" s="118"/>
      <c r="E584" s="117">
        <v>1</v>
      </c>
      <c r="F584" s="119"/>
      <c r="G584" s="120"/>
      <c r="H584" s="121"/>
      <c r="I584" s="122"/>
      <c r="J584" s="123"/>
      <c r="K584" s="124"/>
    </row>
    <row r="585" spans="1:11">
      <c r="A585" s="117">
        <v>2</v>
      </c>
      <c r="B585" s="118"/>
      <c r="C585" s="118" t="s">
        <v>227</v>
      </c>
      <c r="D585" s="118"/>
      <c r="E585" s="117">
        <v>2</v>
      </c>
      <c r="F585" s="119"/>
      <c r="G585" s="120"/>
      <c r="H585" s="121"/>
      <c r="I585" s="122"/>
      <c r="J585" s="123"/>
      <c r="K585" s="121"/>
    </row>
    <row r="586" spans="1:11">
      <c r="A586" s="117">
        <v>3</v>
      </c>
      <c r="B586" s="118"/>
      <c r="C586" s="118" t="s">
        <v>227</v>
      </c>
      <c r="D586" s="118"/>
      <c r="E586" s="117">
        <v>3</v>
      </c>
      <c r="F586" s="119"/>
      <c r="G586" s="120"/>
      <c r="H586" s="121"/>
      <c r="I586" s="122"/>
      <c r="J586" s="123"/>
      <c r="K586" s="121"/>
    </row>
    <row r="587" spans="1:11">
      <c r="A587" s="117">
        <v>4</v>
      </c>
      <c r="B587" s="118"/>
      <c r="C587" s="118" t="s">
        <v>227</v>
      </c>
      <c r="D587" s="118"/>
      <c r="E587" s="117">
        <v>4</v>
      </c>
      <c r="F587" s="119"/>
      <c r="G587" s="120"/>
      <c r="H587" s="121"/>
      <c r="I587" s="125"/>
      <c r="J587" s="123"/>
      <c r="K587" s="121"/>
    </row>
    <row r="588" spans="1:11">
      <c r="A588" s="117">
        <v>5</v>
      </c>
      <c r="B588" s="118"/>
      <c r="C588" s="118" t="s">
        <v>227</v>
      </c>
      <c r="D588" s="118"/>
      <c r="E588" s="117">
        <v>5</v>
      </c>
      <c r="F588" s="119"/>
      <c r="G588" s="120"/>
      <c r="H588" s="121"/>
      <c r="I588" s="125"/>
      <c r="J588" s="123"/>
      <c r="K588" s="121"/>
    </row>
    <row r="589" spans="1:11">
      <c r="A589" s="8">
        <v>6</v>
      </c>
      <c r="C589" s="9" t="s">
        <v>190</v>
      </c>
      <c r="E589" s="8">
        <v>6</v>
      </c>
      <c r="F589" s="10"/>
      <c r="G589" s="178">
        <v>14</v>
      </c>
      <c r="H589" s="178">
        <v>640736</v>
      </c>
      <c r="I589" s="160"/>
      <c r="J589" s="178">
        <v>15</v>
      </c>
      <c r="K589" s="174">
        <v>656941.94783830398</v>
      </c>
    </row>
    <row r="590" spans="1:11">
      <c r="A590" s="8">
        <v>7</v>
      </c>
      <c r="C590" s="9" t="s">
        <v>191</v>
      </c>
      <c r="E590" s="8">
        <v>7</v>
      </c>
      <c r="F590" s="10"/>
      <c r="G590" s="179"/>
      <c r="H590" s="178">
        <v>245195</v>
      </c>
      <c r="I590" s="176"/>
      <c r="J590" s="179"/>
      <c r="K590" s="174">
        <v>252490</v>
      </c>
    </row>
    <row r="591" spans="1:11">
      <c r="A591" s="8">
        <v>8</v>
      </c>
      <c r="C591" s="9" t="s">
        <v>192</v>
      </c>
      <c r="E591" s="8">
        <v>8</v>
      </c>
      <c r="F591" s="10"/>
      <c r="G591" s="179">
        <f>SUM(G589:G590)</f>
        <v>14</v>
      </c>
      <c r="H591" s="179">
        <f>SUM(H589:H590)</f>
        <v>885931</v>
      </c>
      <c r="I591" s="176"/>
      <c r="J591" s="179">
        <f>SUM(J589:J590)</f>
        <v>15</v>
      </c>
      <c r="K591" s="179">
        <f>SUM(K589:K590)</f>
        <v>909431.94783830398</v>
      </c>
    </row>
    <row r="592" spans="1:11">
      <c r="A592" s="8">
        <v>9</v>
      </c>
      <c r="C592" s="9"/>
      <c r="E592" s="8">
        <v>9</v>
      </c>
      <c r="F592" s="10"/>
      <c r="G592" s="179"/>
      <c r="H592" s="179"/>
      <c r="I592" s="177"/>
      <c r="J592" s="179"/>
      <c r="K592" s="179"/>
    </row>
    <row r="593" spans="1:11">
      <c r="A593" s="8">
        <v>10</v>
      </c>
      <c r="C593" s="9"/>
      <c r="E593" s="8">
        <v>10</v>
      </c>
      <c r="F593" s="10"/>
      <c r="G593" s="179"/>
      <c r="H593" s="179"/>
      <c r="I593" s="160"/>
      <c r="J593" s="179"/>
      <c r="K593" s="179"/>
    </row>
    <row r="594" spans="1:11">
      <c r="A594" s="8">
        <v>11</v>
      </c>
      <c r="C594" s="9" t="s">
        <v>174</v>
      </c>
      <c r="E594" s="8">
        <v>11</v>
      </c>
      <c r="G594" s="173">
        <v>5</v>
      </c>
      <c r="H594" s="173">
        <v>159331</v>
      </c>
      <c r="I594" s="177"/>
      <c r="J594" s="173">
        <v>5</v>
      </c>
      <c r="K594" s="174">
        <v>165320</v>
      </c>
    </row>
    <row r="595" spans="1:11">
      <c r="A595" s="8">
        <v>12</v>
      </c>
      <c r="C595" s="9" t="s">
        <v>175</v>
      </c>
      <c r="E595" s="8">
        <v>12</v>
      </c>
      <c r="G595" s="168"/>
      <c r="H595" s="173">
        <v>59003</v>
      </c>
      <c r="I595" s="160"/>
      <c r="J595" s="168"/>
      <c r="K595" s="174">
        <v>61241</v>
      </c>
    </row>
    <row r="596" spans="1:11">
      <c r="A596" s="8">
        <v>13</v>
      </c>
      <c r="C596" s="9" t="s">
        <v>193</v>
      </c>
      <c r="E596" s="8">
        <v>13</v>
      </c>
      <c r="F596" s="10"/>
      <c r="G596" s="179">
        <f>SUM(G594:G595)</f>
        <v>5</v>
      </c>
      <c r="H596" s="179">
        <f>SUM(H594:H595)</f>
        <v>218334</v>
      </c>
      <c r="I596" s="176"/>
      <c r="J596" s="179">
        <f>SUM(J594:J595)</f>
        <v>5</v>
      </c>
      <c r="K596" s="179">
        <f>SUM(K594:K595)</f>
        <v>226561</v>
      </c>
    </row>
    <row r="597" spans="1:11">
      <c r="A597" s="8">
        <v>14</v>
      </c>
      <c r="E597" s="8">
        <v>14</v>
      </c>
      <c r="F597" s="10"/>
      <c r="G597" s="179"/>
      <c r="H597" s="179"/>
      <c r="I597" s="176"/>
      <c r="J597" s="179"/>
      <c r="K597" s="179"/>
    </row>
    <row r="598" spans="1:11">
      <c r="A598" s="8">
        <v>15</v>
      </c>
      <c r="C598" s="9" t="s">
        <v>177</v>
      </c>
      <c r="E598" s="8">
        <v>15</v>
      </c>
      <c r="F598" s="10"/>
      <c r="G598" s="179">
        <f>G591+G596</f>
        <v>19</v>
      </c>
      <c r="H598" s="179">
        <f>H591+H596</f>
        <v>1104265</v>
      </c>
      <c r="I598" s="176"/>
      <c r="J598" s="179">
        <f>J591+J596</f>
        <v>20</v>
      </c>
      <c r="K598" s="179">
        <f>K591+K596</f>
        <v>1135992.9478383041</v>
      </c>
    </row>
    <row r="599" spans="1:11">
      <c r="A599" s="8">
        <v>16</v>
      </c>
      <c r="E599" s="8">
        <v>16</v>
      </c>
      <c r="F599" s="10"/>
      <c r="G599" s="179"/>
      <c r="H599" s="179"/>
      <c r="I599" s="176"/>
      <c r="J599" s="179"/>
      <c r="K599" s="179"/>
    </row>
    <row r="600" spans="1:11" s="36" customFormat="1">
      <c r="A600" s="8">
        <v>17</v>
      </c>
      <c r="B600" s="137"/>
      <c r="C600" s="9" t="s">
        <v>178</v>
      </c>
      <c r="D600" s="137"/>
      <c r="E600" s="8">
        <v>17</v>
      </c>
      <c r="F600" s="10"/>
      <c r="G600" s="178"/>
      <c r="H600" s="178">
        <v>14515</v>
      </c>
      <c r="I600" s="176"/>
      <c r="J600" s="178"/>
      <c r="K600" s="174">
        <v>15325</v>
      </c>
    </row>
    <row r="601" spans="1:11" s="36" customFormat="1">
      <c r="A601" s="8">
        <v>18</v>
      </c>
      <c r="B601" s="137"/>
      <c r="C601" s="9"/>
      <c r="D601" s="137"/>
      <c r="E601" s="8">
        <v>18</v>
      </c>
      <c r="F601" s="10"/>
      <c r="G601" s="179"/>
      <c r="H601" s="179"/>
      <c r="I601" s="176"/>
      <c r="J601" s="179"/>
      <c r="K601" s="179"/>
    </row>
    <row r="602" spans="1:11">
      <c r="A602" s="8">
        <v>19</v>
      </c>
      <c r="C602" s="9" t="s">
        <v>179</v>
      </c>
      <c r="E602" s="8">
        <v>19</v>
      </c>
      <c r="F602" s="10"/>
      <c r="G602" s="178"/>
      <c r="H602" s="178">
        <v>24755</v>
      </c>
      <c r="I602" s="176"/>
      <c r="J602" s="178"/>
      <c r="K602" s="178">
        <v>31351</v>
      </c>
    </row>
    <row r="603" spans="1:11">
      <c r="A603" s="8">
        <v>20</v>
      </c>
      <c r="C603" s="9" t="s">
        <v>180</v>
      </c>
      <c r="E603" s="8">
        <v>20</v>
      </c>
      <c r="F603" s="10"/>
      <c r="G603" s="178"/>
      <c r="H603" s="178">
        <v>141561</v>
      </c>
      <c r="I603" s="176"/>
      <c r="J603" s="178"/>
      <c r="K603" s="178">
        <v>146321</v>
      </c>
    </row>
    <row r="604" spans="1:11">
      <c r="A604" s="8">
        <v>21</v>
      </c>
      <c r="C604" s="9"/>
      <c r="E604" s="8">
        <v>21</v>
      </c>
      <c r="F604" s="10"/>
      <c r="G604" s="179"/>
      <c r="H604" s="179"/>
      <c r="I604" s="176"/>
      <c r="J604" s="179"/>
      <c r="K604" s="179"/>
    </row>
    <row r="605" spans="1:11">
      <c r="A605" s="8">
        <v>22</v>
      </c>
      <c r="C605" s="9"/>
      <c r="E605" s="8">
        <v>22</v>
      </c>
      <c r="F605" s="10"/>
      <c r="G605" s="179"/>
      <c r="H605" s="179"/>
      <c r="I605" s="176"/>
      <c r="J605" s="179"/>
      <c r="K605" s="179"/>
    </row>
    <row r="606" spans="1:11">
      <c r="A606" s="8">
        <v>23</v>
      </c>
      <c r="C606" s="9" t="s">
        <v>194</v>
      </c>
      <c r="E606" s="8">
        <v>23</v>
      </c>
      <c r="F606" s="10"/>
      <c r="G606" s="178"/>
      <c r="H606" s="178"/>
      <c r="I606" s="176"/>
      <c r="J606" s="178"/>
      <c r="K606" s="178"/>
    </row>
    <row r="607" spans="1:11">
      <c r="A607" s="8">
        <v>24</v>
      </c>
      <c r="C607" s="9"/>
      <c r="E607" s="8">
        <v>24</v>
      </c>
      <c r="F607" s="10"/>
      <c r="G607" s="114"/>
      <c r="H607" s="103"/>
      <c r="I607" s="85"/>
      <c r="J607" s="179"/>
      <c r="K607" s="179"/>
    </row>
    <row r="608" spans="1:11">
      <c r="E608" s="35"/>
      <c r="F608" s="70" t="s">
        <v>6</v>
      </c>
      <c r="G608" s="21" t="s">
        <v>6</v>
      </c>
      <c r="H608" s="21" t="s">
        <v>6</v>
      </c>
      <c r="I608" s="70" t="s">
        <v>6</v>
      </c>
      <c r="J608" s="21" t="s">
        <v>6</v>
      </c>
      <c r="K608" s="21" t="s">
        <v>6</v>
      </c>
    </row>
    <row r="609" spans="1:11">
      <c r="A609" s="8">
        <v>25</v>
      </c>
      <c r="C609" s="9" t="s">
        <v>195</v>
      </c>
      <c r="E609" s="8">
        <v>25</v>
      </c>
      <c r="G609" s="168">
        <f>SUM(G598:G608)</f>
        <v>19</v>
      </c>
      <c r="H609" s="168">
        <f>SUM(H598:H608)</f>
        <v>1285096</v>
      </c>
      <c r="I609" s="100"/>
      <c r="J609" s="168">
        <f>SUM(J598:J608)</f>
        <v>20</v>
      </c>
      <c r="K609" s="168">
        <f>SUM(K598:K608)</f>
        <v>1328989.9478383041</v>
      </c>
    </row>
    <row r="610" spans="1:11">
      <c r="E610" s="35"/>
      <c r="F610" s="70" t="s">
        <v>6</v>
      </c>
      <c r="G610" s="20" t="s">
        <v>6</v>
      </c>
      <c r="H610" s="21" t="s">
        <v>6</v>
      </c>
      <c r="I610" s="70" t="s">
        <v>6</v>
      </c>
      <c r="J610" s="20" t="s">
        <v>6</v>
      </c>
      <c r="K610" s="21" t="s">
        <v>6</v>
      </c>
    </row>
    <row r="611" spans="1:11">
      <c r="C611" s="137" t="s">
        <v>49</v>
      </c>
      <c r="E611" s="35"/>
      <c r="F611" s="70"/>
      <c r="G611" s="20"/>
      <c r="H611" s="21"/>
      <c r="I611" s="70"/>
      <c r="J611" s="20"/>
      <c r="K611" s="21"/>
    </row>
    <row r="612" spans="1:11">
      <c r="A612" s="9"/>
      <c r="H612" s="40"/>
      <c r="K612" s="40"/>
    </row>
    <row r="613" spans="1:11">
      <c r="H613" s="40"/>
      <c r="K613" s="40"/>
    </row>
    <row r="614" spans="1:11">
      <c r="A614" s="16" t="str">
        <f>$A$83</f>
        <v xml:space="preserve">Institution No.:  </v>
      </c>
      <c r="B614" s="36"/>
      <c r="C614" s="36"/>
      <c r="D614" s="36"/>
      <c r="E614" s="37"/>
      <c r="F614" s="36"/>
      <c r="G614" s="38"/>
      <c r="H614" s="39"/>
      <c r="I614" s="36"/>
      <c r="J614" s="38"/>
      <c r="K614" s="15" t="s">
        <v>196</v>
      </c>
    </row>
    <row r="615" spans="1:11">
      <c r="A615" s="229" t="s">
        <v>197</v>
      </c>
      <c r="B615" s="229"/>
      <c r="C615" s="229"/>
      <c r="D615" s="229"/>
      <c r="E615" s="229"/>
      <c r="F615" s="229"/>
      <c r="G615" s="229"/>
      <c r="H615" s="229"/>
      <c r="I615" s="229"/>
      <c r="J615" s="229"/>
      <c r="K615" s="229"/>
    </row>
    <row r="616" spans="1:11">
      <c r="A616" s="16" t="str">
        <f>$A$42</f>
        <v xml:space="preserve">NAME: </v>
      </c>
      <c r="B616" s="16"/>
      <c r="C616" s="137" t="str">
        <f>$D$20</f>
        <v>University of Colorado</v>
      </c>
      <c r="G616" s="80"/>
      <c r="H616" s="67"/>
      <c r="J616" s="14"/>
      <c r="K616" s="18" t="str">
        <f>$K$3</f>
        <v>Date: October 09, 2017</v>
      </c>
    </row>
    <row r="617" spans="1:11">
      <c r="A617" s="19" t="s">
        <v>6</v>
      </c>
      <c r="B617" s="19" t="s">
        <v>6</v>
      </c>
      <c r="C617" s="19" t="s">
        <v>6</v>
      </c>
      <c r="D617" s="19" t="s">
        <v>6</v>
      </c>
      <c r="E617" s="19" t="s">
        <v>6</v>
      </c>
      <c r="F617" s="19" t="s">
        <v>6</v>
      </c>
      <c r="G617" s="20" t="s">
        <v>6</v>
      </c>
      <c r="H617" s="21" t="s">
        <v>6</v>
      </c>
      <c r="I617" s="19" t="s">
        <v>6</v>
      </c>
      <c r="J617" s="20" t="s">
        <v>6</v>
      </c>
      <c r="K617" s="21" t="s">
        <v>6</v>
      </c>
    </row>
    <row r="618" spans="1:11">
      <c r="A618" s="22" t="s">
        <v>7</v>
      </c>
      <c r="E618" s="22" t="s">
        <v>7</v>
      </c>
      <c r="F618" s="23"/>
      <c r="G618" s="24"/>
      <c r="H618" s="25" t="str">
        <f>+H581</f>
        <v>2016-17</v>
      </c>
      <c r="I618" s="23"/>
      <c r="J618" s="24"/>
      <c r="K618" s="25" t="str">
        <f>+K581</f>
        <v>2017-18</v>
      </c>
    </row>
    <row r="619" spans="1:11">
      <c r="A619" s="22" t="s">
        <v>9</v>
      </c>
      <c r="C619" s="26" t="s">
        <v>51</v>
      </c>
      <c r="E619" s="22" t="s">
        <v>9</v>
      </c>
      <c r="F619" s="23"/>
      <c r="G619" s="24" t="s">
        <v>11</v>
      </c>
      <c r="H619" s="25" t="s">
        <v>12</v>
      </c>
      <c r="I619" s="23"/>
      <c r="J619" s="24" t="s">
        <v>11</v>
      </c>
      <c r="K619" s="25" t="s">
        <v>13</v>
      </c>
    </row>
    <row r="620" spans="1:11">
      <c r="A620" s="19" t="s">
        <v>6</v>
      </c>
      <c r="B620" s="19" t="s">
        <v>6</v>
      </c>
      <c r="C620" s="19" t="s">
        <v>6</v>
      </c>
      <c r="D620" s="19" t="s">
        <v>6</v>
      </c>
      <c r="E620" s="19" t="s">
        <v>6</v>
      </c>
      <c r="F620" s="19" t="s">
        <v>6</v>
      </c>
      <c r="G620" s="20" t="s">
        <v>6</v>
      </c>
      <c r="H620" s="21" t="s">
        <v>6</v>
      </c>
      <c r="I620" s="19" t="s">
        <v>6</v>
      </c>
      <c r="J620" s="86" t="s">
        <v>6</v>
      </c>
      <c r="K620" s="21" t="s">
        <v>6</v>
      </c>
    </row>
    <row r="621" spans="1:11">
      <c r="A621" s="117">
        <v>1</v>
      </c>
      <c r="B621" s="118"/>
      <c r="C621" s="118" t="s">
        <v>227</v>
      </c>
      <c r="D621" s="118"/>
      <c r="E621" s="117">
        <v>1</v>
      </c>
      <c r="F621" s="119"/>
      <c r="G621" s="180"/>
      <c r="H621" s="180"/>
      <c r="I621" s="122"/>
      <c r="J621" s="123"/>
      <c r="K621" s="124"/>
    </row>
    <row r="622" spans="1:11">
      <c r="A622" s="117">
        <v>2</v>
      </c>
      <c r="B622" s="118"/>
      <c r="C622" s="118" t="s">
        <v>227</v>
      </c>
      <c r="D622" s="118"/>
      <c r="E622" s="117">
        <v>2</v>
      </c>
      <c r="F622" s="119"/>
      <c r="G622" s="180"/>
      <c r="H622" s="180"/>
      <c r="I622" s="122"/>
      <c r="J622" s="123"/>
      <c r="K622" s="121"/>
    </row>
    <row r="623" spans="1:11">
      <c r="A623" s="117">
        <v>3</v>
      </c>
      <c r="B623" s="118"/>
      <c r="C623" s="118" t="s">
        <v>227</v>
      </c>
      <c r="D623" s="118"/>
      <c r="E623" s="117">
        <v>3</v>
      </c>
      <c r="F623" s="119"/>
      <c r="G623" s="180"/>
      <c r="H623" s="180"/>
      <c r="I623" s="122"/>
      <c r="J623" s="123"/>
      <c r="K623" s="121"/>
    </row>
    <row r="624" spans="1:11">
      <c r="A624" s="117">
        <v>4</v>
      </c>
      <c r="B624" s="118"/>
      <c r="C624" s="118" t="s">
        <v>227</v>
      </c>
      <c r="D624" s="118"/>
      <c r="E624" s="117">
        <v>4</v>
      </c>
      <c r="F624" s="119"/>
      <c r="G624" s="180"/>
      <c r="H624" s="180"/>
      <c r="I624" s="125"/>
      <c r="J624" s="123"/>
      <c r="K624" s="121"/>
    </row>
    <row r="625" spans="1:11">
      <c r="A625" s="117">
        <v>5</v>
      </c>
      <c r="B625" s="118"/>
      <c r="C625" s="118" t="s">
        <v>227</v>
      </c>
      <c r="D625" s="118"/>
      <c r="E625" s="117">
        <v>5</v>
      </c>
      <c r="F625" s="119"/>
      <c r="G625" s="180"/>
      <c r="H625" s="180"/>
      <c r="I625" s="125"/>
      <c r="J625" s="123"/>
      <c r="K625" s="121"/>
    </row>
    <row r="626" spans="1:11">
      <c r="A626" s="8">
        <v>6</v>
      </c>
      <c r="C626" s="9" t="s">
        <v>190</v>
      </c>
      <c r="E626" s="8">
        <v>6</v>
      </c>
      <c r="F626" s="10"/>
      <c r="G626" s="178">
        <v>462</v>
      </c>
      <c r="H626" s="178">
        <v>36908426</v>
      </c>
      <c r="I626" s="160"/>
      <c r="J626" s="178">
        <v>468</v>
      </c>
      <c r="K626" s="174">
        <v>37324862.463467598</v>
      </c>
    </row>
    <row r="627" spans="1:11">
      <c r="A627" s="8">
        <v>7</v>
      </c>
      <c r="C627" s="9" t="s">
        <v>191</v>
      </c>
      <c r="E627" s="8">
        <v>7</v>
      </c>
      <c r="F627" s="10"/>
      <c r="G627" s="179"/>
      <c r="H627" s="178">
        <v>13664543</v>
      </c>
      <c r="I627" s="176"/>
      <c r="J627" s="179"/>
      <c r="K627" s="174">
        <v>14015285.826633001</v>
      </c>
    </row>
    <row r="628" spans="1:11">
      <c r="A628" s="8">
        <v>8</v>
      </c>
      <c r="C628" s="9" t="s">
        <v>192</v>
      </c>
      <c r="E628" s="8">
        <v>8</v>
      </c>
      <c r="F628" s="10"/>
      <c r="G628" s="179">
        <f>SUM(G626:G627)</f>
        <v>462</v>
      </c>
      <c r="H628" s="179">
        <f>SUM(H626:H627)</f>
        <v>50572969</v>
      </c>
      <c r="I628" s="176"/>
      <c r="J628" s="179">
        <f>SUM(J626:J627)</f>
        <v>468</v>
      </c>
      <c r="K628" s="179">
        <f>SUM(K626:K627)</f>
        <v>51340148.290100597</v>
      </c>
    </row>
    <row r="629" spans="1:11">
      <c r="A629" s="8">
        <v>9</v>
      </c>
      <c r="C629" s="9"/>
      <c r="E629" s="8">
        <v>9</v>
      </c>
      <c r="F629" s="10"/>
      <c r="G629" s="179"/>
      <c r="H629" s="179"/>
      <c r="I629" s="177"/>
      <c r="J629" s="179"/>
      <c r="K629" s="179"/>
    </row>
    <row r="630" spans="1:11">
      <c r="A630" s="8">
        <v>10</v>
      </c>
      <c r="C630" s="9"/>
      <c r="E630" s="8">
        <v>10</v>
      </c>
      <c r="F630" s="10"/>
      <c r="G630" s="179"/>
      <c r="H630" s="179"/>
      <c r="I630" s="160"/>
      <c r="J630" s="179"/>
      <c r="K630" s="179"/>
    </row>
    <row r="631" spans="1:11">
      <c r="A631" s="8">
        <v>11</v>
      </c>
      <c r="C631" s="9" t="s">
        <v>174</v>
      </c>
      <c r="E631" s="8">
        <v>11</v>
      </c>
      <c r="G631" s="173">
        <v>182</v>
      </c>
      <c r="H631" s="173">
        <v>9287652</v>
      </c>
      <c r="I631" s="177"/>
      <c r="J631" s="173">
        <v>182</v>
      </c>
      <c r="K631" s="174">
        <v>9314327.4413422495</v>
      </c>
    </row>
    <row r="632" spans="1:11">
      <c r="A632" s="8">
        <v>12</v>
      </c>
      <c r="C632" s="9" t="s">
        <v>175</v>
      </c>
      <c r="E632" s="8">
        <v>12</v>
      </c>
      <c r="G632" s="168"/>
      <c r="H632" s="173">
        <v>3467801</v>
      </c>
      <c r="I632" s="160"/>
      <c r="J632" s="168"/>
      <c r="K632" s="174">
        <v>3468409.9808449</v>
      </c>
    </row>
    <row r="633" spans="1:11">
      <c r="A633" s="8">
        <v>13</v>
      </c>
      <c r="C633" s="9" t="s">
        <v>193</v>
      </c>
      <c r="E633" s="8">
        <v>13</v>
      </c>
      <c r="F633" s="10"/>
      <c r="G633" s="179">
        <f>SUM(G631:G632)</f>
        <v>182</v>
      </c>
      <c r="H633" s="179">
        <f>SUM(H631:H632)</f>
        <v>12755453</v>
      </c>
      <c r="I633" s="176"/>
      <c r="J633" s="179">
        <f>SUM(J631:J632)</f>
        <v>182</v>
      </c>
      <c r="K633" s="179">
        <f>SUM(K631:K632)</f>
        <v>12782737.42218715</v>
      </c>
    </row>
    <row r="634" spans="1:11">
      <c r="A634" s="8">
        <v>14</v>
      </c>
      <c r="E634" s="8">
        <v>14</v>
      </c>
      <c r="F634" s="10"/>
      <c r="G634" s="179"/>
      <c r="H634" s="179"/>
      <c r="I634" s="176"/>
      <c r="J634" s="179"/>
      <c r="K634" s="179"/>
    </row>
    <row r="635" spans="1:11">
      <c r="A635" s="8">
        <v>15</v>
      </c>
      <c r="C635" s="9" t="s">
        <v>177</v>
      </c>
      <c r="E635" s="8">
        <v>15</v>
      </c>
      <c r="F635" s="10"/>
      <c r="G635" s="179">
        <f>G628+G633</f>
        <v>644</v>
      </c>
      <c r="H635" s="179">
        <f>H628+H633</f>
        <v>63328422</v>
      </c>
      <c r="I635" s="176"/>
      <c r="J635" s="179">
        <f>J628+J633</f>
        <v>650</v>
      </c>
      <c r="K635" s="179">
        <f>K628+K633</f>
        <v>64122885.712287746</v>
      </c>
    </row>
    <row r="636" spans="1:11">
      <c r="A636" s="8">
        <v>16</v>
      </c>
      <c r="E636" s="8">
        <v>16</v>
      </c>
      <c r="F636" s="10"/>
      <c r="G636" s="179"/>
      <c r="H636" s="179"/>
      <c r="I636" s="176"/>
      <c r="J636" s="179"/>
      <c r="K636" s="179"/>
    </row>
    <row r="637" spans="1:11" s="36" customFormat="1">
      <c r="A637" s="8">
        <v>17</v>
      </c>
      <c r="B637" s="137"/>
      <c r="C637" s="9" t="s">
        <v>178</v>
      </c>
      <c r="D637" s="137"/>
      <c r="E637" s="8">
        <v>17</v>
      </c>
      <c r="F637" s="10"/>
      <c r="G637" s="178"/>
      <c r="H637" s="178">
        <v>1452126</v>
      </c>
      <c r="I637" s="176"/>
      <c r="J637" s="178"/>
      <c r="K637" s="174">
        <v>1468012.64054667</v>
      </c>
    </row>
    <row r="638" spans="1:11" s="36" customFormat="1">
      <c r="A638" s="8">
        <v>18</v>
      </c>
      <c r="B638" s="137"/>
      <c r="C638" s="9"/>
      <c r="D638" s="137"/>
      <c r="E638" s="8">
        <v>18</v>
      </c>
      <c r="F638" s="10"/>
      <c r="G638" s="179"/>
      <c r="H638" s="179"/>
      <c r="I638" s="176"/>
      <c r="J638" s="179"/>
      <c r="K638" s="179"/>
    </row>
    <row r="639" spans="1:11">
      <c r="A639" s="8">
        <v>19</v>
      </c>
      <c r="C639" s="9" t="s">
        <v>179</v>
      </c>
      <c r="E639" s="8">
        <v>19</v>
      </c>
      <c r="F639" s="10"/>
      <c r="G639" s="179"/>
      <c r="H639" s="178">
        <v>750013</v>
      </c>
      <c r="I639" s="176"/>
      <c r="J639" s="179"/>
      <c r="K639" s="178">
        <v>849846</v>
      </c>
    </row>
    <row r="640" spans="1:11">
      <c r="A640" s="8">
        <v>20</v>
      </c>
      <c r="C640" s="9" t="s">
        <v>180</v>
      </c>
      <c r="E640" s="8">
        <v>20</v>
      </c>
      <c r="F640" s="10"/>
      <c r="G640" s="179"/>
      <c r="H640" s="178">
        <v>22192739</v>
      </c>
      <c r="I640" s="176"/>
      <c r="J640" s="179"/>
      <c r="K640" s="178">
        <v>23905079</v>
      </c>
    </row>
    <row r="641" spans="1:11">
      <c r="A641" s="8">
        <v>21</v>
      </c>
      <c r="C641" s="9"/>
      <c r="E641" s="8">
        <v>21</v>
      </c>
      <c r="F641" s="10"/>
      <c r="G641" s="179"/>
      <c r="H641" s="179"/>
      <c r="I641" s="176"/>
      <c r="J641" s="179"/>
      <c r="K641" s="179"/>
    </row>
    <row r="642" spans="1:11">
      <c r="A642" s="8">
        <v>22</v>
      </c>
      <c r="C642" s="9"/>
      <c r="E642" s="8">
        <v>22</v>
      </c>
      <c r="F642" s="10"/>
      <c r="G642" s="179"/>
      <c r="H642" s="179"/>
      <c r="I642" s="176"/>
      <c r="J642" s="179"/>
      <c r="K642" s="179"/>
    </row>
    <row r="643" spans="1:11">
      <c r="A643" s="8">
        <v>23</v>
      </c>
      <c r="C643" s="9" t="s">
        <v>194</v>
      </c>
      <c r="E643" s="8">
        <v>23</v>
      </c>
      <c r="F643" s="10"/>
      <c r="G643" s="179"/>
      <c r="H643" s="178">
        <v>0</v>
      </c>
      <c r="I643" s="176"/>
      <c r="J643" s="179"/>
      <c r="K643" s="178">
        <v>0</v>
      </c>
    </row>
    <row r="644" spans="1:11">
      <c r="A644" s="8">
        <v>24</v>
      </c>
      <c r="C644" s="9"/>
      <c r="E644" s="8">
        <v>24</v>
      </c>
      <c r="F644" s="10"/>
      <c r="G644" s="179"/>
      <c r="H644" s="179"/>
      <c r="I644" s="176"/>
      <c r="J644" s="179"/>
      <c r="K644" s="179"/>
    </row>
    <row r="645" spans="1:11">
      <c r="E645" s="35"/>
      <c r="F645" s="70" t="s">
        <v>6</v>
      </c>
      <c r="G645" s="21" t="s">
        <v>6</v>
      </c>
      <c r="H645" s="21" t="s">
        <v>6</v>
      </c>
      <c r="I645" s="70" t="s">
        <v>6</v>
      </c>
      <c r="J645" s="21" t="s">
        <v>6</v>
      </c>
      <c r="K645" s="21" t="s">
        <v>6</v>
      </c>
    </row>
    <row r="646" spans="1:11">
      <c r="A646" s="8">
        <v>25</v>
      </c>
      <c r="C646" s="9" t="s">
        <v>198</v>
      </c>
      <c r="E646" s="8">
        <v>25</v>
      </c>
      <c r="G646" s="168">
        <f>SUM(G635:G645)</f>
        <v>644</v>
      </c>
      <c r="H646" s="168">
        <f>SUM(H635:H645)</f>
        <v>87723300</v>
      </c>
      <c r="I646" s="168"/>
      <c r="J646" s="168">
        <f>SUM(J635:J645)</f>
        <v>650</v>
      </c>
      <c r="K646" s="168">
        <f>SUM(K635:K645)</f>
        <v>90345823.352834418</v>
      </c>
    </row>
    <row r="647" spans="1:11">
      <c r="A647" s="8"/>
      <c r="C647" s="9"/>
      <c r="E647" s="8"/>
      <c r="F647" s="70" t="s">
        <v>6</v>
      </c>
      <c r="G647" s="20" t="s">
        <v>6</v>
      </c>
      <c r="H647" s="21" t="s">
        <v>6</v>
      </c>
      <c r="I647" s="70" t="s">
        <v>6</v>
      </c>
      <c r="J647" s="20" t="s">
        <v>6</v>
      </c>
      <c r="K647" s="21" t="s">
        <v>6</v>
      </c>
    </row>
    <row r="648" spans="1:11">
      <c r="A648" s="8"/>
      <c r="C648" s="137" t="s">
        <v>49</v>
      </c>
      <c r="E648" s="8"/>
      <c r="G648" s="99"/>
      <c r="H648" s="99"/>
      <c r="I648" s="100"/>
      <c r="J648" s="99"/>
      <c r="K648" s="99"/>
    </row>
    <row r="649" spans="1:11">
      <c r="E649" s="35"/>
      <c r="F649" s="70"/>
      <c r="G649" s="20"/>
      <c r="H649" s="21"/>
      <c r="I649" s="70"/>
      <c r="J649" s="20"/>
      <c r="K649" s="21"/>
    </row>
    <row r="650" spans="1:11">
      <c r="A650" s="9"/>
      <c r="H650" s="40"/>
      <c r="K650" s="40"/>
    </row>
    <row r="651" spans="1:11">
      <c r="A651" s="16" t="str">
        <f>$A$83</f>
        <v xml:space="preserve">Institution No.:  </v>
      </c>
      <c r="B651" s="36"/>
      <c r="C651" s="36"/>
      <c r="D651" s="36"/>
      <c r="E651" s="37"/>
      <c r="F651" s="36"/>
      <c r="G651" s="38"/>
      <c r="H651" s="39"/>
      <c r="I651" s="36"/>
      <c r="J651" s="38"/>
      <c r="K651" s="15" t="s">
        <v>199</v>
      </c>
    </row>
    <row r="652" spans="1:11">
      <c r="A652" s="229" t="s">
        <v>200</v>
      </c>
      <c r="B652" s="229"/>
      <c r="C652" s="229"/>
      <c r="D652" s="229"/>
      <c r="E652" s="229"/>
      <c r="F652" s="229"/>
      <c r="G652" s="229"/>
      <c r="H652" s="229"/>
      <c r="I652" s="229"/>
      <c r="J652" s="229"/>
      <c r="K652" s="229"/>
    </row>
    <row r="653" spans="1:11">
      <c r="A653" s="16" t="str">
        <f>$A$42</f>
        <v xml:space="preserve">NAME: </v>
      </c>
      <c r="C653" s="137" t="str">
        <f>$D$20</f>
        <v>University of Colorado</v>
      </c>
      <c r="G653" s="80"/>
      <c r="H653" s="67"/>
      <c r="J653" s="14"/>
      <c r="K653" s="18" t="str">
        <f>$K$3</f>
        <v>Date: October 09, 2017</v>
      </c>
    </row>
    <row r="654" spans="1:11">
      <c r="A654" s="19" t="s">
        <v>6</v>
      </c>
      <c r="B654" s="19" t="s">
        <v>6</v>
      </c>
      <c r="C654" s="19" t="s">
        <v>6</v>
      </c>
      <c r="D654" s="19" t="s">
        <v>6</v>
      </c>
      <c r="E654" s="19" t="s">
        <v>6</v>
      </c>
      <c r="F654" s="19" t="s">
        <v>6</v>
      </c>
      <c r="G654" s="20" t="s">
        <v>6</v>
      </c>
      <c r="H654" s="21" t="s">
        <v>6</v>
      </c>
      <c r="I654" s="19" t="s">
        <v>6</v>
      </c>
      <c r="J654" s="20" t="s">
        <v>6</v>
      </c>
      <c r="K654" s="21" t="s">
        <v>6</v>
      </c>
    </row>
    <row r="655" spans="1:11">
      <c r="A655" s="22" t="s">
        <v>7</v>
      </c>
      <c r="E655" s="22" t="s">
        <v>7</v>
      </c>
      <c r="F655" s="23"/>
      <c r="G655" s="24"/>
      <c r="H655" s="25" t="str">
        <f>+H618</f>
        <v>2016-17</v>
      </c>
      <c r="I655" s="23"/>
      <c r="J655" s="24"/>
      <c r="K655" s="25" t="str">
        <f>+K618</f>
        <v>2017-18</v>
      </c>
    </row>
    <row r="656" spans="1:11">
      <c r="A656" s="22" t="s">
        <v>9</v>
      </c>
      <c r="C656" s="26" t="s">
        <v>51</v>
      </c>
      <c r="E656" s="22" t="s">
        <v>9</v>
      </c>
      <c r="F656" s="23"/>
      <c r="G656" s="24" t="s">
        <v>11</v>
      </c>
      <c r="H656" s="25" t="s">
        <v>12</v>
      </c>
      <c r="I656" s="23"/>
      <c r="J656" s="24" t="s">
        <v>11</v>
      </c>
      <c r="K656" s="25" t="s">
        <v>13</v>
      </c>
    </row>
    <row r="657" spans="1:11">
      <c r="A657" s="19" t="s">
        <v>6</v>
      </c>
      <c r="B657" s="19" t="s">
        <v>6</v>
      </c>
      <c r="C657" s="19" t="s">
        <v>6</v>
      </c>
      <c r="D657" s="19" t="s">
        <v>6</v>
      </c>
      <c r="E657" s="19" t="s">
        <v>6</v>
      </c>
      <c r="F657" s="19" t="s">
        <v>6</v>
      </c>
      <c r="G657" s="20" t="s">
        <v>6</v>
      </c>
      <c r="H657" s="21" t="s">
        <v>6</v>
      </c>
      <c r="I657" s="19" t="s">
        <v>6</v>
      </c>
      <c r="J657" s="20" t="s">
        <v>6</v>
      </c>
      <c r="K657" s="21" t="s">
        <v>6</v>
      </c>
    </row>
    <row r="658" spans="1:11">
      <c r="A658" s="117">
        <v>1</v>
      </c>
      <c r="B658" s="118"/>
      <c r="C658" s="118" t="s">
        <v>227</v>
      </c>
      <c r="D658" s="118"/>
      <c r="E658" s="117">
        <v>1</v>
      </c>
      <c r="F658" s="119"/>
      <c r="G658" s="120"/>
      <c r="H658" s="121"/>
      <c r="I658" s="122"/>
      <c r="J658" s="123"/>
      <c r="K658" s="124"/>
    </row>
    <row r="659" spans="1:11">
      <c r="A659" s="117">
        <v>2</v>
      </c>
      <c r="B659" s="118"/>
      <c r="C659" s="118" t="s">
        <v>227</v>
      </c>
      <c r="D659" s="118"/>
      <c r="E659" s="117">
        <v>2</v>
      </c>
      <c r="F659" s="119"/>
      <c r="G659" s="120"/>
      <c r="H659" s="121"/>
      <c r="I659" s="122"/>
      <c r="J659" s="123"/>
      <c r="K659" s="121"/>
    </row>
    <row r="660" spans="1:11">
      <c r="A660" s="117">
        <v>3</v>
      </c>
      <c r="B660" s="118"/>
      <c r="C660" s="118" t="s">
        <v>227</v>
      </c>
      <c r="D660" s="118"/>
      <c r="E660" s="117">
        <v>3</v>
      </c>
      <c r="F660" s="119"/>
      <c r="G660" s="120"/>
      <c r="H660" s="121"/>
      <c r="I660" s="122"/>
      <c r="J660" s="123"/>
      <c r="K660" s="121"/>
    </row>
    <row r="661" spans="1:11">
      <c r="A661" s="117">
        <v>4</v>
      </c>
      <c r="B661" s="118"/>
      <c r="C661" s="118" t="s">
        <v>227</v>
      </c>
      <c r="D661" s="118"/>
      <c r="E661" s="117">
        <v>4</v>
      </c>
      <c r="F661" s="119"/>
      <c r="G661" s="120"/>
      <c r="H661" s="121"/>
      <c r="I661" s="125"/>
      <c r="J661" s="123"/>
      <c r="K661" s="121"/>
    </row>
    <row r="662" spans="1:11">
      <c r="A662" s="117">
        <v>5</v>
      </c>
      <c r="B662" s="118"/>
      <c r="C662" s="118" t="s">
        <v>227</v>
      </c>
      <c r="D662" s="118"/>
      <c r="E662" s="117">
        <v>5</v>
      </c>
      <c r="F662" s="119"/>
      <c r="G662" s="120"/>
      <c r="H662" s="121"/>
      <c r="I662" s="125"/>
      <c r="J662" s="123"/>
      <c r="K662" s="121"/>
    </row>
    <row r="663" spans="1:11">
      <c r="A663" s="8">
        <v>6</v>
      </c>
      <c r="C663" s="9" t="s">
        <v>190</v>
      </c>
      <c r="E663" s="8">
        <v>6</v>
      </c>
      <c r="F663" s="10"/>
      <c r="G663" s="178">
        <v>247</v>
      </c>
      <c r="H663" s="178">
        <v>14448952</v>
      </c>
      <c r="I663" s="160"/>
      <c r="J663" s="178">
        <v>247</v>
      </c>
      <c r="K663" s="174">
        <v>14668164.883033616</v>
      </c>
    </row>
    <row r="664" spans="1:11">
      <c r="A664" s="8">
        <v>7</v>
      </c>
      <c r="C664" s="9" t="s">
        <v>191</v>
      </c>
      <c r="E664" s="8">
        <v>7</v>
      </c>
      <c r="F664" s="10"/>
      <c r="G664" s="179"/>
      <c r="H664" s="178">
        <v>5385763</v>
      </c>
      <c r="I664" s="176"/>
      <c r="J664" s="179"/>
      <c r="K664" s="174">
        <v>5469277.9728897838</v>
      </c>
    </row>
    <row r="665" spans="1:11">
      <c r="A665" s="8">
        <v>8</v>
      </c>
      <c r="C665" s="9" t="s">
        <v>192</v>
      </c>
      <c r="E665" s="8">
        <v>8</v>
      </c>
      <c r="F665" s="10"/>
      <c r="G665" s="179">
        <f>SUM(G663:G664)</f>
        <v>247</v>
      </c>
      <c r="H665" s="179">
        <f>SUM(H663:H664)</f>
        <v>19834715</v>
      </c>
      <c r="I665" s="176"/>
      <c r="J665" s="179">
        <f>SUM(J663:J664)</f>
        <v>247</v>
      </c>
      <c r="K665" s="179">
        <f>SUM(K663:K664)</f>
        <v>20137442.855923399</v>
      </c>
    </row>
    <row r="666" spans="1:11">
      <c r="A666" s="8">
        <v>9</v>
      </c>
      <c r="C666" s="9"/>
      <c r="E666" s="8">
        <v>9</v>
      </c>
      <c r="F666" s="10"/>
      <c r="G666" s="179"/>
      <c r="H666" s="179"/>
      <c r="I666" s="177"/>
      <c r="J666" s="179"/>
      <c r="K666" s="179"/>
    </row>
    <row r="667" spans="1:11">
      <c r="A667" s="8">
        <v>10</v>
      </c>
      <c r="C667" s="9"/>
      <c r="E667" s="8">
        <v>10</v>
      </c>
      <c r="F667" s="10"/>
      <c r="G667" s="179"/>
      <c r="H667" s="179"/>
      <c r="I667" s="160"/>
      <c r="J667" s="179"/>
      <c r="K667" s="179"/>
    </row>
    <row r="668" spans="1:11">
      <c r="A668" s="8">
        <v>11</v>
      </c>
      <c r="C668" s="9" t="s">
        <v>174</v>
      </c>
      <c r="E668" s="8">
        <v>11</v>
      </c>
      <c r="G668" s="173">
        <v>92</v>
      </c>
      <c r="H668" s="173">
        <v>3952697</v>
      </c>
      <c r="I668" s="177"/>
      <c r="J668" s="173">
        <v>92</v>
      </c>
      <c r="K668" s="174">
        <v>3980422</v>
      </c>
    </row>
    <row r="669" spans="1:11">
      <c r="A669" s="8">
        <v>12</v>
      </c>
      <c r="C669" s="9" t="s">
        <v>175</v>
      </c>
      <c r="E669" s="8">
        <v>12</v>
      </c>
      <c r="G669" s="168"/>
      <c r="H669" s="173">
        <v>1500428</v>
      </c>
      <c r="I669" s="160"/>
      <c r="J669" s="168"/>
      <c r="K669" s="174">
        <v>1507321</v>
      </c>
    </row>
    <row r="670" spans="1:11">
      <c r="A670" s="8">
        <v>13</v>
      </c>
      <c r="C670" s="9" t="s">
        <v>193</v>
      </c>
      <c r="E670" s="8">
        <v>13</v>
      </c>
      <c r="F670" s="10"/>
      <c r="G670" s="179">
        <f>SUM(G668:G669)</f>
        <v>92</v>
      </c>
      <c r="H670" s="179">
        <f>SUM(H668:H669)</f>
        <v>5453125</v>
      </c>
      <c r="I670" s="176"/>
      <c r="J670" s="179">
        <f>SUM(J668:J669)</f>
        <v>92</v>
      </c>
      <c r="K670" s="179">
        <f>SUM(K668:K669)</f>
        <v>5487743</v>
      </c>
    </row>
    <row r="671" spans="1:11">
      <c r="A671" s="8">
        <v>14</v>
      </c>
      <c r="E671" s="8">
        <v>14</v>
      </c>
      <c r="F671" s="10"/>
      <c r="G671" s="179"/>
      <c r="H671" s="179"/>
      <c r="I671" s="176"/>
      <c r="J671" s="179"/>
      <c r="K671" s="179"/>
    </row>
    <row r="672" spans="1:11">
      <c r="A672" s="8">
        <v>15</v>
      </c>
      <c r="C672" s="9" t="s">
        <v>177</v>
      </c>
      <c r="E672" s="8">
        <v>15</v>
      </c>
      <c r="F672" s="10"/>
      <c r="G672" s="179">
        <f>G665+G670</f>
        <v>339</v>
      </c>
      <c r="H672" s="179">
        <f>H665+H670</f>
        <v>25287840</v>
      </c>
      <c r="I672" s="176"/>
      <c r="J672" s="179">
        <f>J665+J670</f>
        <v>339</v>
      </c>
      <c r="K672" s="179">
        <f>K665+K670</f>
        <v>25625185.855923399</v>
      </c>
    </row>
    <row r="673" spans="1:11">
      <c r="A673" s="8">
        <v>16</v>
      </c>
      <c r="E673" s="8">
        <v>16</v>
      </c>
      <c r="F673" s="10"/>
      <c r="G673" s="179"/>
      <c r="H673" s="179"/>
      <c r="I673" s="176"/>
      <c r="J673" s="179"/>
      <c r="K673" s="179"/>
    </row>
    <row r="674" spans="1:11" s="36" customFormat="1">
      <c r="A674" s="8">
        <v>17</v>
      </c>
      <c r="B674" s="137"/>
      <c r="C674" s="9" t="s">
        <v>178</v>
      </c>
      <c r="D674" s="137"/>
      <c r="E674" s="8">
        <v>17</v>
      </c>
      <c r="F674" s="10"/>
      <c r="G674" s="179"/>
      <c r="H674" s="178">
        <v>842803</v>
      </c>
      <c r="I674" s="176"/>
      <c r="J674" s="179"/>
      <c r="K674" s="174">
        <v>850321</v>
      </c>
    </row>
    <row r="675" spans="1:11" s="36" customFormat="1">
      <c r="A675" s="8">
        <v>18</v>
      </c>
      <c r="B675" s="137"/>
      <c r="C675" s="9"/>
      <c r="D675" s="137"/>
      <c r="E675" s="8">
        <v>18</v>
      </c>
      <c r="F675" s="10"/>
      <c r="G675" s="179"/>
      <c r="H675" s="179"/>
      <c r="I675" s="176"/>
      <c r="J675" s="179"/>
      <c r="K675" s="179"/>
    </row>
    <row r="676" spans="1:11">
      <c r="A676" s="8">
        <v>19</v>
      </c>
      <c r="C676" s="9" t="s">
        <v>179</v>
      </c>
      <c r="E676" s="8">
        <v>19</v>
      </c>
      <c r="F676" s="10"/>
      <c r="G676" s="179"/>
      <c r="H676" s="178">
        <v>732599</v>
      </c>
      <c r="I676" s="176"/>
      <c r="J676" s="179"/>
      <c r="K676" s="178">
        <v>750124</v>
      </c>
    </row>
    <row r="677" spans="1:11">
      <c r="A677" s="8">
        <v>20</v>
      </c>
      <c r="C677" s="9" t="s">
        <v>180</v>
      </c>
      <c r="E677" s="8">
        <v>20</v>
      </c>
      <c r="F677" s="10"/>
      <c r="G677" s="179"/>
      <c r="H677" s="178">
        <v>5572419</v>
      </c>
      <c r="I677" s="176"/>
      <c r="J677" s="179"/>
      <c r="K677" s="178">
        <v>5667131</v>
      </c>
    </row>
    <row r="678" spans="1:11">
      <c r="A678" s="8">
        <v>21</v>
      </c>
      <c r="C678" s="9"/>
      <c r="E678" s="8">
        <v>21</v>
      </c>
      <c r="F678" s="10"/>
      <c r="G678" s="179"/>
      <c r="H678" s="179"/>
      <c r="I678" s="176"/>
      <c r="J678" s="179"/>
      <c r="K678" s="179"/>
    </row>
    <row r="679" spans="1:11">
      <c r="A679" s="8">
        <v>22</v>
      </c>
      <c r="C679" s="9"/>
      <c r="E679" s="8">
        <v>22</v>
      </c>
      <c r="F679" s="10"/>
      <c r="G679" s="179"/>
      <c r="H679" s="179"/>
      <c r="I679" s="176"/>
      <c r="J679" s="179"/>
      <c r="K679" s="179"/>
    </row>
    <row r="680" spans="1:11">
      <c r="A680" s="8">
        <v>23</v>
      </c>
      <c r="C680" s="9" t="s">
        <v>194</v>
      </c>
      <c r="E680" s="8">
        <v>23</v>
      </c>
      <c r="F680" s="10"/>
      <c r="G680" s="179"/>
      <c r="H680" s="178"/>
      <c r="I680" s="176"/>
      <c r="J680" s="179"/>
      <c r="K680" s="178"/>
    </row>
    <row r="681" spans="1:11">
      <c r="A681" s="8">
        <v>24</v>
      </c>
      <c r="C681" s="9"/>
      <c r="E681" s="8">
        <v>24</v>
      </c>
      <c r="F681" s="10"/>
      <c r="G681" s="179"/>
      <c r="H681" s="179"/>
      <c r="I681" s="176"/>
      <c r="J681" s="179"/>
      <c r="K681" s="179"/>
    </row>
    <row r="682" spans="1:11">
      <c r="E682" s="35"/>
      <c r="F682" s="70" t="s">
        <v>6</v>
      </c>
      <c r="G682" s="21" t="s">
        <v>6</v>
      </c>
      <c r="H682" s="21" t="s">
        <v>6</v>
      </c>
      <c r="I682" s="70" t="s">
        <v>6</v>
      </c>
      <c r="J682" s="21" t="s">
        <v>6</v>
      </c>
      <c r="K682" s="21" t="s">
        <v>6</v>
      </c>
    </row>
    <row r="683" spans="1:11">
      <c r="A683" s="8">
        <v>25</v>
      </c>
      <c r="C683" s="9" t="s">
        <v>201</v>
      </c>
      <c r="E683" s="8">
        <v>25</v>
      </c>
      <c r="G683" s="168">
        <f>SUM(G672:G682)</f>
        <v>339</v>
      </c>
      <c r="H683" s="168">
        <f>SUM(H672:H682)</f>
        <v>32435661</v>
      </c>
      <c r="I683" s="168"/>
      <c r="J683" s="168">
        <f>SUM(J672:J682)</f>
        <v>339</v>
      </c>
      <c r="K683" s="168">
        <f>SUM(K672:K682)</f>
        <v>32892761.855923399</v>
      </c>
    </row>
    <row r="684" spans="1:11">
      <c r="E684" s="35"/>
      <c r="F684" s="70" t="s">
        <v>6</v>
      </c>
      <c r="G684" s="20" t="s">
        <v>6</v>
      </c>
      <c r="H684" s="21" t="s">
        <v>6</v>
      </c>
      <c r="I684" s="70" t="s">
        <v>6</v>
      </c>
      <c r="J684" s="20" t="s">
        <v>6</v>
      </c>
      <c r="K684" s="21" t="s">
        <v>6</v>
      </c>
    </row>
    <row r="685" spans="1:11">
      <c r="C685" s="137" t="s">
        <v>49</v>
      </c>
      <c r="E685" s="35"/>
      <c r="F685" s="70"/>
      <c r="G685" s="20"/>
      <c r="H685" s="21"/>
      <c r="I685" s="70"/>
      <c r="J685" s="20"/>
      <c r="K685" s="21"/>
    </row>
    <row r="687" spans="1:11">
      <c r="A687" s="9"/>
    </row>
    <row r="688" spans="1:11">
      <c r="A688" s="16" t="str">
        <f>$A$83</f>
        <v xml:space="preserve">Institution No.:  </v>
      </c>
      <c r="B688" s="36"/>
      <c r="C688" s="36"/>
      <c r="D688" s="36"/>
      <c r="E688" s="37"/>
      <c r="F688" s="36"/>
      <c r="G688" s="38"/>
      <c r="H688" s="39"/>
      <c r="I688" s="36"/>
      <c r="J688" s="38"/>
      <c r="K688" s="15" t="s">
        <v>202</v>
      </c>
    </row>
    <row r="689" spans="1:11">
      <c r="A689" s="229" t="s">
        <v>203</v>
      </c>
      <c r="B689" s="229"/>
      <c r="C689" s="229"/>
      <c r="D689" s="229"/>
      <c r="E689" s="229"/>
      <c r="F689" s="229"/>
      <c r="G689" s="229"/>
      <c r="H689" s="229"/>
      <c r="I689" s="229"/>
      <c r="J689" s="229"/>
      <c r="K689" s="229"/>
    </row>
    <row r="690" spans="1:11">
      <c r="A690" s="16" t="str">
        <f>$A$42</f>
        <v xml:space="preserve">NAME: </v>
      </c>
      <c r="C690" s="137" t="str">
        <f>$D$20</f>
        <v>University of Colorado</v>
      </c>
      <c r="F690" s="72"/>
      <c r="G690" s="66"/>
      <c r="H690" s="40"/>
      <c r="J690" s="14"/>
      <c r="K690" s="18" t="str">
        <f>$K$3</f>
        <v>Date: October 09, 2017</v>
      </c>
    </row>
    <row r="691" spans="1:11">
      <c r="A691" s="19" t="s">
        <v>6</v>
      </c>
      <c r="B691" s="19" t="s">
        <v>6</v>
      </c>
      <c r="C691" s="19" t="s">
        <v>6</v>
      </c>
      <c r="D691" s="19" t="s">
        <v>6</v>
      </c>
      <c r="E691" s="19" t="s">
        <v>6</v>
      </c>
      <c r="F691" s="19" t="s">
        <v>6</v>
      </c>
      <c r="G691" s="20" t="s">
        <v>6</v>
      </c>
      <c r="H691" s="21" t="s">
        <v>6</v>
      </c>
      <c r="I691" s="19" t="s">
        <v>6</v>
      </c>
      <c r="J691" s="20" t="s">
        <v>6</v>
      </c>
      <c r="K691" s="21" t="s">
        <v>6</v>
      </c>
    </row>
    <row r="692" spans="1:11">
      <c r="A692" s="22" t="s">
        <v>7</v>
      </c>
      <c r="E692" s="22" t="s">
        <v>7</v>
      </c>
      <c r="F692" s="23"/>
      <c r="G692" s="24"/>
      <c r="H692" s="25" t="str">
        <f>H655</f>
        <v>2016-17</v>
      </c>
      <c r="I692" s="23"/>
      <c r="J692" s="24"/>
      <c r="K692" s="25" t="str">
        <f>K655</f>
        <v>2017-18</v>
      </c>
    </row>
    <row r="693" spans="1:11">
      <c r="A693" s="22" t="s">
        <v>9</v>
      </c>
      <c r="C693" s="26" t="s">
        <v>51</v>
      </c>
      <c r="E693" s="22" t="s">
        <v>9</v>
      </c>
      <c r="F693" s="23"/>
      <c r="G693" s="24" t="s">
        <v>11</v>
      </c>
      <c r="H693" s="25" t="s">
        <v>12</v>
      </c>
      <c r="I693" s="23"/>
      <c r="J693" s="24" t="s">
        <v>11</v>
      </c>
      <c r="K693" s="25" t="s">
        <v>13</v>
      </c>
    </row>
    <row r="694" spans="1:11">
      <c r="A694" s="19" t="s">
        <v>6</v>
      </c>
      <c r="B694" s="19" t="s">
        <v>6</v>
      </c>
      <c r="C694" s="19" t="s">
        <v>6</v>
      </c>
      <c r="D694" s="19" t="s">
        <v>6</v>
      </c>
      <c r="E694" s="19" t="s">
        <v>6</v>
      </c>
      <c r="F694" s="19" t="s">
        <v>6</v>
      </c>
      <c r="G694" s="20" t="s">
        <v>6</v>
      </c>
      <c r="H694" s="21" t="s">
        <v>6</v>
      </c>
      <c r="I694" s="19" t="s">
        <v>6</v>
      </c>
      <c r="J694" s="20" t="s">
        <v>6</v>
      </c>
      <c r="K694" s="21" t="s">
        <v>6</v>
      </c>
    </row>
    <row r="695" spans="1:11">
      <c r="A695" s="117">
        <v>1</v>
      </c>
      <c r="B695" s="118"/>
      <c r="C695" s="118" t="s">
        <v>227</v>
      </c>
      <c r="D695" s="118"/>
      <c r="E695" s="117">
        <v>1</v>
      </c>
      <c r="F695" s="119"/>
      <c r="G695" s="120"/>
      <c r="H695" s="121"/>
      <c r="I695" s="122"/>
      <c r="J695" s="123"/>
      <c r="K695" s="124"/>
    </row>
    <row r="696" spans="1:11">
      <c r="A696" s="117">
        <v>2</v>
      </c>
      <c r="B696" s="118"/>
      <c r="C696" s="118" t="s">
        <v>227</v>
      </c>
      <c r="D696" s="118"/>
      <c r="E696" s="117">
        <v>2</v>
      </c>
      <c r="F696" s="119"/>
      <c r="G696" s="120"/>
      <c r="H696" s="121"/>
      <c r="I696" s="122"/>
      <c r="J696" s="123"/>
      <c r="K696" s="121"/>
    </row>
    <row r="697" spans="1:11">
      <c r="A697" s="117">
        <v>3</v>
      </c>
      <c r="B697" s="118"/>
      <c r="C697" s="118" t="s">
        <v>227</v>
      </c>
      <c r="D697" s="118"/>
      <c r="E697" s="117">
        <v>3</v>
      </c>
      <c r="F697" s="119"/>
      <c r="G697" s="120"/>
      <c r="H697" s="121"/>
      <c r="I697" s="122"/>
      <c r="J697" s="123"/>
      <c r="K697" s="121"/>
    </row>
    <row r="698" spans="1:11">
      <c r="A698" s="117">
        <v>4</v>
      </c>
      <c r="B698" s="118"/>
      <c r="C698" s="118" t="s">
        <v>227</v>
      </c>
      <c r="D698" s="118"/>
      <c r="E698" s="117">
        <v>4</v>
      </c>
      <c r="F698" s="119"/>
      <c r="G698" s="120"/>
      <c r="H698" s="121"/>
      <c r="I698" s="125"/>
      <c r="J698" s="123"/>
      <c r="K698" s="121"/>
    </row>
    <row r="699" spans="1:11">
      <c r="A699" s="117">
        <v>5</v>
      </c>
      <c r="B699" s="118"/>
      <c r="C699" s="118" t="s">
        <v>227</v>
      </c>
      <c r="D699" s="118"/>
      <c r="E699" s="117">
        <v>5</v>
      </c>
      <c r="F699" s="119"/>
      <c r="G699" s="123"/>
      <c r="H699" s="121"/>
      <c r="I699" s="125"/>
      <c r="J699" s="123"/>
      <c r="K699" s="121"/>
    </row>
    <row r="700" spans="1:11">
      <c r="A700" s="8">
        <v>6</v>
      </c>
      <c r="C700" s="9" t="s">
        <v>190</v>
      </c>
      <c r="E700" s="8">
        <v>6</v>
      </c>
      <c r="F700" s="10"/>
      <c r="G700" s="178">
        <v>415</v>
      </c>
      <c r="H700" s="178">
        <v>38144922</v>
      </c>
      <c r="I700" s="160"/>
      <c r="J700" s="178">
        <v>417</v>
      </c>
      <c r="K700" s="174">
        <v>38425320</v>
      </c>
    </row>
    <row r="701" spans="1:11">
      <c r="A701" s="8">
        <v>7</v>
      </c>
      <c r="C701" s="9" t="s">
        <v>191</v>
      </c>
      <c r="E701" s="8">
        <v>7</v>
      </c>
      <c r="F701" s="10"/>
      <c r="G701" s="179"/>
      <c r="H701" s="178">
        <v>13899300</v>
      </c>
      <c r="I701" s="176"/>
      <c r="J701" s="179"/>
      <c r="K701" s="174">
        <v>13998425</v>
      </c>
    </row>
    <row r="702" spans="1:11">
      <c r="A702" s="8">
        <v>8</v>
      </c>
      <c r="C702" s="9" t="s">
        <v>192</v>
      </c>
      <c r="E702" s="8">
        <v>8</v>
      </c>
      <c r="F702" s="10"/>
      <c r="G702" s="179">
        <f>SUM(G700:G701)</f>
        <v>415</v>
      </c>
      <c r="H702" s="179">
        <f>SUM(H700:H701)</f>
        <v>52044222</v>
      </c>
      <c r="I702" s="176"/>
      <c r="J702" s="179">
        <f>SUM(J700:J701)</f>
        <v>417</v>
      </c>
      <c r="K702" s="179">
        <f>SUM(K700:K701)</f>
        <v>52423745</v>
      </c>
    </row>
    <row r="703" spans="1:11">
      <c r="A703" s="8">
        <v>9</v>
      </c>
      <c r="C703" s="9"/>
      <c r="E703" s="8">
        <v>9</v>
      </c>
      <c r="F703" s="10"/>
      <c r="G703" s="179"/>
      <c r="H703" s="179"/>
      <c r="I703" s="177"/>
      <c r="J703" s="179"/>
      <c r="K703" s="179"/>
    </row>
    <row r="704" spans="1:11">
      <c r="A704" s="8">
        <v>10</v>
      </c>
      <c r="C704" s="9"/>
      <c r="E704" s="8">
        <v>10</v>
      </c>
      <c r="F704" s="10"/>
      <c r="G704" s="179"/>
      <c r="H704" s="179"/>
      <c r="I704" s="160"/>
      <c r="J704" s="179"/>
      <c r="K704" s="179"/>
    </row>
    <row r="705" spans="1:11">
      <c r="A705" s="8">
        <v>11</v>
      </c>
      <c r="C705" s="9" t="s">
        <v>174</v>
      </c>
      <c r="E705" s="8">
        <v>11</v>
      </c>
      <c r="G705" s="173">
        <v>92</v>
      </c>
      <c r="H705" s="173">
        <v>5324251</v>
      </c>
      <c r="I705" s="177"/>
      <c r="J705" s="173">
        <v>92</v>
      </c>
      <c r="K705" s="174">
        <v>5351091.3613829901</v>
      </c>
    </row>
    <row r="706" spans="1:11">
      <c r="A706" s="8">
        <v>12</v>
      </c>
      <c r="C706" s="9" t="s">
        <v>175</v>
      </c>
      <c r="E706" s="8">
        <v>12</v>
      </c>
      <c r="G706" s="168"/>
      <c r="H706" s="173">
        <v>1828407</v>
      </c>
      <c r="I706" s="160"/>
      <c r="J706" s="168"/>
      <c r="K706" s="174">
        <v>1974912.7264934401</v>
      </c>
    </row>
    <row r="707" spans="1:11">
      <c r="A707" s="8">
        <v>13</v>
      </c>
      <c r="C707" s="9" t="s">
        <v>193</v>
      </c>
      <c r="E707" s="8">
        <v>13</v>
      </c>
      <c r="F707" s="10"/>
      <c r="G707" s="179">
        <f>SUM(G705:G706)</f>
        <v>92</v>
      </c>
      <c r="H707" s="179">
        <f>SUM(H705:H706)</f>
        <v>7152658</v>
      </c>
      <c r="I707" s="176"/>
      <c r="J707" s="179">
        <f>SUM(J705:J706)</f>
        <v>92</v>
      </c>
      <c r="K707" s="179">
        <f>SUM(K705:K706)</f>
        <v>7326004.0878764298</v>
      </c>
    </row>
    <row r="708" spans="1:11">
      <c r="A708" s="8">
        <v>14</v>
      </c>
      <c r="E708" s="8">
        <v>14</v>
      </c>
      <c r="F708" s="10"/>
      <c r="G708" s="179"/>
      <c r="H708" s="179"/>
      <c r="I708" s="176"/>
      <c r="J708" s="179"/>
      <c r="K708" s="179"/>
    </row>
    <row r="709" spans="1:11">
      <c r="A709" s="8">
        <v>15</v>
      </c>
      <c r="C709" s="9" t="s">
        <v>177</v>
      </c>
      <c r="E709" s="8">
        <v>15</v>
      </c>
      <c r="F709" s="10"/>
      <c r="G709" s="179">
        <f>G702+G707</f>
        <v>507</v>
      </c>
      <c r="H709" s="179">
        <f>H702+H707</f>
        <v>59196880</v>
      </c>
      <c r="I709" s="176"/>
      <c r="J709" s="179">
        <f>J702+J707</f>
        <v>509</v>
      </c>
      <c r="K709" s="179">
        <f>K702+K707</f>
        <v>59749749.087876432</v>
      </c>
    </row>
    <row r="710" spans="1:11">
      <c r="A710" s="8">
        <v>16</v>
      </c>
      <c r="E710" s="8">
        <v>16</v>
      </c>
      <c r="F710" s="10"/>
      <c r="G710" s="179"/>
      <c r="H710" s="179"/>
      <c r="I710" s="176"/>
      <c r="J710" s="179"/>
      <c r="K710" s="179"/>
    </row>
    <row r="711" spans="1:11" s="36" customFormat="1">
      <c r="A711" s="8">
        <v>17</v>
      </c>
      <c r="B711" s="137"/>
      <c r="C711" s="9" t="s">
        <v>178</v>
      </c>
      <c r="D711" s="137"/>
      <c r="E711" s="8">
        <v>17</v>
      </c>
      <c r="F711" s="10"/>
      <c r="G711" s="179"/>
      <c r="H711" s="178">
        <v>818642</v>
      </c>
      <c r="I711" s="176"/>
      <c r="J711" s="179"/>
      <c r="K711" s="174">
        <v>835425</v>
      </c>
    </row>
    <row r="712" spans="1:11" s="36" customFormat="1">
      <c r="A712" s="8">
        <v>18</v>
      </c>
      <c r="B712" s="137"/>
      <c r="C712" s="9"/>
      <c r="D712" s="137"/>
      <c r="E712" s="8">
        <v>18</v>
      </c>
      <c r="F712" s="10"/>
      <c r="G712" s="179"/>
      <c r="H712" s="179"/>
      <c r="I712" s="176"/>
      <c r="J712" s="179"/>
      <c r="K712" s="179"/>
    </row>
    <row r="713" spans="1:11">
      <c r="A713" s="8">
        <v>19</v>
      </c>
      <c r="C713" s="9" t="s">
        <v>179</v>
      </c>
      <c r="E713" s="8">
        <v>19</v>
      </c>
      <c r="F713" s="10"/>
      <c r="G713" s="179"/>
      <c r="H713" s="178">
        <v>326453</v>
      </c>
      <c r="I713" s="176"/>
      <c r="J713" s="179"/>
      <c r="K713" s="178">
        <v>453433</v>
      </c>
    </row>
    <row r="714" spans="1:11">
      <c r="A714" s="8">
        <v>20</v>
      </c>
      <c r="C714" s="9" t="s">
        <v>180</v>
      </c>
      <c r="E714" s="8">
        <v>20</v>
      </c>
      <c r="F714" s="10"/>
      <c r="G714" s="179"/>
      <c r="H714" s="178">
        <v>24568225</v>
      </c>
      <c r="I714" s="176"/>
      <c r="J714" s="179"/>
      <c r="K714" s="178">
        <v>25711417</v>
      </c>
    </row>
    <row r="715" spans="1:11">
      <c r="A715" s="8">
        <v>21</v>
      </c>
      <c r="C715" s="9"/>
      <c r="E715" s="8">
        <v>21</v>
      </c>
      <c r="F715" s="10"/>
      <c r="G715" s="179"/>
      <c r="H715" s="179"/>
      <c r="I715" s="176"/>
      <c r="J715" s="179"/>
      <c r="K715" s="179"/>
    </row>
    <row r="716" spans="1:11">
      <c r="A716" s="8">
        <v>22</v>
      </c>
      <c r="C716" s="9"/>
      <c r="E716" s="8">
        <v>22</v>
      </c>
      <c r="F716" s="10"/>
      <c r="G716" s="179"/>
      <c r="H716" s="179"/>
      <c r="I716" s="176"/>
      <c r="J716" s="179"/>
      <c r="K716" s="179"/>
    </row>
    <row r="717" spans="1:11">
      <c r="A717" s="8">
        <v>23</v>
      </c>
      <c r="C717" s="9" t="s">
        <v>194</v>
      </c>
      <c r="E717" s="8">
        <v>23</v>
      </c>
      <c r="F717" s="10"/>
      <c r="G717" s="179"/>
      <c r="H717" s="178">
        <v>0</v>
      </c>
      <c r="I717" s="176"/>
      <c r="J717" s="179"/>
      <c r="K717" s="178"/>
    </row>
    <row r="718" spans="1:11">
      <c r="A718" s="8">
        <v>24</v>
      </c>
      <c r="C718" s="9"/>
      <c r="E718" s="8">
        <v>24</v>
      </c>
      <c r="F718" s="10"/>
      <c r="G718" s="179"/>
      <c r="H718" s="179"/>
      <c r="I718" s="176"/>
      <c r="J718" s="179"/>
      <c r="K718" s="179"/>
    </row>
    <row r="719" spans="1:11">
      <c r="E719" s="35"/>
      <c r="F719" s="70" t="s">
        <v>6</v>
      </c>
      <c r="G719" s="21" t="s">
        <v>6</v>
      </c>
      <c r="H719" s="21" t="s">
        <v>6</v>
      </c>
      <c r="I719" s="70" t="s">
        <v>6</v>
      </c>
      <c r="J719" s="21" t="s">
        <v>6</v>
      </c>
      <c r="K719" s="21" t="s">
        <v>6</v>
      </c>
    </row>
    <row r="720" spans="1:11">
      <c r="A720" s="8">
        <v>25</v>
      </c>
      <c r="C720" s="9" t="s">
        <v>204</v>
      </c>
      <c r="E720" s="8">
        <v>25</v>
      </c>
      <c r="G720" s="168">
        <f>SUM(G709:G719)</f>
        <v>507</v>
      </c>
      <c r="H720" s="168">
        <f>SUM(H709:H719)</f>
        <v>84910200</v>
      </c>
      <c r="I720" s="168"/>
      <c r="J720" s="168">
        <f>SUM(J709:J719)</f>
        <v>509</v>
      </c>
      <c r="K720" s="168">
        <f>SUM(K709:K719)</f>
        <v>86750024.087876439</v>
      </c>
    </row>
    <row r="721" spans="1:11">
      <c r="E721" s="35"/>
      <c r="F721" s="70" t="s">
        <v>6</v>
      </c>
      <c r="G721" s="20" t="s">
        <v>6</v>
      </c>
      <c r="H721" s="21" t="s">
        <v>6</v>
      </c>
      <c r="I721" s="70" t="s">
        <v>6</v>
      </c>
      <c r="J721" s="20" t="s">
        <v>6</v>
      </c>
      <c r="K721" s="21" t="s">
        <v>6</v>
      </c>
    </row>
    <row r="722" spans="1:11">
      <c r="C722" s="137" t="s">
        <v>49</v>
      </c>
    </row>
    <row r="725" spans="1:11">
      <c r="A725" s="16" t="str">
        <f>$A$83</f>
        <v xml:space="preserve">Institution No.:  </v>
      </c>
      <c r="B725" s="36"/>
      <c r="C725" s="36"/>
      <c r="D725" s="36"/>
      <c r="E725" s="37"/>
      <c r="F725" s="36"/>
      <c r="G725" s="38"/>
      <c r="H725" s="39"/>
      <c r="I725" s="36"/>
      <c r="J725" s="38"/>
      <c r="K725" s="15" t="s">
        <v>205</v>
      </c>
    </row>
    <row r="726" spans="1:11">
      <c r="A726" s="229" t="s">
        <v>206</v>
      </c>
      <c r="B726" s="229"/>
      <c r="C726" s="229"/>
      <c r="D726" s="229"/>
      <c r="E726" s="229"/>
      <c r="F726" s="229"/>
      <c r="G726" s="229"/>
      <c r="H726" s="229"/>
      <c r="I726" s="229"/>
      <c r="J726" s="229"/>
      <c r="K726" s="229"/>
    </row>
    <row r="727" spans="1:11">
      <c r="A727" s="16" t="str">
        <f>$A$42</f>
        <v xml:space="preserve">NAME: </v>
      </c>
      <c r="C727" s="137" t="str">
        <f>$D$20</f>
        <v>University of Colorado</v>
      </c>
      <c r="F727" s="72"/>
      <c r="G727" s="66"/>
      <c r="H727" s="67"/>
      <c r="J727" s="14"/>
      <c r="K727" s="18" t="str">
        <f>$K$3</f>
        <v>Date: October 09, 2017</v>
      </c>
    </row>
    <row r="728" spans="1:11">
      <c r="A728" s="19" t="s">
        <v>6</v>
      </c>
      <c r="B728" s="19" t="s">
        <v>6</v>
      </c>
      <c r="C728" s="19" t="s">
        <v>6</v>
      </c>
      <c r="D728" s="19" t="s">
        <v>6</v>
      </c>
      <c r="E728" s="19" t="s">
        <v>6</v>
      </c>
      <c r="F728" s="19" t="s">
        <v>6</v>
      </c>
      <c r="G728" s="20" t="s">
        <v>6</v>
      </c>
      <c r="H728" s="21" t="s">
        <v>6</v>
      </c>
      <c r="I728" s="19" t="s">
        <v>6</v>
      </c>
      <c r="J728" s="20" t="s">
        <v>6</v>
      </c>
      <c r="K728" s="21" t="s">
        <v>6</v>
      </c>
    </row>
    <row r="729" spans="1:11">
      <c r="A729" s="22" t="s">
        <v>7</v>
      </c>
      <c r="E729" s="22" t="s">
        <v>7</v>
      </c>
      <c r="F729" s="23"/>
      <c r="G729" s="24"/>
      <c r="H729" s="25" t="str">
        <f>H692</f>
        <v>2016-17</v>
      </c>
      <c r="I729" s="23"/>
      <c r="J729" s="24"/>
      <c r="K729" s="25" t="str">
        <f>K692</f>
        <v>2017-18</v>
      </c>
    </row>
    <row r="730" spans="1:11">
      <c r="A730" s="22" t="s">
        <v>9</v>
      </c>
      <c r="C730" s="26" t="s">
        <v>51</v>
      </c>
      <c r="E730" s="22" t="s">
        <v>9</v>
      </c>
      <c r="F730" s="23"/>
      <c r="G730" s="24" t="s">
        <v>11</v>
      </c>
      <c r="H730" s="25" t="s">
        <v>12</v>
      </c>
      <c r="I730" s="23"/>
      <c r="J730" s="24" t="s">
        <v>11</v>
      </c>
      <c r="K730" s="25" t="s">
        <v>13</v>
      </c>
    </row>
    <row r="731" spans="1:11">
      <c r="A731" s="19" t="s">
        <v>6</v>
      </c>
      <c r="B731" s="19" t="s">
        <v>6</v>
      </c>
      <c r="C731" s="19" t="s">
        <v>6</v>
      </c>
      <c r="D731" s="19" t="s">
        <v>6</v>
      </c>
      <c r="E731" s="19" t="s">
        <v>6</v>
      </c>
      <c r="F731" s="19" t="s">
        <v>6</v>
      </c>
      <c r="G731" s="20"/>
      <c r="H731" s="21"/>
      <c r="I731" s="19"/>
      <c r="J731" s="20"/>
      <c r="K731" s="21"/>
    </row>
    <row r="732" spans="1:11">
      <c r="A732" s="117">
        <v>1</v>
      </c>
      <c r="B732" s="118"/>
      <c r="C732" s="118" t="s">
        <v>227</v>
      </c>
      <c r="D732" s="118"/>
      <c r="E732" s="117">
        <v>1</v>
      </c>
      <c r="F732" s="119"/>
      <c r="G732" s="120"/>
      <c r="H732" s="121"/>
      <c r="I732" s="122"/>
      <c r="J732" s="123"/>
      <c r="K732" s="124"/>
    </row>
    <row r="733" spans="1:11">
      <c r="A733" s="117">
        <v>2</v>
      </c>
      <c r="B733" s="118"/>
      <c r="C733" s="118" t="s">
        <v>227</v>
      </c>
      <c r="D733" s="118"/>
      <c r="E733" s="117">
        <v>2</v>
      </c>
      <c r="F733" s="119"/>
      <c r="G733" s="120"/>
      <c r="H733" s="121"/>
      <c r="I733" s="122"/>
      <c r="J733" s="123"/>
      <c r="K733" s="121"/>
    </row>
    <row r="734" spans="1:11">
      <c r="A734" s="117">
        <v>3</v>
      </c>
      <c r="B734" s="118"/>
      <c r="C734" s="118" t="s">
        <v>227</v>
      </c>
      <c r="D734" s="118"/>
      <c r="E734" s="117">
        <v>3</v>
      </c>
      <c r="F734" s="119"/>
      <c r="G734" s="120"/>
      <c r="H734" s="121"/>
      <c r="I734" s="122"/>
      <c r="J734" s="123"/>
      <c r="K734" s="121"/>
    </row>
    <row r="735" spans="1:11">
      <c r="A735" s="117">
        <v>4</v>
      </c>
      <c r="B735" s="118"/>
      <c r="C735" s="118" t="s">
        <v>227</v>
      </c>
      <c r="D735" s="118"/>
      <c r="E735" s="117">
        <v>4</v>
      </c>
      <c r="F735" s="119"/>
      <c r="G735" s="120"/>
      <c r="H735" s="121"/>
      <c r="I735" s="125"/>
      <c r="J735" s="123"/>
      <c r="K735" s="121"/>
    </row>
    <row r="736" spans="1:11">
      <c r="A736" s="117">
        <v>5</v>
      </c>
      <c r="B736" s="118"/>
      <c r="C736" s="118" t="s">
        <v>227</v>
      </c>
      <c r="D736" s="118"/>
      <c r="E736" s="117">
        <v>5</v>
      </c>
      <c r="F736" s="119"/>
      <c r="G736" s="120"/>
      <c r="H736" s="121"/>
      <c r="I736" s="125"/>
      <c r="J736" s="123"/>
      <c r="K736" s="121"/>
    </row>
    <row r="737" spans="1:11">
      <c r="A737" s="8">
        <v>6</v>
      </c>
      <c r="C737" s="9" t="s">
        <v>190</v>
      </c>
      <c r="E737" s="8">
        <v>6</v>
      </c>
      <c r="F737" s="10"/>
      <c r="G737" s="178">
        <v>113</v>
      </c>
      <c r="H737" s="178">
        <v>8655652</v>
      </c>
      <c r="I737" s="160"/>
      <c r="J737" s="178">
        <v>115</v>
      </c>
      <c r="K737" s="174">
        <v>8707731.1839751005</v>
      </c>
    </row>
    <row r="738" spans="1:11">
      <c r="A738" s="8">
        <v>7</v>
      </c>
      <c r="C738" s="9" t="s">
        <v>191</v>
      </c>
      <c r="E738" s="8">
        <v>7</v>
      </c>
      <c r="F738" s="10"/>
      <c r="G738" s="179"/>
      <c r="H738" s="178">
        <v>3234367</v>
      </c>
      <c r="I738" s="176"/>
      <c r="J738" s="179"/>
      <c r="K738" s="174">
        <v>3305359.0461261701</v>
      </c>
    </row>
    <row r="739" spans="1:11">
      <c r="A739" s="8">
        <v>8</v>
      </c>
      <c r="C739" s="9" t="s">
        <v>192</v>
      </c>
      <c r="E739" s="8">
        <v>8</v>
      </c>
      <c r="F739" s="10"/>
      <c r="G739" s="179">
        <f>SUM(G737:G738)</f>
        <v>113</v>
      </c>
      <c r="H739" s="179">
        <f>SUM(H737:H738)</f>
        <v>11890019</v>
      </c>
      <c r="I739" s="176"/>
      <c r="J739" s="179">
        <f>SUM(J737:J738)</f>
        <v>115</v>
      </c>
      <c r="K739" s="179">
        <f>SUM(K737:K738)</f>
        <v>12013090.230101271</v>
      </c>
    </row>
    <row r="740" spans="1:11">
      <c r="A740" s="8">
        <v>9</v>
      </c>
      <c r="C740" s="9"/>
      <c r="E740" s="8">
        <v>9</v>
      </c>
      <c r="F740" s="10"/>
      <c r="G740" s="179"/>
      <c r="H740" s="179"/>
      <c r="I740" s="177"/>
      <c r="J740" s="179"/>
      <c r="K740" s="179"/>
    </row>
    <row r="741" spans="1:11">
      <c r="A741" s="8">
        <v>10</v>
      </c>
      <c r="C741" s="9"/>
      <c r="E741" s="8">
        <v>10</v>
      </c>
      <c r="F741" s="10"/>
      <c r="G741" s="179"/>
      <c r="H741" s="179"/>
      <c r="I741" s="160"/>
      <c r="J741" s="179"/>
      <c r="K741" s="179"/>
    </row>
    <row r="742" spans="1:11">
      <c r="A742" s="8">
        <v>11</v>
      </c>
      <c r="C742" s="9" t="s">
        <v>174</v>
      </c>
      <c r="E742" s="8">
        <v>11</v>
      </c>
      <c r="G742" s="173">
        <v>415</v>
      </c>
      <c r="H742" s="173">
        <v>20009334</v>
      </c>
      <c r="I742" s="177"/>
      <c r="J742" s="173">
        <v>418</v>
      </c>
      <c r="K742" s="174">
        <v>20805042.906342998</v>
      </c>
    </row>
    <row r="743" spans="1:11">
      <c r="A743" s="8">
        <v>12</v>
      </c>
      <c r="C743" s="9" t="s">
        <v>175</v>
      </c>
      <c r="E743" s="8">
        <v>12</v>
      </c>
      <c r="G743" s="168"/>
      <c r="H743" s="173">
        <v>7556079</v>
      </c>
      <c r="I743" s="160"/>
      <c r="J743" s="168"/>
      <c r="K743" s="174">
        <v>7852356.3952062204</v>
      </c>
    </row>
    <row r="744" spans="1:11">
      <c r="A744" s="8">
        <v>13</v>
      </c>
      <c r="C744" s="9" t="s">
        <v>193</v>
      </c>
      <c r="E744" s="8">
        <v>13</v>
      </c>
      <c r="F744" s="10"/>
      <c r="G744" s="179">
        <f>SUM(G742:G743)</f>
        <v>415</v>
      </c>
      <c r="H744" s="179">
        <f>SUM(H742:H743)</f>
        <v>27565413</v>
      </c>
      <c r="I744" s="176"/>
      <c r="J744" s="179">
        <f>SUM(J742:J743)</f>
        <v>418</v>
      </c>
      <c r="K744" s="179">
        <f>SUM(K742:K743)</f>
        <v>28657399.301549219</v>
      </c>
    </row>
    <row r="745" spans="1:11">
      <c r="A745" s="8">
        <v>14</v>
      </c>
      <c r="E745" s="8">
        <v>14</v>
      </c>
      <c r="F745" s="10"/>
      <c r="G745" s="179"/>
      <c r="H745" s="179"/>
      <c r="I745" s="176"/>
      <c r="J745" s="179"/>
      <c r="K745" s="179"/>
    </row>
    <row r="746" spans="1:11" ht="24.75" customHeight="1">
      <c r="A746" s="8">
        <v>15</v>
      </c>
      <c r="C746" s="9" t="s">
        <v>177</v>
      </c>
      <c r="E746" s="8">
        <v>15</v>
      </c>
      <c r="F746" s="10"/>
      <c r="G746" s="179">
        <f>G739+G744</f>
        <v>528</v>
      </c>
      <c r="H746" s="179">
        <f>H739+H744</f>
        <v>39455432</v>
      </c>
      <c r="I746" s="176"/>
      <c r="J746" s="179">
        <f>J739+J744</f>
        <v>533</v>
      </c>
      <c r="K746" s="179">
        <f>K739+K744</f>
        <v>40670489.531650491</v>
      </c>
    </row>
    <row r="747" spans="1:11" s="82" customFormat="1">
      <c r="A747" s="8">
        <v>16</v>
      </c>
      <c r="B747" s="137"/>
      <c r="C747" s="137"/>
      <c r="D747" s="137"/>
      <c r="E747" s="8">
        <v>16</v>
      </c>
      <c r="F747" s="10"/>
      <c r="G747" s="179"/>
      <c r="H747" s="179"/>
      <c r="I747" s="176"/>
      <c r="J747" s="179"/>
      <c r="K747" s="179"/>
    </row>
    <row r="748" spans="1:11">
      <c r="A748" s="8">
        <v>17</v>
      </c>
      <c r="C748" s="9" t="s">
        <v>178</v>
      </c>
      <c r="E748" s="8">
        <v>17</v>
      </c>
      <c r="F748" s="10"/>
      <c r="G748" s="179"/>
      <c r="H748" s="178">
        <v>492033</v>
      </c>
      <c r="I748" s="176"/>
      <c r="J748" s="179"/>
      <c r="K748" s="174">
        <v>522255.34224860597</v>
      </c>
    </row>
    <row r="749" spans="1:11">
      <c r="A749" s="8">
        <v>18</v>
      </c>
      <c r="C749" s="9"/>
      <c r="E749" s="8">
        <v>18</v>
      </c>
      <c r="F749" s="10"/>
      <c r="G749" s="179"/>
      <c r="H749" s="179"/>
      <c r="I749" s="176"/>
      <c r="J749" s="179"/>
      <c r="K749" s="179"/>
    </row>
    <row r="750" spans="1:11" s="36" customFormat="1">
      <c r="A750" s="8">
        <v>19</v>
      </c>
      <c r="B750" s="137"/>
      <c r="C750" s="9" t="s">
        <v>179</v>
      </c>
      <c r="D750" s="137"/>
      <c r="E750" s="8">
        <v>19</v>
      </c>
      <c r="F750" s="10"/>
      <c r="G750" s="179"/>
      <c r="H750" s="178">
        <v>156134</v>
      </c>
      <c r="I750" s="176"/>
      <c r="J750" s="179"/>
      <c r="K750" s="178">
        <v>178734</v>
      </c>
    </row>
    <row r="751" spans="1:11" s="36" customFormat="1">
      <c r="A751" s="8">
        <v>20</v>
      </c>
      <c r="B751" s="137"/>
      <c r="C751" s="9" t="s">
        <v>180</v>
      </c>
      <c r="D751" s="137"/>
      <c r="E751" s="8">
        <v>20</v>
      </c>
      <c r="F751" s="10"/>
      <c r="G751" s="179"/>
      <c r="H751" s="178">
        <v>21232605</v>
      </c>
      <c r="I751" s="176"/>
      <c r="J751" s="179"/>
      <c r="K751" s="178">
        <v>23133247</v>
      </c>
    </row>
    <row r="752" spans="1:11">
      <c r="A752" s="8">
        <v>21</v>
      </c>
      <c r="C752" s="9" t="s">
        <v>225</v>
      </c>
      <c r="E752" s="8">
        <v>21</v>
      </c>
      <c r="F752" s="10"/>
      <c r="G752" s="179"/>
      <c r="H752" s="178">
        <v>20871379</v>
      </c>
      <c r="I752" s="176"/>
      <c r="J752" s="179"/>
      <c r="K752" s="178">
        <v>23018692</v>
      </c>
    </row>
    <row r="753" spans="1:11">
      <c r="A753" s="8">
        <v>22</v>
      </c>
      <c r="C753" s="9"/>
      <c r="E753" s="8">
        <v>22</v>
      </c>
      <c r="F753" s="10"/>
      <c r="G753" s="179"/>
      <c r="H753" s="179"/>
      <c r="I753" s="176"/>
      <c r="J753" s="179"/>
      <c r="K753" s="179"/>
    </row>
    <row r="754" spans="1:11">
      <c r="A754" s="8">
        <v>23</v>
      </c>
      <c r="C754" s="9" t="s">
        <v>194</v>
      </c>
      <c r="E754" s="8">
        <v>23</v>
      </c>
      <c r="F754" s="10"/>
      <c r="G754" s="179"/>
      <c r="H754" s="178">
        <v>0</v>
      </c>
      <c r="I754" s="176"/>
      <c r="J754" s="179"/>
      <c r="K754" s="178"/>
    </row>
    <row r="755" spans="1:11">
      <c r="A755" s="8">
        <v>24</v>
      </c>
      <c r="C755" s="9"/>
      <c r="E755" s="8">
        <v>24</v>
      </c>
      <c r="F755" s="10"/>
      <c r="G755" s="179"/>
      <c r="H755" s="179"/>
      <c r="I755" s="176"/>
      <c r="J755" s="179"/>
      <c r="K755" s="179"/>
    </row>
    <row r="756" spans="1:11">
      <c r="E756" s="35"/>
      <c r="F756" s="70" t="s">
        <v>6</v>
      </c>
      <c r="G756" s="21" t="s">
        <v>6</v>
      </c>
      <c r="H756" s="21" t="s">
        <v>6</v>
      </c>
      <c r="I756" s="70" t="s">
        <v>6</v>
      </c>
      <c r="J756" s="21" t="s">
        <v>6</v>
      </c>
      <c r="K756" s="21" t="s">
        <v>6</v>
      </c>
    </row>
    <row r="757" spans="1:11">
      <c r="A757" s="8">
        <v>25</v>
      </c>
      <c r="C757" s="9" t="s">
        <v>207</v>
      </c>
      <c r="E757" s="8">
        <v>25</v>
      </c>
      <c r="G757" s="168">
        <f>SUM(G746:G756)</f>
        <v>528</v>
      </c>
      <c r="H757" s="168">
        <f>SUM(H746:H756)</f>
        <v>82207583</v>
      </c>
      <c r="I757" s="168"/>
      <c r="J757" s="168">
        <f>SUM(J746:J756)</f>
        <v>533</v>
      </c>
      <c r="K757" s="168">
        <f>SUM(K746:K756)</f>
        <v>87523417.873899102</v>
      </c>
    </row>
    <row r="758" spans="1:11">
      <c r="E758" s="35"/>
      <c r="F758" s="70" t="s">
        <v>6</v>
      </c>
      <c r="G758" s="20" t="s">
        <v>6</v>
      </c>
      <c r="H758" s="21" t="s">
        <v>6</v>
      </c>
      <c r="I758" s="70" t="s">
        <v>6</v>
      </c>
      <c r="J758" s="20" t="s">
        <v>6</v>
      </c>
      <c r="K758" s="21" t="s">
        <v>6</v>
      </c>
    </row>
    <row r="759" spans="1:11">
      <c r="C759" s="137" t="s">
        <v>49</v>
      </c>
      <c r="E759" s="35"/>
      <c r="F759" s="70"/>
      <c r="G759" s="20"/>
      <c r="H759" s="21"/>
      <c r="I759" s="70"/>
      <c r="J759" s="20"/>
      <c r="K759" s="21"/>
    </row>
    <row r="761" spans="1:11">
      <c r="A761" s="9"/>
    </row>
    <row r="762" spans="1:11">
      <c r="A762" s="16" t="str">
        <f>$A$83</f>
        <v xml:space="preserve">Institution No.:  </v>
      </c>
      <c r="B762" s="36"/>
      <c r="C762" s="36"/>
      <c r="D762" s="36"/>
      <c r="E762" s="37"/>
      <c r="F762" s="36"/>
      <c r="G762" s="38"/>
      <c r="H762" s="39"/>
      <c r="I762" s="36"/>
      <c r="J762" s="38"/>
      <c r="K762" s="15" t="s">
        <v>208</v>
      </c>
    </row>
    <row r="763" spans="1:11">
      <c r="A763" s="229" t="s">
        <v>209</v>
      </c>
      <c r="B763" s="229"/>
      <c r="C763" s="229"/>
      <c r="D763" s="229"/>
      <c r="E763" s="229"/>
      <c r="F763" s="229"/>
      <c r="G763" s="229"/>
      <c r="H763" s="229"/>
      <c r="I763" s="229"/>
      <c r="J763" s="229"/>
      <c r="K763" s="229"/>
    </row>
    <row r="764" spans="1:11">
      <c r="A764" s="16" t="str">
        <f>$A$42</f>
        <v xml:space="preserve">NAME: </v>
      </c>
      <c r="C764" s="137" t="str">
        <f>$D$20</f>
        <v>University of Colorado</v>
      </c>
      <c r="F764" s="72"/>
      <c r="G764" s="66"/>
      <c r="H764" s="67"/>
      <c r="J764" s="14"/>
      <c r="K764" s="18" t="str">
        <f>$K$3</f>
        <v>Date: October 09, 2017</v>
      </c>
    </row>
    <row r="765" spans="1:11">
      <c r="A765" s="19" t="s">
        <v>6</v>
      </c>
      <c r="B765" s="19" t="s">
        <v>6</v>
      </c>
      <c r="C765" s="19" t="s">
        <v>6</v>
      </c>
      <c r="D765" s="19" t="s">
        <v>6</v>
      </c>
      <c r="E765" s="19" t="s">
        <v>6</v>
      </c>
      <c r="F765" s="19" t="s">
        <v>6</v>
      </c>
      <c r="G765" s="20" t="s">
        <v>6</v>
      </c>
      <c r="H765" s="21" t="s">
        <v>6</v>
      </c>
      <c r="I765" s="19" t="s">
        <v>6</v>
      </c>
      <c r="J765" s="20" t="s">
        <v>6</v>
      </c>
      <c r="K765" s="21" t="s">
        <v>6</v>
      </c>
    </row>
    <row r="766" spans="1:11">
      <c r="A766" s="22" t="s">
        <v>7</v>
      </c>
      <c r="E766" s="22" t="s">
        <v>7</v>
      </c>
      <c r="F766" s="23"/>
      <c r="G766" s="24"/>
      <c r="H766" s="25" t="str">
        <f>+H729</f>
        <v>2016-17</v>
      </c>
      <c r="I766" s="23"/>
      <c r="J766" s="24"/>
      <c r="K766" s="25" t="str">
        <f>+K729</f>
        <v>2017-18</v>
      </c>
    </row>
    <row r="767" spans="1:11">
      <c r="A767" s="22" t="s">
        <v>9</v>
      </c>
      <c r="C767" s="26" t="s">
        <v>51</v>
      </c>
      <c r="E767" s="22" t="s">
        <v>9</v>
      </c>
      <c r="G767" s="14"/>
      <c r="H767" s="25" t="s">
        <v>12</v>
      </c>
      <c r="J767" s="14"/>
      <c r="K767" s="25" t="s">
        <v>13</v>
      </c>
    </row>
    <row r="768" spans="1:11">
      <c r="A768" s="19" t="s">
        <v>6</v>
      </c>
      <c r="B768" s="19" t="s">
        <v>6</v>
      </c>
      <c r="C768" s="19" t="s">
        <v>6</v>
      </c>
      <c r="D768" s="19" t="s">
        <v>6</v>
      </c>
      <c r="E768" s="19" t="s">
        <v>6</v>
      </c>
      <c r="F768" s="19" t="s">
        <v>6</v>
      </c>
      <c r="G768" s="20" t="s">
        <v>6</v>
      </c>
      <c r="H768" s="21" t="s">
        <v>6</v>
      </c>
      <c r="I768" s="19" t="s">
        <v>6</v>
      </c>
      <c r="J768" s="20" t="s">
        <v>6</v>
      </c>
      <c r="K768" s="21" t="s">
        <v>6</v>
      </c>
    </row>
    <row r="769" spans="1:11">
      <c r="A769" s="8">
        <v>1</v>
      </c>
      <c r="C769" s="9" t="s">
        <v>210</v>
      </c>
      <c r="E769" s="8">
        <v>1</v>
      </c>
      <c r="F769" s="10"/>
      <c r="G769" s="110"/>
      <c r="H769" s="156">
        <v>75475300</v>
      </c>
      <c r="I769" s="110"/>
      <c r="J769" s="110"/>
      <c r="K769" s="156">
        <v>80532145</v>
      </c>
    </row>
    <row r="770" spans="1:11">
      <c r="A770" s="8">
        <f t="shared" ref="A770:A787" si="3">(A769+1)</f>
        <v>2</v>
      </c>
      <c r="C770" s="10"/>
      <c r="E770" s="8">
        <f t="shared" ref="E770:E787" si="4">(E769+1)</f>
        <v>2</v>
      </c>
      <c r="F770" s="10"/>
      <c r="G770" s="11"/>
      <c r="H770" s="12"/>
      <c r="I770" s="10"/>
      <c r="J770" s="11"/>
      <c r="K770" s="12"/>
    </row>
    <row r="771" spans="1:11">
      <c r="A771" s="8">
        <f t="shared" si="3"/>
        <v>3</v>
      </c>
      <c r="C771" s="10"/>
      <c r="E771" s="8">
        <f t="shared" si="4"/>
        <v>3</v>
      </c>
      <c r="F771" s="10"/>
      <c r="G771" s="11"/>
      <c r="H771" s="12"/>
      <c r="I771" s="10"/>
      <c r="J771" s="11"/>
      <c r="K771" s="12"/>
    </row>
    <row r="772" spans="1:11">
      <c r="A772" s="8">
        <f t="shared" si="3"/>
        <v>4</v>
      </c>
      <c r="C772" s="10"/>
      <c r="E772" s="8">
        <f t="shared" si="4"/>
        <v>4</v>
      </c>
      <c r="F772" s="10"/>
      <c r="G772" s="11"/>
      <c r="H772" s="12"/>
      <c r="I772" s="10"/>
      <c r="J772" s="11"/>
      <c r="K772" s="12"/>
    </row>
    <row r="773" spans="1:11">
      <c r="A773" s="8">
        <f t="shared" si="3"/>
        <v>5</v>
      </c>
      <c r="C773" s="10"/>
      <c r="E773" s="8">
        <f t="shared" si="4"/>
        <v>5</v>
      </c>
      <c r="F773" s="10"/>
      <c r="G773" s="11"/>
      <c r="H773" s="12"/>
      <c r="I773" s="10"/>
      <c r="J773" s="11"/>
      <c r="K773" s="12"/>
    </row>
    <row r="774" spans="1:11">
      <c r="A774" s="8">
        <f t="shared" si="3"/>
        <v>6</v>
      </c>
      <c r="C774" s="10"/>
      <c r="E774" s="8">
        <f t="shared" si="4"/>
        <v>6</v>
      </c>
      <c r="F774" s="10"/>
      <c r="G774" s="11"/>
      <c r="H774" s="12"/>
      <c r="I774" s="10"/>
      <c r="J774" s="11"/>
      <c r="K774" s="12"/>
    </row>
    <row r="775" spans="1:11">
      <c r="A775" s="8">
        <f t="shared" si="3"/>
        <v>7</v>
      </c>
      <c r="C775" s="10"/>
      <c r="E775" s="8">
        <f t="shared" si="4"/>
        <v>7</v>
      </c>
      <c r="F775" s="10"/>
      <c r="G775" s="11"/>
      <c r="H775" s="12"/>
      <c r="I775" s="10"/>
      <c r="J775" s="11"/>
      <c r="K775" s="12"/>
    </row>
    <row r="776" spans="1:11">
      <c r="A776" s="8">
        <f t="shared" si="3"/>
        <v>8</v>
      </c>
      <c r="C776" s="10"/>
      <c r="E776" s="8">
        <f t="shared" si="4"/>
        <v>8</v>
      </c>
      <c r="F776" s="10"/>
      <c r="G776" s="11"/>
      <c r="H776" s="12"/>
      <c r="I776" s="10"/>
      <c r="J776" s="11"/>
      <c r="K776" s="12"/>
    </row>
    <row r="777" spans="1:11">
      <c r="A777" s="8">
        <f t="shared" si="3"/>
        <v>9</v>
      </c>
      <c r="C777" s="10"/>
      <c r="E777" s="8">
        <f t="shared" si="4"/>
        <v>9</v>
      </c>
      <c r="F777" s="10"/>
      <c r="G777" s="11"/>
      <c r="H777" s="12"/>
      <c r="I777" s="10"/>
      <c r="J777" s="11"/>
      <c r="K777" s="12"/>
    </row>
    <row r="778" spans="1:11">
      <c r="A778" s="8">
        <f t="shared" si="3"/>
        <v>10</v>
      </c>
      <c r="C778" s="10"/>
      <c r="E778" s="8">
        <f t="shared" si="4"/>
        <v>10</v>
      </c>
      <c r="F778" s="10"/>
      <c r="G778" s="11"/>
      <c r="H778" s="12"/>
      <c r="I778" s="10"/>
      <c r="J778" s="11"/>
      <c r="K778" s="12"/>
    </row>
    <row r="779" spans="1:11">
      <c r="A779" s="8">
        <f t="shared" si="3"/>
        <v>11</v>
      </c>
      <c r="C779" s="10"/>
      <c r="E779" s="8">
        <f t="shared" si="4"/>
        <v>11</v>
      </c>
      <c r="G779" s="11"/>
      <c r="H779" s="12"/>
      <c r="I779" s="10"/>
      <c r="J779" s="11"/>
      <c r="K779" s="12"/>
    </row>
    <row r="780" spans="1:11">
      <c r="A780" s="8">
        <f t="shared" si="3"/>
        <v>12</v>
      </c>
      <c r="C780" s="10"/>
      <c r="E780" s="8">
        <f t="shared" si="4"/>
        <v>12</v>
      </c>
      <c r="G780" s="11"/>
      <c r="H780" s="12"/>
      <c r="I780" s="10"/>
      <c r="J780" s="11"/>
      <c r="K780" s="12"/>
    </row>
    <row r="781" spans="1:11">
      <c r="A781" s="8">
        <f t="shared" si="3"/>
        <v>13</v>
      </c>
      <c r="C781" s="10"/>
      <c r="E781" s="8">
        <f t="shared" si="4"/>
        <v>13</v>
      </c>
      <c r="F781" s="10"/>
      <c r="G781" s="11"/>
      <c r="H781" s="12"/>
      <c r="I781" s="10"/>
      <c r="J781" s="11"/>
      <c r="K781" s="12"/>
    </row>
    <row r="782" spans="1:11">
      <c r="A782" s="8">
        <f t="shared" si="3"/>
        <v>14</v>
      </c>
      <c r="C782" s="10"/>
      <c r="E782" s="8">
        <f t="shared" si="4"/>
        <v>14</v>
      </c>
      <c r="F782" s="10"/>
      <c r="G782" s="11"/>
      <c r="H782" s="12"/>
      <c r="I782" s="10"/>
      <c r="J782" s="11"/>
      <c r="K782" s="12"/>
    </row>
    <row r="783" spans="1:11">
      <c r="A783" s="8">
        <f t="shared" si="3"/>
        <v>15</v>
      </c>
      <c r="C783" s="10"/>
      <c r="E783" s="8">
        <f t="shared" si="4"/>
        <v>15</v>
      </c>
      <c r="F783" s="10"/>
      <c r="G783" s="11"/>
      <c r="H783" s="12"/>
      <c r="I783" s="10"/>
      <c r="J783" s="11"/>
      <c r="K783" s="12"/>
    </row>
    <row r="784" spans="1:11">
      <c r="A784" s="8">
        <f t="shared" si="3"/>
        <v>16</v>
      </c>
      <c r="C784" s="10"/>
      <c r="E784" s="8">
        <f t="shared" si="4"/>
        <v>16</v>
      </c>
      <c r="F784" s="10"/>
      <c r="G784" s="11"/>
      <c r="H784" s="12"/>
      <c r="I784" s="10"/>
      <c r="J784" s="11"/>
      <c r="K784" s="12"/>
    </row>
    <row r="785" spans="1:11">
      <c r="A785" s="8">
        <f t="shared" si="3"/>
        <v>17</v>
      </c>
      <c r="C785" s="10"/>
      <c r="E785" s="8">
        <f t="shared" si="4"/>
        <v>17</v>
      </c>
      <c r="F785" s="10"/>
      <c r="G785" s="11"/>
      <c r="H785" s="12"/>
      <c r="I785" s="10"/>
      <c r="J785" s="11"/>
      <c r="K785" s="12"/>
    </row>
    <row r="786" spans="1:11">
      <c r="A786" s="8">
        <f t="shared" si="3"/>
        <v>18</v>
      </c>
      <c r="C786" s="10"/>
      <c r="E786" s="8">
        <f t="shared" si="4"/>
        <v>18</v>
      </c>
      <c r="F786" s="10"/>
      <c r="G786" s="11"/>
      <c r="H786" s="12"/>
      <c r="I786" s="10"/>
      <c r="J786" s="11"/>
      <c r="K786" s="12"/>
    </row>
    <row r="787" spans="1:11">
      <c r="A787" s="8">
        <f t="shared" si="3"/>
        <v>19</v>
      </c>
      <c r="C787" s="10"/>
      <c r="E787" s="8">
        <f t="shared" si="4"/>
        <v>19</v>
      </c>
      <c r="F787" s="10"/>
      <c r="G787" s="11"/>
      <c r="H787" s="12"/>
      <c r="I787" s="10"/>
      <c r="J787" s="11"/>
      <c r="K787" s="12"/>
    </row>
    <row r="788" spans="1:11">
      <c r="A788" s="8">
        <v>20</v>
      </c>
      <c r="E788" s="8">
        <v>20</v>
      </c>
      <c r="F788" s="70"/>
      <c r="G788" s="20"/>
      <c r="H788" s="21"/>
      <c r="I788" s="70"/>
      <c r="J788" s="20"/>
      <c r="K788" s="21"/>
    </row>
    <row r="789" spans="1:11">
      <c r="A789" s="8">
        <v>21</v>
      </c>
      <c r="E789" s="8">
        <v>21</v>
      </c>
      <c r="F789" s="70"/>
      <c r="G789" s="20"/>
      <c r="H789" s="40"/>
      <c r="I789" s="70"/>
      <c r="J789" s="20"/>
      <c r="K789" s="40"/>
    </row>
    <row r="790" spans="1:11">
      <c r="A790" s="8">
        <v>22</v>
      </c>
      <c r="E790" s="8">
        <v>22</v>
      </c>
      <c r="G790" s="14"/>
      <c r="H790" s="40"/>
      <c r="J790" s="14"/>
      <c r="K790" s="40"/>
    </row>
    <row r="791" spans="1:11">
      <c r="A791" s="8">
        <v>23</v>
      </c>
      <c r="D791" s="87"/>
      <c r="E791" s="8">
        <v>23</v>
      </c>
      <c r="H791" s="40"/>
      <c r="K791" s="40"/>
    </row>
    <row r="792" spans="1:11">
      <c r="A792" s="8">
        <v>24</v>
      </c>
      <c r="D792" s="87"/>
      <c r="E792" s="8">
        <v>24</v>
      </c>
      <c r="H792" s="40"/>
      <c r="K792" s="40"/>
    </row>
    <row r="793" spans="1:11">
      <c r="F793" s="70" t="s">
        <v>6</v>
      </c>
      <c r="G793" s="20" t="s">
        <v>6</v>
      </c>
      <c r="H793" s="21"/>
      <c r="I793" s="70"/>
      <c r="J793" s="20"/>
      <c r="K793" s="21"/>
    </row>
    <row r="794" spans="1:11">
      <c r="A794" s="8">
        <v>25</v>
      </c>
      <c r="C794" s="9" t="s">
        <v>211</v>
      </c>
      <c r="E794" s="8">
        <v>25</v>
      </c>
      <c r="G794" s="107"/>
      <c r="H794" s="108">
        <f>SUM(H769:H792)</f>
        <v>75475300</v>
      </c>
      <c r="I794" s="108"/>
      <c r="J794" s="107"/>
      <c r="K794" s="108">
        <f>SUM(K769:K792)</f>
        <v>80532145</v>
      </c>
    </row>
    <row r="795" spans="1:11">
      <c r="D795" s="87"/>
      <c r="F795" s="70" t="s">
        <v>6</v>
      </c>
      <c r="G795" s="20" t="s">
        <v>6</v>
      </c>
      <c r="H795" s="21"/>
      <c r="I795" s="70"/>
      <c r="J795" s="20"/>
      <c r="K795" s="21"/>
    </row>
    <row r="796" spans="1:11">
      <c r="F796" s="70"/>
      <c r="G796" s="20"/>
      <c r="H796" s="21"/>
      <c r="I796" s="70"/>
      <c r="J796" s="20"/>
      <c r="K796" s="21"/>
    </row>
    <row r="797" spans="1:11">
      <c r="C797" s="221" t="s">
        <v>236</v>
      </c>
      <c r="D797" s="221"/>
      <c r="E797" s="221"/>
      <c r="F797" s="221"/>
      <c r="G797" s="221"/>
      <c r="H797" s="221"/>
      <c r="I797" s="221"/>
      <c r="J797" s="221"/>
      <c r="K797" s="56"/>
    </row>
    <row r="798" spans="1:11">
      <c r="G798" s="14"/>
      <c r="H798" s="40"/>
      <c r="J798" s="14"/>
      <c r="K798" s="40"/>
    </row>
    <row r="799" spans="1:11">
      <c r="A799" s="9"/>
    </row>
    <row r="800" spans="1:11">
      <c r="A800" s="16" t="str">
        <f>$A$83</f>
        <v xml:space="preserve">Institution No.:  </v>
      </c>
      <c r="B800" s="36"/>
      <c r="C800" s="36"/>
      <c r="D800" s="36"/>
      <c r="E800" s="37"/>
      <c r="F800" s="36"/>
      <c r="G800" s="38"/>
      <c r="H800" s="39"/>
      <c r="I800" s="36"/>
      <c r="J800" s="38"/>
      <c r="K800" s="15" t="s">
        <v>212</v>
      </c>
    </row>
    <row r="801" spans="1:11">
      <c r="A801" s="229" t="s">
        <v>213</v>
      </c>
      <c r="B801" s="229"/>
      <c r="C801" s="229"/>
      <c r="D801" s="229"/>
      <c r="E801" s="229"/>
      <c r="F801" s="229"/>
      <c r="G801" s="229"/>
      <c r="H801" s="229"/>
      <c r="I801" s="229"/>
      <c r="J801" s="229"/>
      <c r="K801" s="229"/>
    </row>
    <row r="802" spans="1:11">
      <c r="A802" s="16" t="str">
        <f>$A$42</f>
        <v xml:space="preserve">NAME: </v>
      </c>
      <c r="C802" s="137" t="str">
        <f>$D$20</f>
        <v>University of Colorado</v>
      </c>
      <c r="G802" s="80"/>
      <c r="H802" s="40"/>
      <c r="J802" s="14"/>
      <c r="K802" s="18" t="str">
        <f>$K$3</f>
        <v>Date: October 09, 2017</v>
      </c>
    </row>
    <row r="803" spans="1:11">
      <c r="A803" s="19" t="s">
        <v>6</v>
      </c>
      <c r="B803" s="19" t="s">
        <v>6</v>
      </c>
      <c r="C803" s="19" t="s">
        <v>6</v>
      </c>
      <c r="D803" s="19" t="s">
        <v>6</v>
      </c>
      <c r="E803" s="19" t="s">
        <v>6</v>
      </c>
      <c r="F803" s="19" t="s">
        <v>6</v>
      </c>
      <c r="G803" s="20" t="s">
        <v>6</v>
      </c>
      <c r="H803" s="21" t="s">
        <v>6</v>
      </c>
      <c r="I803" s="19" t="s">
        <v>6</v>
      </c>
      <c r="J803" s="20" t="s">
        <v>6</v>
      </c>
      <c r="K803" s="21" t="s">
        <v>6</v>
      </c>
    </row>
    <row r="804" spans="1:11">
      <c r="A804" s="22" t="s">
        <v>7</v>
      </c>
      <c r="E804" s="22" t="s">
        <v>7</v>
      </c>
      <c r="F804" s="23"/>
      <c r="G804" s="24"/>
      <c r="H804" s="25" t="str">
        <f>H766</f>
        <v>2016-17</v>
      </c>
      <c r="I804" s="23"/>
      <c r="J804" s="24"/>
      <c r="K804" s="25" t="str">
        <f>K766</f>
        <v>2017-18</v>
      </c>
    </row>
    <row r="805" spans="1:11">
      <c r="A805" s="22" t="s">
        <v>9</v>
      </c>
      <c r="C805" s="26" t="s">
        <v>51</v>
      </c>
      <c r="E805" s="22" t="s">
        <v>9</v>
      </c>
      <c r="F805" s="23"/>
      <c r="G805" s="24" t="s">
        <v>11</v>
      </c>
      <c r="H805" s="25" t="s">
        <v>12</v>
      </c>
      <c r="I805" s="23"/>
      <c r="J805" s="24" t="s">
        <v>11</v>
      </c>
      <c r="K805" s="25" t="s">
        <v>13</v>
      </c>
    </row>
    <row r="806" spans="1:11">
      <c r="A806" s="19" t="s">
        <v>6</v>
      </c>
      <c r="B806" s="19" t="s">
        <v>6</v>
      </c>
      <c r="C806" s="19" t="s">
        <v>6</v>
      </c>
      <c r="D806" s="19" t="s">
        <v>6</v>
      </c>
      <c r="E806" s="19" t="s">
        <v>6</v>
      </c>
      <c r="F806" s="19" t="s">
        <v>6</v>
      </c>
      <c r="G806" s="20" t="s">
        <v>6</v>
      </c>
      <c r="H806" s="21" t="s">
        <v>6</v>
      </c>
      <c r="I806" s="19" t="s">
        <v>6</v>
      </c>
      <c r="J806" s="20" t="s">
        <v>6</v>
      </c>
      <c r="K806" s="21" t="s">
        <v>6</v>
      </c>
    </row>
    <row r="807" spans="1:11">
      <c r="A807" s="117">
        <v>1</v>
      </c>
      <c r="B807" s="126"/>
      <c r="C807" s="118" t="s">
        <v>227</v>
      </c>
      <c r="D807" s="126"/>
      <c r="E807" s="117">
        <v>1</v>
      </c>
      <c r="F807" s="126"/>
      <c r="G807" s="127"/>
      <c r="H807" s="128"/>
      <c r="I807" s="126"/>
      <c r="J807" s="127"/>
      <c r="K807" s="128"/>
    </row>
    <row r="808" spans="1:11">
      <c r="A808" s="117">
        <v>2</v>
      </c>
      <c r="B808" s="126"/>
      <c r="C808" s="118" t="s">
        <v>227</v>
      </c>
      <c r="D808" s="126"/>
      <c r="E808" s="117">
        <v>2</v>
      </c>
      <c r="F808" s="126"/>
      <c r="G808" s="127"/>
      <c r="H808" s="128"/>
      <c r="I808" s="126"/>
      <c r="J808" s="127"/>
      <c r="K808" s="128"/>
    </row>
    <row r="809" spans="1:11">
      <c r="A809" s="117">
        <v>3</v>
      </c>
      <c r="B809" s="118"/>
      <c r="C809" s="118" t="s">
        <v>227</v>
      </c>
      <c r="D809" s="118"/>
      <c r="E809" s="117">
        <v>3</v>
      </c>
      <c r="F809" s="119"/>
      <c r="G809" s="129"/>
      <c r="H809" s="124"/>
      <c r="I809" s="124"/>
      <c r="J809" s="129"/>
      <c r="K809" s="124"/>
    </row>
    <row r="810" spans="1:11">
      <c r="A810" s="117">
        <v>4</v>
      </c>
      <c r="B810" s="118"/>
      <c r="C810" s="118" t="s">
        <v>227</v>
      </c>
      <c r="D810" s="118"/>
      <c r="E810" s="117">
        <v>4</v>
      </c>
      <c r="F810" s="119"/>
      <c r="G810" s="129"/>
      <c r="H810" s="124"/>
      <c r="I810" s="124"/>
      <c r="J810" s="129"/>
      <c r="K810" s="124"/>
    </row>
    <row r="811" spans="1:11">
      <c r="A811" s="117">
        <v>5</v>
      </c>
      <c r="B811" s="118"/>
      <c r="C811" s="118" t="s">
        <v>227</v>
      </c>
      <c r="D811" s="118"/>
      <c r="E811" s="118">
        <v>5</v>
      </c>
      <c r="F811" s="118"/>
      <c r="G811" s="130"/>
      <c r="H811" s="131"/>
      <c r="I811" s="118"/>
      <c r="J811" s="130"/>
      <c r="K811" s="131"/>
    </row>
    <row r="812" spans="1:11">
      <c r="A812" s="8">
        <v>6</v>
      </c>
      <c r="C812" s="9" t="s">
        <v>170</v>
      </c>
      <c r="E812" s="8">
        <v>6</v>
      </c>
      <c r="F812" s="10"/>
      <c r="G812" s="153"/>
      <c r="H812" s="153"/>
      <c r="I812" s="110"/>
      <c r="J812" s="153"/>
      <c r="K812" s="153"/>
    </row>
    <row r="813" spans="1:11">
      <c r="A813" s="8">
        <v>7</v>
      </c>
      <c r="C813" s="9" t="s">
        <v>171</v>
      </c>
      <c r="E813" s="8">
        <v>7</v>
      </c>
      <c r="F813" s="10"/>
      <c r="G813" s="109"/>
      <c r="H813" s="156"/>
      <c r="I813" s="110"/>
      <c r="J813" s="109"/>
      <c r="K813" s="156"/>
    </row>
    <row r="814" spans="1:11">
      <c r="A814" s="8">
        <v>8</v>
      </c>
      <c r="C814" s="9" t="s">
        <v>214</v>
      </c>
      <c r="E814" s="8">
        <v>8</v>
      </c>
      <c r="F814" s="10"/>
      <c r="G814" s="153"/>
      <c r="H814" s="156"/>
      <c r="I814" s="110"/>
      <c r="J814" s="153"/>
      <c r="K814" s="156"/>
    </row>
    <row r="815" spans="1:11">
      <c r="A815" s="8">
        <v>9</v>
      </c>
      <c r="C815" s="9" t="s">
        <v>185</v>
      </c>
      <c r="E815" s="8">
        <v>9</v>
      </c>
      <c r="F815" s="10"/>
      <c r="G815" s="109">
        <f>SUM(G812:G814)</f>
        <v>0</v>
      </c>
      <c r="H815" s="109">
        <f>SUM(H812:H814)</f>
        <v>0</v>
      </c>
      <c r="I815" s="109"/>
      <c r="J815" s="109">
        <f>SUM(J812:J814)</f>
        <v>0</v>
      </c>
      <c r="K815" s="109">
        <f>SUM(K812:K814)</f>
        <v>0</v>
      </c>
    </row>
    <row r="816" spans="1:11">
      <c r="A816" s="8">
        <v>10</v>
      </c>
      <c r="C816" s="9"/>
      <c r="E816" s="8">
        <v>10</v>
      </c>
      <c r="F816" s="10"/>
      <c r="G816" s="109"/>
      <c r="H816" s="110"/>
      <c r="I816" s="110"/>
      <c r="J816" s="109"/>
      <c r="K816" s="110"/>
    </row>
    <row r="817" spans="1:11">
      <c r="A817" s="8">
        <v>11</v>
      </c>
      <c r="C817" s="9" t="s">
        <v>174</v>
      </c>
      <c r="E817" s="8">
        <v>11</v>
      </c>
      <c r="F817" s="10"/>
      <c r="G817" s="153"/>
      <c r="H817" s="156"/>
      <c r="I817" s="110"/>
      <c r="J817" s="153"/>
      <c r="K817" s="156"/>
    </row>
    <row r="818" spans="1:11">
      <c r="A818" s="8">
        <v>12</v>
      </c>
      <c r="C818" s="9" t="s">
        <v>175</v>
      </c>
      <c r="E818" s="8">
        <v>12</v>
      </c>
      <c r="F818" s="10"/>
      <c r="G818" s="109"/>
      <c r="H818" s="156"/>
      <c r="I818" s="110"/>
      <c r="J818" s="109"/>
      <c r="K818" s="156"/>
    </row>
    <row r="819" spans="1:11">
      <c r="A819" s="8">
        <v>13</v>
      </c>
      <c r="C819" s="9" t="s">
        <v>186</v>
      </c>
      <c r="E819" s="8">
        <v>13</v>
      </c>
      <c r="F819" s="10"/>
      <c r="G819" s="109">
        <f>SUM(G817:G818)</f>
        <v>0</v>
      </c>
      <c r="H819" s="109">
        <f>SUM(H817:H818)</f>
        <v>0</v>
      </c>
      <c r="I819" s="107"/>
      <c r="J819" s="109">
        <f>SUM(J817:J818)</f>
        <v>0</v>
      </c>
      <c r="K819" s="109">
        <f>SUM(K817:K818)</f>
        <v>0</v>
      </c>
    </row>
    <row r="820" spans="1:11">
      <c r="A820" s="8">
        <v>14</v>
      </c>
      <c r="E820" s="8">
        <v>14</v>
      </c>
      <c r="F820" s="10"/>
      <c r="G820" s="111"/>
      <c r="H820" s="110"/>
      <c r="I820" s="108"/>
      <c r="J820" s="111"/>
      <c r="K820" s="110"/>
    </row>
    <row r="821" spans="1:11">
      <c r="A821" s="8">
        <v>15</v>
      </c>
      <c r="C821" s="9" t="s">
        <v>177</v>
      </c>
      <c r="E821" s="8">
        <v>15</v>
      </c>
      <c r="G821" s="112">
        <f>SUM(G815+G819)</f>
        <v>0</v>
      </c>
      <c r="H821" s="108">
        <f>SUM(H815+H819)</f>
        <v>0</v>
      </c>
      <c r="I821" s="108"/>
      <c r="J821" s="112">
        <f>SUM(J815+J819)</f>
        <v>0</v>
      </c>
      <c r="K821" s="108">
        <f>SUM(K815+K819)</f>
        <v>0</v>
      </c>
    </row>
    <row r="822" spans="1:11">
      <c r="A822" s="8">
        <v>16</v>
      </c>
      <c r="E822" s="8">
        <v>16</v>
      </c>
      <c r="G822" s="112"/>
      <c r="H822" s="108"/>
      <c r="I822" s="108"/>
      <c r="J822" s="112"/>
      <c r="K822" s="108"/>
    </row>
    <row r="823" spans="1:11">
      <c r="A823" s="8">
        <v>17</v>
      </c>
      <c r="C823" s="9" t="s">
        <v>178</v>
      </c>
      <c r="E823" s="8">
        <v>17</v>
      </c>
      <c r="F823" s="10"/>
      <c r="G823" s="109"/>
      <c r="H823" s="156"/>
      <c r="I823" s="110"/>
      <c r="J823" s="109"/>
      <c r="K823" s="156"/>
    </row>
    <row r="824" spans="1:11">
      <c r="A824" s="8">
        <v>18</v>
      </c>
      <c r="E824" s="8">
        <v>18</v>
      </c>
      <c r="F824" s="10"/>
      <c r="G824" s="109"/>
      <c r="H824" s="110"/>
      <c r="I824" s="110"/>
      <c r="J824" s="109"/>
      <c r="K824" s="110"/>
    </row>
    <row r="825" spans="1:11">
      <c r="A825" s="8">
        <v>19</v>
      </c>
      <c r="C825" s="9" t="s">
        <v>179</v>
      </c>
      <c r="E825" s="8">
        <v>19</v>
      </c>
      <c r="F825" s="10"/>
      <c r="G825" s="109"/>
      <c r="H825" s="156"/>
      <c r="I825" s="110"/>
      <c r="J825" s="109"/>
      <c r="K825" s="156"/>
    </row>
    <row r="826" spans="1:11">
      <c r="A826" s="8">
        <v>20</v>
      </c>
      <c r="C826" s="81" t="s">
        <v>180</v>
      </c>
      <c r="E826" s="8">
        <v>20</v>
      </c>
      <c r="F826" s="10"/>
      <c r="G826" s="109"/>
      <c r="H826" s="156"/>
      <c r="I826" s="110"/>
      <c r="J826" s="109"/>
      <c r="K826" s="156"/>
    </row>
    <row r="827" spans="1:11">
      <c r="A827" s="8">
        <v>21</v>
      </c>
      <c r="C827" s="81"/>
      <c r="E827" s="8">
        <v>21</v>
      </c>
      <c r="F827" s="10"/>
      <c r="G827" s="109"/>
      <c r="H827" s="110"/>
      <c r="I827" s="110"/>
      <c r="J827" s="109"/>
      <c r="K827" s="110"/>
    </row>
    <row r="828" spans="1:11">
      <c r="A828" s="8">
        <v>22</v>
      </c>
      <c r="C828" s="9"/>
      <c r="E828" s="8">
        <v>22</v>
      </c>
      <c r="G828" s="109"/>
      <c r="H828" s="110"/>
      <c r="I828" s="110"/>
      <c r="J828" s="109"/>
      <c r="K828" s="110"/>
    </row>
    <row r="829" spans="1:11">
      <c r="A829" s="8">
        <v>23</v>
      </c>
      <c r="C829" s="9" t="s">
        <v>181</v>
      </c>
      <c r="E829" s="8">
        <v>23</v>
      </c>
      <c r="G829" s="109"/>
      <c r="H829" s="156"/>
      <c r="I829" s="110"/>
      <c r="J829" s="109"/>
      <c r="K829" s="156"/>
    </row>
    <row r="830" spans="1:11">
      <c r="A830" s="8">
        <v>24</v>
      </c>
      <c r="C830" s="9"/>
      <c r="E830" s="8">
        <v>24</v>
      </c>
      <c r="G830" s="109"/>
      <c r="H830" s="110"/>
      <c r="I830" s="110"/>
      <c r="J830" s="109"/>
      <c r="K830" s="110"/>
    </row>
    <row r="831" spans="1:11">
      <c r="A831" s="8"/>
      <c r="E831" s="8">
        <v>25</v>
      </c>
      <c r="F831" s="70" t="s">
        <v>6</v>
      </c>
      <c r="G831" s="83"/>
      <c r="H831" s="21"/>
      <c r="I831" s="70"/>
      <c r="J831" s="83"/>
      <c r="K831" s="21"/>
    </row>
    <row r="832" spans="1:11">
      <c r="A832" s="8">
        <v>25</v>
      </c>
      <c r="C832" s="9" t="s">
        <v>215</v>
      </c>
      <c r="E832" s="8"/>
      <c r="G832" s="108">
        <f>SUM(G821:G830)</f>
        <v>0</v>
      </c>
      <c r="H832" s="108">
        <f>SUM(H821:H830)</f>
        <v>0</v>
      </c>
      <c r="I832" s="113"/>
      <c r="J832" s="108">
        <f>SUM(J821:J830)</f>
        <v>0</v>
      </c>
      <c r="K832" s="108">
        <f>SUM(K821:K830)</f>
        <v>0</v>
      </c>
    </row>
    <row r="833" spans="1:11">
      <c r="F833" s="70" t="s">
        <v>6</v>
      </c>
      <c r="G833" s="20"/>
      <c r="H833" s="21"/>
      <c r="I833" s="70"/>
      <c r="J833" s="20"/>
      <c r="K833" s="21"/>
    </row>
    <row r="834" spans="1:11">
      <c r="A834" s="9"/>
      <c r="C834" s="137" t="s">
        <v>49</v>
      </c>
    </row>
    <row r="836" spans="1:11">
      <c r="A836" s="9"/>
      <c r="H836" s="40"/>
      <c r="K836" s="40"/>
    </row>
    <row r="837" spans="1:11">
      <c r="A837" s="16" t="str">
        <f>$A$83</f>
        <v xml:space="preserve">Institution No.:  </v>
      </c>
      <c r="B837" s="36"/>
      <c r="C837" s="36"/>
      <c r="D837" s="36"/>
      <c r="E837" s="37"/>
      <c r="F837" s="36"/>
      <c r="G837" s="38"/>
      <c r="H837" s="39"/>
      <c r="I837" s="36"/>
      <c r="J837" s="38"/>
      <c r="K837" s="15" t="s">
        <v>216</v>
      </c>
    </row>
    <row r="838" spans="1:11">
      <c r="A838" s="230" t="s">
        <v>217</v>
      </c>
      <c r="B838" s="230"/>
      <c r="C838" s="230"/>
      <c r="D838" s="230"/>
      <c r="E838" s="230"/>
      <c r="F838" s="230"/>
      <c r="G838" s="230"/>
      <c r="H838" s="230"/>
      <c r="I838" s="230"/>
      <c r="J838" s="230"/>
      <c r="K838" s="230"/>
    </row>
    <row r="839" spans="1:11">
      <c r="A839" s="16" t="str">
        <f>$A$42</f>
        <v xml:space="preserve">NAME: </v>
      </c>
      <c r="C839" s="137" t="str">
        <f>$D$20</f>
        <v>University of Colorado</v>
      </c>
      <c r="H839" s="88"/>
      <c r="J839" s="14"/>
      <c r="K839" s="18" t="str">
        <f>$K$3</f>
        <v>Date: October 09, 2017</v>
      </c>
    </row>
    <row r="840" spans="1:11">
      <c r="A840" s="19" t="s">
        <v>6</v>
      </c>
      <c r="B840" s="19" t="s">
        <v>6</v>
      </c>
      <c r="C840" s="19" t="s">
        <v>6</v>
      </c>
      <c r="D840" s="19" t="s">
        <v>6</v>
      </c>
      <c r="E840" s="19" t="s">
        <v>6</v>
      </c>
      <c r="F840" s="19" t="s">
        <v>6</v>
      </c>
      <c r="G840" s="20" t="s">
        <v>6</v>
      </c>
      <c r="H840" s="21" t="s">
        <v>6</v>
      </c>
      <c r="I840" s="19" t="s">
        <v>6</v>
      </c>
      <c r="J840" s="20" t="s">
        <v>6</v>
      </c>
      <c r="K840" s="21" t="s">
        <v>6</v>
      </c>
    </row>
    <row r="841" spans="1:11">
      <c r="A841" s="22" t="s">
        <v>7</v>
      </c>
      <c r="E841" s="22" t="s">
        <v>7</v>
      </c>
      <c r="F841" s="23"/>
      <c r="G841" s="24"/>
      <c r="H841" s="25" t="str">
        <f>+H804</f>
        <v>2016-17</v>
      </c>
      <c r="I841" s="23"/>
      <c r="J841" s="24"/>
      <c r="K841" s="25" t="str">
        <f>+K804</f>
        <v>2017-18</v>
      </c>
    </row>
    <row r="842" spans="1:11">
      <c r="A842" s="22" t="s">
        <v>9</v>
      </c>
      <c r="C842" s="26" t="s">
        <v>51</v>
      </c>
      <c r="E842" s="22" t="s">
        <v>9</v>
      </c>
      <c r="F842" s="23"/>
      <c r="G842" s="24"/>
      <c r="H842" s="25" t="s">
        <v>12</v>
      </c>
      <c r="I842" s="23"/>
      <c r="J842" s="24"/>
      <c r="K842" s="25" t="s">
        <v>13</v>
      </c>
    </row>
    <row r="843" spans="1:11">
      <c r="A843" s="19" t="s">
        <v>6</v>
      </c>
      <c r="B843" s="19" t="s">
        <v>6</v>
      </c>
      <c r="C843" s="19" t="s">
        <v>6</v>
      </c>
      <c r="D843" s="19" t="s">
        <v>6</v>
      </c>
      <c r="E843" s="19" t="s">
        <v>6</v>
      </c>
      <c r="F843" s="19" t="s">
        <v>6</v>
      </c>
      <c r="G843" s="20" t="s">
        <v>6</v>
      </c>
      <c r="H843" s="21" t="s">
        <v>6</v>
      </c>
      <c r="I843" s="19" t="s">
        <v>6</v>
      </c>
      <c r="J843" s="20" t="s">
        <v>6</v>
      </c>
      <c r="K843" s="21" t="s">
        <v>6</v>
      </c>
    </row>
    <row r="844" spans="1:11">
      <c r="A844" s="73">
        <v>1</v>
      </c>
      <c r="C844" s="137" t="s">
        <v>218</v>
      </c>
      <c r="E844" s="73">
        <v>1</v>
      </c>
      <c r="F844" s="10"/>
      <c r="G844" s="110"/>
      <c r="H844" s="156">
        <v>1255201</v>
      </c>
      <c r="I844" s="110"/>
      <c r="J844" s="110"/>
      <c r="K844" s="156"/>
    </row>
    <row r="845" spans="1:11">
      <c r="A845" s="73">
        <v>2</v>
      </c>
      <c r="E845" s="73">
        <v>2</v>
      </c>
      <c r="F845" s="10"/>
      <c r="G845" s="110"/>
      <c r="H845" s="110"/>
      <c r="I845" s="110"/>
      <c r="J845" s="110"/>
      <c r="K845" s="110"/>
    </row>
    <row r="846" spans="1:11">
      <c r="A846" s="73">
        <v>3</v>
      </c>
      <c r="C846" s="10"/>
      <c r="E846" s="73">
        <v>3</v>
      </c>
      <c r="F846" s="10"/>
      <c r="G846" s="110"/>
      <c r="H846" s="110"/>
      <c r="I846" s="110"/>
      <c r="J846" s="110"/>
      <c r="K846" s="110"/>
    </row>
    <row r="847" spans="1:11">
      <c r="A847" s="73">
        <v>4</v>
      </c>
      <c r="C847" s="10"/>
      <c r="E847" s="73">
        <v>4</v>
      </c>
      <c r="F847" s="10"/>
      <c r="G847" s="110"/>
      <c r="H847" s="110"/>
      <c r="I847" s="110"/>
      <c r="J847" s="110"/>
      <c r="K847" s="110"/>
    </row>
    <row r="848" spans="1:11">
      <c r="A848" s="73">
        <v>5</v>
      </c>
      <c r="C848" s="9"/>
      <c r="E848" s="73">
        <v>5</v>
      </c>
      <c r="F848" s="10"/>
      <c r="G848" s="110"/>
      <c r="H848" s="110"/>
      <c r="I848" s="110"/>
      <c r="J848" s="110"/>
      <c r="K848" s="110"/>
    </row>
    <row r="849" spans="1:11">
      <c r="A849" s="73">
        <v>6</v>
      </c>
      <c r="C849" s="10"/>
      <c r="E849" s="73">
        <v>6</v>
      </c>
      <c r="F849" s="10"/>
      <c r="G849" s="110"/>
      <c r="H849" s="110"/>
      <c r="I849" s="110"/>
      <c r="J849" s="110"/>
      <c r="K849" s="110"/>
    </row>
    <row r="850" spans="1:11">
      <c r="A850" s="73">
        <v>7</v>
      </c>
      <c r="C850" s="10"/>
      <c r="E850" s="73">
        <v>7</v>
      </c>
      <c r="F850" s="10"/>
      <c r="G850" s="110"/>
      <c r="H850" s="110"/>
      <c r="I850" s="110"/>
      <c r="J850" s="110"/>
      <c r="K850" s="110"/>
    </row>
    <row r="851" spans="1:11">
      <c r="A851" s="73">
        <v>8</v>
      </c>
      <c r="E851" s="73">
        <v>8</v>
      </c>
      <c r="F851" s="10"/>
      <c r="G851" s="110"/>
      <c r="H851" s="110"/>
      <c r="I851" s="110"/>
      <c r="J851" s="110"/>
      <c r="K851" s="110"/>
    </row>
    <row r="852" spans="1:11">
      <c r="A852" s="73">
        <v>9</v>
      </c>
      <c r="E852" s="73">
        <v>9</v>
      </c>
      <c r="F852" s="10"/>
      <c r="G852" s="110"/>
      <c r="H852" s="110"/>
      <c r="I852" s="110"/>
      <c r="J852" s="110"/>
      <c r="K852" s="110"/>
    </row>
    <row r="853" spans="1:11">
      <c r="A853" s="76"/>
      <c r="E853" s="76"/>
      <c r="F853" s="70" t="s">
        <v>6</v>
      </c>
      <c r="G853" s="86" t="s">
        <v>6</v>
      </c>
      <c r="H853" s="86"/>
      <c r="I853" s="86"/>
      <c r="J853" s="86"/>
      <c r="K853" s="86"/>
    </row>
    <row r="854" spans="1:11">
      <c r="A854" s="73">
        <v>10</v>
      </c>
      <c r="C854" s="137" t="s">
        <v>219</v>
      </c>
      <c r="E854" s="73">
        <v>10</v>
      </c>
      <c r="G854" s="107"/>
      <c r="H854" s="110">
        <f>SUM(H844:H852)</f>
        <v>1255201</v>
      </c>
      <c r="I854" s="108"/>
      <c r="J854" s="107"/>
      <c r="K854" s="110">
        <f>SUM(K844:K852)</f>
        <v>0</v>
      </c>
    </row>
    <row r="855" spans="1:11">
      <c r="A855" s="73"/>
      <c r="E855" s="73"/>
      <c r="F855" s="70" t="s">
        <v>6</v>
      </c>
      <c r="G855" s="86" t="s">
        <v>6</v>
      </c>
      <c r="H855" s="86"/>
      <c r="I855" s="86"/>
      <c r="J855" s="86"/>
      <c r="K855" s="86"/>
    </row>
    <row r="856" spans="1:11">
      <c r="A856" s="73">
        <v>11</v>
      </c>
      <c r="C856" s="10"/>
      <c r="E856" s="73">
        <v>11</v>
      </c>
      <c r="F856" s="10"/>
      <c r="G856" s="110"/>
      <c r="H856" s="110"/>
      <c r="I856" s="110"/>
      <c r="J856" s="110"/>
      <c r="K856" s="110"/>
    </row>
    <row r="857" spans="1:11">
      <c r="A857" s="73">
        <v>12</v>
      </c>
      <c r="C857" s="9" t="s">
        <v>220</v>
      </c>
      <c r="E857" s="73">
        <v>12</v>
      </c>
      <c r="F857" s="10"/>
      <c r="G857" s="110"/>
      <c r="H857" s="156">
        <v>10000802</v>
      </c>
      <c r="I857" s="110"/>
      <c r="J857" s="110"/>
      <c r="K857" s="156">
        <v>43382379</v>
      </c>
    </row>
    <row r="858" spans="1:11">
      <c r="A858" s="73">
        <v>13</v>
      </c>
      <c r="C858" s="10" t="s">
        <v>221</v>
      </c>
      <c r="E858" s="73">
        <v>13</v>
      </c>
      <c r="F858" s="10"/>
      <c r="G858" s="110"/>
      <c r="H858" s="156"/>
      <c r="I858" s="110"/>
      <c r="J858" s="110"/>
      <c r="K858" s="156"/>
    </row>
    <row r="859" spans="1:11">
      <c r="A859" s="73">
        <v>14</v>
      </c>
      <c r="E859" s="73">
        <v>14</v>
      </c>
      <c r="F859" s="10"/>
      <c r="G859" s="110"/>
      <c r="H859" s="110"/>
      <c r="I859" s="110"/>
      <c r="J859" s="110"/>
      <c r="K859" s="110"/>
    </row>
    <row r="860" spans="1:11">
      <c r="A860" s="73">
        <v>15</v>
      </c>
      <c r="E860" s="73">
        <v>15</v>
      </c>
      <c r="F860" s="10"/>
      <c r="G860" s="110"/>
      <c r="H860" s="110"/>
      <c r="I860" s="110"/>
      <c r="J860" s="110"/>
      <c r="K860" s="110"/>
    </row>
    <row r="861" spans="1:11">
      <c r="A861" s="73">
        <v>16</v>
      </c>
      <c r="E861" s="73">
        <v>16</v>
      </c>
      <c r="F861" s="10"/>
      <c r="G861" s="110"/>
      <c r="H861" s="110"/>
      <c r="I861" s="110"/>
      <c r="J861" s="110"/>
      <c r="K861" s="110"/>
    </row>
    <row r="862" spans="1:11">
      <c r="A862" s="73">
        <v>17</v>
      </c>
      <c r="C862" s="74"/>
      <c r="D862" s="75"/>
      <c r="E862" s="73">
        <v>17</v>
      </c>
      <c r="F862" s="10"/>
      <c r="G862" s="110"/>
      <c r="H862" s="110"/>
      <c r="I862" s="110"/>
      <c r="J862" s="110"/>
      <c r="K862" s="110"/>
    </row>
    <row r="863" spans="1:11">
      <c r="A863" s="73">
        <v>18</v>
      </c>
      <c r="C863" s="75"/>
      <c r="D863" s="75"/>
      <c r="E863" s="73">
        <v>18</v>
      </c>
      <c r="F863" s="10"/>
      <c r="G863" s="110"/>
      <c r="H863" s="110"/>
      <c r="I863" s="110"/>
      <c r="J863" s="110"/>
      <c r="K863" s="110"/>
    </row>
    <row r="864" spans="1:11">
      <c r="A864" s="73"/>
      <c r="C864" s="89"/>
      <c r="D864" s="75"/>
      <c r="E864" s="73"/>
      <c r="F864" s="70" t="s">
        <v>6</v>
      </c>
      <c r="G864" s="20" t="s">
        <v>6</v>
      </c>
      <c r="H864" s="21"/>
      <c r="I864" s="70"/>
      <c r="J864" s="20"/>
      <c r="K864" s="21"/>
    </row>
    <row r="865" spans="1:11">
      <c r="A865" s="73">
        <v>19</v>
      </c>
      <c r="C865" s="137" t="s">
        <v>222</v>
      </c>
      <c r="D865" s="75"/>
      <c r="E865" s="73">
        <v>19</v>
      </c>
      <c r="G865" s="108"/>
      <c r="H865" s="108">
        <f>SUM(H856:H863)</f>
        <v>10000802</v>
      </c>
      <c r="I865" s="110"/>
      <c r="J865" s="110"/>
      <c r="K865" s="108">
        <f>SUM(K856:K863)</f>
        <v>43382379</v>
      </c>
    </row>
    <row r="866" spans="1:11">
      <c r="A866" s="73"/>
      <c r="C866" s="89"/>
      <c r="D866" s="75"/>
      <c r="E866" s="73"/>
      <c r="F866" s="70" t="s">
        <v>6</v>
      </c>
      <c r="G866" s="20" t="s">
        <v>6</v>
      </c>
      <c r="H866" s="21"/>
      <c r="I866" s="70"/>
      <c r="J866" s="20"/>
      <c r="K866" s="21"/>
    </row>
    <row r="867" spans="1:11">
      <c r="A867" s="73"/>
      <c r="C867" s="75"/>
      <c r="D867" s="75"/>
      <c r="E867" s="73"/>
      <c r="H867" s="12"/>
    </row>
    <row r="868" spans="1:11">
      <c r="A868" s="73">
        <v>20</v>
      </c>
      <c r="C868" s="9" t="s">
        <v>223</v>
      </c>
      <c r="E868" s="73">
        <v>20</v>
      </c>
      <c r="G868" s="107"/>
      <c r="H868" s="108">
        <f>SUM(H854,H865)</f>
        <v>11256003</v>
      </c>
      <c r="I868" s="108"/>
      <c r="J868" s="107"/>
      <c r="K868" s="108">
        <f>SUM(K854,K865)</f>
        <v>43382379</v>
      </c>
    </row>
    <row r="869" spans="1:11">
      <c r="C869" s="31" t="s">
        <v>224</v>
      </c>
      <c r="E869" s="35"/>
      <c r="F869" s="70" t="s">
        <v>6</v>
      </c>
      <c r="G869" s="20" t="s">
        <v>6</v>
      </c>
      <c r="H869" s="21"/>
      <c r="I869" s="70"/>
      <c r="J869" s="20"/>
      <c r="K869" s="21"/>
    </row>
    <row r="870" spans="1:11">
      <c r="C870" s="9" t="s">
        <v>38</v>
      </c>
    </row>
    <row r="871" spans="1:11">
      <c r="D871" s="9"/>
      <c r="G871" s="14"/>
      <c r="H871" s="40"/>
      <c r="I871" s="61"/>
      <c r="J871" s="14"/>
      <c r="K871" s="40"/>
    </row>
    <row r="872" spans="1:11">
      <c r="D872" s="9"/>
      <c r="G872" s="14"/>
      <c r="H872" s="40"/>
      <c r="I872" s="61"/>
      <c r="J872" s="14"/>
      <c r="K872" s="40"/>
    </row>
    <row r="873" spans="1:11">
      <c r="D873" s="9"/>
      <c r="G873" s="14"/>
      <c r="H873" s="40"/>
      <c r="I873" s="61"/>
      <c r="J873" s="14"/>
      <c r="K873" s="40"/>
    </row>
    <row r="874" spans="1:11">
      <c r="D874" s="9"/>
      <c r="G874" s="14"/>
      <c r="H874" s="40"/>
      <c r="I874" s="61"/>
      <c r="J874" s="14"/>
      <c r="K874" s="40"/>
    </row>
    <row r="875" spans="1:11">
      <c r="D875" s="9"/>
      <c r="G875" s="14"/>
      <c r="H875" s="40"/>
      <c r="I875" s="61"/>
      <c r="J875" s="14"/>
      <c r="K875" s="40"/>
    </row>
    <row r="876" spans="1:11">
      <c r="D876" s="9"/>
      <c r="G876" s="14"/>
      <c r="H876" s="40"/>
      <c r="I876" s="61"/>
      <c r="J876" s="14"/>
      <c r="K876" s="40"/>
    </row>
    <row r="877" spans="1:11">
      <c r="D877" s="9"/>
      <c r="G877" s="14"/>
      <c r="H877" s="40"/>
      <c r="I877" s="61"/>
      <c r="J877" s="14"/>
      <c r="K877" s="40"/>
    </row>
    <row r="878" spans="1:11">
      <c r="D878" s="9"/>
      <c r="G878" s="14"/>
      <c r="H878" s="40"/>
      <c r="I878" s="61"/>
      <c r="J878" s="14"/>
      <c r="K878" s="40"/>
    </row>
    <row r="879" spans="1:11">
      <c r="D879" s="9"/>
      <c r="G879" s="14"/>
      <c r="H879" s="40"/>
      <c r="I879" s="61"/>
      <c r="J879" s="14"/>
      <c r="K879" s="40"/>
    </row>
    <row r="880" spans="1:11">
      <c r="D880" s="9"/>
      <c r="G880" s="14"/>
      <c r="H880" s="40"/>
      <c r="I880" s="61"/>
      <c r="J880" s="14"/>
      <c r="K880" s="40"/>
    </row>
    <row r="881" spans="4:11">
      <c r="D881" s="9"/>
      <c r="G881" s="14"/>
      <c r="H881" s="40"/>
      <c r="I881" s="61"/>
      <c r="J881" s="14"/>
      <c r="K881" s="40"/>
    </row>
    <row r="882" spans="4:11">
      <c r="D882" s="9"/>
      <c r="G882" s="14"/>
      <c r="H882" s="40"/>
      <c r="I882" s="61"/>
      <c r="J882" s="14"/>
      <c r="K882" s="40"/>
    </row>
    <row r="883" spans="4:11">
      <c r="D883" s="9"/>
      <c r="G883" s="14"/>
      <c r="H883" s="40"/>
      <c r="I883" s="61"/>
      <c r="J883" s="14"/>
      <c r="K883" s="40"/>
    </row>
    <row r="884" spans="4:11">
      <c r="D884" s="9"/>
      <c r="G884" s="14"/>
      <c r="H884" s="40"/>
      <c r="I884" s="61"/>
      <c r="J884" s="14"/>
      <c r="K884" s="40"/>
    </row>
    <row r="885" spans="4:11">
      <c r="D885" s="9"/>
      <c r="G885" s="14"/>
      <c r="H885" s="40"/>
      <c r="I885" s="61"/>
      <c r="J885" s="14"/>
      <c r="K885" s="40"/>
    </row>
    <row r="886" spans="4:11">
      <c r="D886" s="9"/>
      <c r="G886" s="14"/>
      <c r="H886" s="40"/>
      <c r="I886" s="61"/>
      <c r="J886" s="14"/>
      <c r="K886" s="40"/>
    </row>
    <row r="887" spans="4:11">
      <c r="D887" s="9"/>
      <c r="G887" s="14"/>
      <c r="H887" s="40"/>
      <c r="I887" s="61"/>
      <c r="J887" s="14"/>
      <c r="K887" s="40"/>
    </row>
    <row r="888" spans="4:11">
      <c r="D888" s="9"/>
      <c r="G888" s="14"/>
      <c r="H888" s="40"/>
      <c r="I888" s="61"/>
      <c r="J888" s="14"/>
      <c r="K888" s="40"/>
    </row>
    <row r="889" spans="4:11">
      <c r="D889" s="9"/>
      <c r="G889" s="14"/>
      <c r="H889" s="40"/>
      <c r="I889" s="61"/>
      <c r="J889" s="14"/>
      <c r="K889" s="40"/>
    </row>
    <row r="890" spans="4:11">
      <c r="D890" s="9"/>
      <c r="G890" s="14"/>
      <c r="H890" s="40"/>
      <c r="I890" s="61"/>
      <c r="J890" s="14"/>
      <c r="K890" s="40"/>
    </row>
    <row r="891" spans="4:11">
      <c r="D891" s="9"/>
      <c r="G891" s="14"/>
      <c r="H891" s="40"/>
      <c r="I891" s="61"/>
      <c r="J891" s="14"/>
      <c r="K891" s="40"/>
    </row>
    <row r="892" spans="4:11">
      <c r="D892" s="9"/>
      <c r="G892" s="14"/>
      <c r="H892" s="40"/>
      <c r="I892" s="61"/>
      <c r="J892" s="14"/>
      <c r="K892" s="40"/>
    </row>
    <row r="893" spans="4:11">
      <c r="D893" s="9"/>
      <c r="G893" s="14"/>
      <c r="H893" s="40"/>
      <c r="I893" s="61"/>
      <c r="J893" s="14"/>
      <c r="K893" s="40"/>
    </row>
    <row r="894" spans="4:11">
      <c r="D894" s="9"/>
      <c r="G894" s="14"/>
      <c r="H894" s="40"/>
      <c r="I894" s="61"/>
      <c r="J894" s="14"/>
      <c r="K894" s="40"/>
    </row>
    <row r="895" spans="4:11">
      <c r="D895" s="9"/>
      <c r="G895" s="14"/>
      <c r="H895" s="40"/>
      <c r="I895" s="61"/>
      <c r="J895" s="14"/>
      <c r="K895" s="40"/>
    </row>
    <row r="934" spans="4:11">
      <c r="D934" s="23"/>
      <c r="F934" s="35"/>
      <c r="G934" s="14"/>
      <c r="H934" s="40"/>
      <c r="J934" s="14"/>
      <c r="K934" s="40"/>
    </row>
  </sheetData>
  <mergeCells count="28">
    <mergeCell ref="A41:K41"/>
    <mergeCell ref="A5:K5"/>
    <mergeCell ref="A8:K8"/>
    <mergeCell ref="A9:K9"/>
    <mergeCell ref="A20:C20"/>
    <mergeCell ref="A36:K36"/>
    <mergeCell ref="A502:K502"/>
    <mergeCell ref="C79:J79"/>
    <mergeCell ref="A84:K84"/>
    <mergeCell ref="C121:J121"/>
    <mergeCell ref="A128:K128"/>
    <mergeCell ref="C135:D135"/>
    <mergeCell ref="C139:D139"/>
    <mergeCell ref="A175:K175"/>
    <mergeCell ref="C213:I213"/>
    <mergeCell ref="B227:K227"/>
    <mergeCell ref="C321:J321"/>
    <mergeCell ref="A464:K464"/>
    <mergeCell ref="A763:K763"/>
    <mergeCell ref="C797:J797"/>
    <mergeCell ref="A801:K801"/>
    <mergeCell ref="A838:K838"/>
    <mergeCell ref="A541:K541"/>
    <mergeCell ref="A578:K578"/>
    <mergeCell ref="A615:K615"/>
    <mergeCell ref="A652:K652"/>
    <mergeCell ref="A689:K689"/>
    <mergeCell ref="A726:K726"/>
  </mergeCells>
  <printOptions horizontalCentered="1"/>
  <pageMargins left="0.17" right="0.17" top="0.47" bottom="0.53" header="0.5" footer="0.24"/>
  <pageSetup scale="70" fitToHeight="47" orientation="landscape" r:id="rId1"/>
  <headerFooter alignWithMargins="0"/>
  <rowBreaks count="20" manualBreakCount="20">
    <brk id="39" max="12" man="1"/>
    <brk id="82" max="12" man="1"/>
    <brk id="124" max="12" man="1"/>
    <brk id="172" max="12" man="1"/>
    <brk id="224" max="12" man="1"/>
    <brk id="274" max="12" man="1"/>
    <brk id="323" max="10" man="1"/>
    <brk id="357" max="10" man="1"/>
    <brk id="408" max="12" man="1"/>
    <brk id="461" max="10" man="1"/>
    <brk id="499" max="10" man="1"/>
    <brk id="538" max="10" man="1"/>
    <brk id="575" max="10" man="1"/>
    <brk id="612" max="10" man="1"/>
    <brk id="649" max="10" man="1"/>
    <brk id="686" max="10" man="1"/>
    <brk id="723" max="10" man="1"/>
    <brk id="760" max="10" man="1"/>
    <brk id="798" max="10" man="1"/>
    <brk id="835"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83" transitionEvaluation="1">
    <tabColor theme="3" tint="0.39997558519241921"/>
  </sheetPr>
  <dimension ref="A2:IT934"/>
  <sheetViews>
    <sheetView showGridLines="0" view="pageBreakPreview" topLeftCell="A83" zoomScale="75" zoomScaleNormal="75" zoomScaleSheetLayoutView="75" workbookViewId="0">
      <selection activeCell="A107" sqref="A107"/>
    </sheetView>
  </sheetViews>
  <sheetFormatPr defaultColWidth="9.625" defaultRowHeight="12"/>
  <cols>
    <col min="1" max="1" width="4.625" style="137" customWidth="1"/>
    <col min="2" max="2" width="1.875" style="137" customWidth="1"/>
    <col min="3" max="3" width="30.625" style="137" customWidth="1"/>
    <col min="4" max="4" width="28.625" style="137" customWidth="1"/>
    <col min="5" max="5" width="8.125" style="137" customWidth="1"/>
    <col min="6" max="6" width="7.5" style="137" customWidth="1"/>
    <col min="7" max="7" width="14.875" style="2" customWidth="1"/>
    <col min="8" max="8" width="14.875" style="3" customWidth="1"/>
    <col min="9" max="9" width="6.625" style="137" customWidth="1"/>
    <col min="10" max="10" width="13.25" style="2" customWidth="1"/>
    <col min="11" max="11" width="19.875" style="3" customWidth="1"/>
    <col min="12" max="256" width="9.625" style="137"/>
    <col min="257" max="257" width="4.625" style="137" customWidth="1"/>
    <col min="258" max="258" width="1.875" style="137" customWidth="1"/>
    <col min="259" max="259" width="30.625" style="137" customWidth="1"/>
    <col min="260" max="260" width="28.625" style="137" customWidth="1"/>
    <col min="261" max="261" width="8.125" style="137" customWidth="1"/>
    <col min="262" max="262" width="7.5" style="137" customWidth="1"/>
    <col min="263" max="264" width="14.875" style="137" customWidth="1"/>
    <col min="265" max="265" width="6.625" style="137" customWidth="1"/>
    <col min="266" max="266" width="13.25" style="137" customWidth="1"/>
    <col min="267" max="267" width="17" style="137" customWidth="1"/>
    <col min="268" max="512" width="9.625" style="137"/>
    <col min="513" max="513" width="4.625" style="137" customWidth="1"/>
    <col min="514" max="514" width="1.875" style="137" customWidth="1"/>
    <col min="515" max="515" width="30.625" style="137" customWidth="1"/>
    <col min="516" max="516" width="28.625" style="137" customWidth="1"/>
    <col min="517" max="517" width="8.125" style="137" customWidth="1"/>
    <col min="518" max="518" width="7.5" style="137" customWidth="1"/>
    <col min="519" max="520" width="14.875" style="137" customWidth="1"/>
    <col min="521" max="521" width="6.625" style="137" customWidth="1"/>
    <col min="522" max="522" width="13.25" style="137" customWidth="1"/>
    <col min="523" max="523" width="17" style="137" customWidth="1"/>
    <col min="524" max="768" width="9.625" style="137"/>
    <col min="769" max="769" width="4.625" style="137" customWidth="1"/>
    <col min="770" max="770" width="1.875" style="137" customWidth="1"/>
    <col min="771" max="771" width="30.625" style="137" customWidth="1"/>
    <col min="772" max="772" width="28.625" style="137" customWidth="1"/>
    <col min="773" max="773" width="8.125" style="137" customWidth="1"/>
    <col min="774" max="774" width="7.5" style="137" customWidth="1"/>
    <col min="775" max="776" width="14.875" style="137" customWidth="1"/>
    <col min="777" max="777" width="6.625" style="137" customWidth="1"/>
    <col min="778" max="778" width="13.25" style="137" customWidth="1"/>
    <col min="779" max="779" width="17" style="137" customWidth="1"/>
    <col min="780" max="1024" width="9.625" style="137"/>
    <col min="1025" max="1025" width="4.625" style="137" customWidth="1"/>
    <col min="1026" max="1026" width="1.875" style="137" customWidth="1"/>
    <col min="1027" max="1027" width="30.625" style="137" customWidth="1"/>
    <col min="1028" max="1028" width="28.625" style="137" customWidth="1"/>
    <col min="1029" max="1029" width="8.125" style="137" customWidth="1"/>
    <col min="1030" max="1030" width="7.5" style="137" customWidth="1"/>
    <col min="1031" max="1032" width="14.875" style="137" customWidth="1"/>
    <col min="1033" max="1033" width="6.625" style="137" customWidth="1"/>
    <col min="1034" max="1034" width="13.25" style="137" customWidth="1"/>
    <col min="1035" max="1035" width="17" style="137" customWidth="1"/>
    <col min="1036" max="1280" width="9.625" style="137"/>
    <col min="1281" max="1281" width="4.625" style="137" customWidth="1"/>
    <col min="1282" max="1282" width="1.875" style="137" customWidth="1"/>
    <col min="1283" max="1283" width="30.625" style="137" customWidth="1"/>
    <col min="1284" max="1284" width="28.625" style="137" customWidth="1"/>
    <col min="1285" max="1285" width="8.125" style="137" customWidth="1"/>
    <col min="1286" max="1286" width="7.5" style="137" customWidth="1"/>
    <col min="1287" max="1288" width="14.875" style="137" customWidth="1"/>
    <col min="1289" max="1289" width="6.625" style="137" customWidth="1"/>
    <col min="1290" max="1290" width="13.25" style="137" customWidth="1"/>
    <col min="1291" max="1291" width="17" style="137" customWidth="1"/>
    <col min="1292" max="1536" width="9.625" style="137"/>
    <col min="1537" max="1537" width="4.625" style="137" customWidth="1"/>
    <col min="1538" max="1538" width="1.875" style="137" customWidth="1"/>
    <col min="1539" max="1539" width="30.625" style="137" customWidth="1"/>
    <col min="1540" max="1540" width="28.625" style="137" customWidth="1"/>
    <col min="1541" max="1541" width="8.125" style="137" customWidth="1"/>
    <col min="1542" max="1542" width="7.5" style="137" customWidth="1"/>
    <col min="1543" max="1544" width="14.875" style="137" customWidth="1"/>
    <col min="1545" max="1545" width="6.625" style="137" customWidth="1"/>
    <col min="1546" max="1546" width="13.25" style="137" customWidth="1"/>
    <col min="1547" max="1547" width="17" style="137" customWidth="1"/>
    <col min="1548" max="1792" width="9.625" style="137"/>
    <col min="1793" max="1793" width="4.625" style="137" customWidth="1"/>
    <col min="1794" max="1794" width="1.875" style="137" customWidth="1"/>
    <col min="1795" max="1795" width="30.625" style="137" customWidth="1"/>
    <col min="1796" max="1796" width="28.625" style="137" customWidth="1"/>
    <col min="1797" max="1797" width="8.125" style="137" customWidth="1"/>
    <col min="1798" max="1798" width="7.5" style="137" customWidth="1"/>
    <col min="1799" max="1800" width="14.875" style="137" customWidth="1"/>
    <col min="1801" max="1801" width="6.625" style="137" customWidth="1"/>
    <col min="1802" max="1802" width="13.25" style="137" customWidth="1"/>
    <col min="1803" max="1803" width="17" style="137" customWidth="1"/>
    <col min="1804" max="2048" width="9.625" style="137"/>
    <col min="2049" max="2049" width="4.625" style="137" customWidth="1"/>
    <col min="2050" max="2050" width="1.875" style="137" customWidth="1"/>
    <col min="2051" max="2051" width="30.625" style="137" customWidth="1"/>
    <col min="2052" max="2052" width="28.625" style="137" customWidth="1"/>
    <col min="2053" max="2053" width="8.125" style="137" customWidth="1"/>
    <col min="2054" max="2054" width="7.5" style="137" customWidth="1"/>
    <col min="2055" max="2056" width="14.875" style="137" customWidth="1"/>
    <col min="2057" max="2057" width="6.625" style="137" customWidth="1"/>
    <col min="2058" max="2058" width="13.25" style="137" customWidth="1"/>
    <col min="2059" max="2059" width="17" style="137" customWidth="1"/>
    <col min="2060" max="2304" width="9.625" style="137"/>
    <col min="2305" max="2305" width="4.625" style="137" customWidth="1"/>
    <col min="2306" max="2306" width="1.875" style="137" customWidth="1"/>
    <col min="2307" max="2307" width="30.625" style="137" customWidth="1"/>
    <col min="2308" max="2308" width="28.625" style="137" customWidth="1"/>
    <col min="2309" max="2309" width="8.125" style="137" customWidth="1"/>
    <col min="2310" max="2310" width="7.5" style="137" customWidth="1"/>
    <col min="2311" max="2312" width="14.875" style="137" customWidth="1"/>
    <col min="2313" max="2313" width="6.625" style="137" customWidth="1"/>
    <col min="2314" max="2314" width="13.25" style="137" customWidth="1"/>
    <col min="2315" max="2315" width="17" style="137" customWidth="1"/>
    <col min="2316" max="2560" width="9.625" style="137"/>
    <col min="2561" max="2561" width="4.625" style="137" customWidth="1"/>
    <col min="2562" max="2562" width="1.875" style="137" customWidth="1"/>
    <col min="2563" max="2563" width="30.625" style="137" customWidth="1"/>
    <col min="2564" max="2564" width="28.625" style="137" customWidth="1"/>
    <col min="2565" max="2565" width="8.125" style="137" customWidth="1"/>
    <col min="2566" max="2566" width="7.5" style="137" customWidth="1"/>
    <col min="2567" max="2568" width="14.875" style="137" customWidth="1"/>
    <col min="2569" max="2569" width="6.625" style="137" customWidth="1"/>
    <col min="2570" max="2570" width="13.25" style="137" customWidth="1"/>
    <col min="2571" max="2571" width="17" style="137" customWidth="1"/>
    <col min="2572" max="2816" width="9.625" style="137"/>
    <col min="2817" max="2817" width="4.625" style="137" customWidth="1"/>
    <col min="2818" max="2818" width="1.875" style="137" customWidth="1"/>
    <col min="2819" max="2819" width="30.625" style="137" customWidth="1"/>
    <col min="2820" max="2820" width="28.625" style="137" customWidth="1"/>
    <col min="2821" max="2821" width="8.125" style="137" customWidth="1"/>
    <col min="2822" max="2822" width="7.5" style="137" customWidth="1"/>
    <col min="2823" max="2824" width="14.875" style="137" customWidth="1"/>
    <col min="2825" max="2825" width="6.625" style="137" customWidth="1"/>
    <col min="2826" max="2826" width="13.25" style="137" customWidth="1"/>
    <col min="2827" max="2827" width="17" style="137" customWidth="1"/>
    <col min="2828" max="3072" width="9.625" style="137"/>
    <col min="3073" max="3073" width="4.625" style="137" customWidth="1"/>
    <col min="3074" max="3074" width="1.875" style="137" customWidth="1"/>
    <col min="3075" max="3075" width="30.625" style="137" customWidth="1"/>
    <col min="3076" max="3076" width="28.625" style="137" customWidth="1"/>
    <col min="3077" max="3077" width="8.125" style="137" customWidth="1"/>
    <col min="3078" max="3078" width="7.5" style="137" customWidth="1"/>
    <col min="3079" max="3080" width="14.875" style="137" customWidth="1"/>
    <col min="3081" max="3081" width="6.625" style="137" customWidth="1"/>
    <col min="3082" max="3082" width="13.25" style="137" customWidth="1"/>
    <col min="3083" max="3083" width="17" style="137" customWidth="1"/>
    <col min="3084" max="3328" width="9.625" style="137"/>
    <col min="3329" max="3329" width="4.625" style="137" customWidth="1"/>
    <col min="3330" max="3330" width="1.875" style="137" customWidth="1"/>
    <col min="3331" max="3331" width="30.625" style="137" customWidth="1"/>
    <col min="3332" max="3332" width="28.625" style="137" customWidth="1"/>
    <col min="3333" max="3333" width="8.125" style="137" customWidth="1"/>
    <col min="3334" max="3334" width="7.5" style="137" customWidth="1"/>
    <col min="3335" max="3336" width="14.875" style="137" customWidth="1"/>
    <col min="3337" max="3337" width="6.625" style="137" customWidth="1"/>
    <col min="3338" max="3338" width="13.25" style="137" customWidth="1"/>
    <col min="3339" max="3339" width="17" style="137" customWidth="1"/>
    <col min="3340" max="3584" width="9.625" style="137"/>
    <col min="3585" max="3585" width="4.625" style="137" customWidth="1"/>
    <col min="3586" max="3586" width="1.875" style="137" customWidth="1"/>
    <col min="3587" max="3587" width="30.625" style="137" customWidth="1"/>
    <col min="3588" max="3588" width="28.625" style="137" customWidth="1"/>
    <col min="3589" max="3589" width="8.125" style="137" customWidth="1"/>
    <col min="3590" max="3590" width="7.5" style="137" customWidth="1"/>
    <col min="3591" max="3592" width="14.875" style="137" customWidth="1"/>
    <col min="3593" max="3593" width="6.625" style="137" customWidth="1"/>
    <col min="3594" max="3594" width="13.25" style="137" customWidth="1"/>
    <col min="3595" max="3595" width="17" style="137" customWidth="1"/>
    <col min="3596" max="3840" width="9.625" style="137"/>
    <col min="3841" max="3841" width="4.625" style="137" customWidth="1"/>
    <col min="3842" max="3842" width="1.875" style="137" customWidth="1"/>
    <col min="3843" max="3843" width="30.625" style="137" customWidth="1"/>
    <col min="3844" max="3844" width="28.625" style="137" customWidth="1"/>
    <col min="3845" max="3845" width="8.125" style="137" customWidth="1"/>
    <col min="3846" max="3846" width="7.5" style="137" customWidth="1"/>
    <col min="3847" max="3848" width="14.875" style="137" customWidth="1"/>
    <col min="3849" max="3849" width="6.625" style="137" customWidth="1"/>
    <col min="3850" max="3850" width="13.25" style="137" customWidth="1"/>
    <col min="3851" max="3851" width="17" style="137" customWidth="1"/>
    <col min="3852" max="4096" width="9.625" style="137"/>
    <col min="4097" max="4097" width="4.625" style="137" customWidth="1"/>
    <col min="4098" max="4098" width="1.875" style="137" customWidth="1"/>
    <col min="4099" max="4099" width="30.625" style="137" customWidth="1"/>
    <col min="4100" max="4100" width="28.625" style="137" customWidth="1"/>
    <col min="4101" max="4101" width="8.125" style="137" customWidth="1"/>
    <col min="4102" max="4102" width="7.5" style="137" customWidth="1"/>
    <col min="4103" max="4104" width="14.875" style="137" customWidth="1"/>
    <col min="4105" max="4105" width="6.625" style="137" customWidth="1"/>
    <col min="4106" max="4106" width="13.25" style="137" customWidth="1"/>
    <col min="4107" max="4107" width="17" style="137" customWidth="1"/>
    <col min="4108" max="4352" width="9.625" style="137"/>
    <col min="4353" max="4353" width="4.625" style="137" customWidth="1"/>
    <col min="4354" max="4354" width="1.875" style="137" customWidth="1"/>
    <col min="4355" max="4355" width="30.625" style="137" customWidth="1"/>
    <col min="4356" max="4356" width="28.625" style="137" customWidth="1"/>
    <col min="4357" max="4357" width="8.125" style="137" customWidth="1"/>
    <col min="4358" max="4358" width="7.5" style="137" customWidth="1"/>
    <col min="4359" max="4360" width="14.875" style="137" customWidth="1"/>
    <col min="4361" max="4361" width="6.625" style="137" customWidth="1"/>
    <col min="4362" max="4362" width="13.25" style="137" customWidth="1"/>
    <col min="4363" max="4363" width="17" style="137" customWidth="1"/>
    <col min="4364" max="4608" width="9.625" style="137"/>
    <col min="4609" max="4609" width="4.625" style="137" customWidth="1"/>
    <col min="4610" max="4610" width="1.875" style="137" customWidth="1"/>
    <col min="4611" max="4611" width="30.625" style="137" customWidth="1"/>
    <col min="4612" max="4612" width="28.625" style="137" customWidth="1"/>
    <col min="4613" max="4613" width="8.125" style="137" customWidth="1"/>
    <col min="4614" max="4614" width="7.5" style="137" customWidth="1"/>
    <col min="4615" max="4616" width="14.875" style="137" customWidth="1"/>
    <col min="4617" max="4617" width="6.625" style="137" customWidth="1"/>
    <col min="4618" max="4618" width="13.25" style="137" customWidth="1"/>
    <col min="4619" max="4619" width="17" style="137" customWidth="1"/>
    <col min="4620" max="4864" width="9.625" style="137"/>
    <col min="4865" max="4865" width="4.625" style="137" customWidth="1"/>
    <col min="4866" max="4866" width="1.875" style="137" customWidth="1"/>
    <col min="4867" max="4867" width="30.625" style="137" customWidth="1"/>
    <col min="4868" max="4868" width="28.625" style="137" customWidth="1"/>
    <col min="4869" max="4869" width="8.125" style="137" customWidth="1"/>
    <col min="4870" max="4870" width="7.5" style="137" customWidth="1"/>
    <col min="4871" max="4872" width="14.875" style="137" customWidth="1"/>
    <col min="4873" max="4873" width="6.625" style="137" customWidth="1"/>
    <col min="4874" max="4874" width="13.25" style="137" customWidth="1"/>
    <col min="4875" max="4875" width="17" style="137" customWidth="1"/>
    <col min="4876" max="5120" width="9.625" style="137"/>
    <col min="5121" max="5121" width="4.625" style="137" customWidth="1"/>
    <col min="5122" max="5122" width="1.875" style="137" customWidth="1"/>
    <col min="5123" max="5123" width="30.625" style="137" customWidth="1"/>
    <col min="5124" max="5124" width="28.625" style="137" customWidth="1"/>
    <col min="5125" max="5125" width="8.125" style="137" customWidth="1"/>
    <col min="5126" max="5126" width="7.5" style="137" customWidth="1"/>
    <col min="5127" max="5128" width="14.875" style="137" customWidth="1"/>
    <col min="5129" max="5129" width="6.625" style="137" customWidth="1"/>
    <col min="5130" max="5130" width="13.25" style="137" customWidth="1"/>
    <col min="5131" max="5131" width="17" style="137" customWidth="1"/>
    <col min="5132" max="5376" width="9.625" style="137"/>
    <col min="5377" max="5377" width="4.625" style="137" customWidth="1"/>
    <col min="5378" max="5378" width="1.875" style="137" customWidth="1"/>
    <col min="5379" max="5379" width="30.625" style="137" customWidth="1"/>
    <col min="5380" max="5380" width="28.625" style="137" customWidth="1"/>
    <col min="5381" max="5381" width="8.125" style="137" customWidth="1"/>
    <col min="5382" max="5382" width="7.5" style="137" customWidth="1"/>
    <col min="5383" max="5384" width="14.875" style="137" customWidth="1"/>
    <col min="5385" max="5385" width="6.625" style="137" customWidth="1"/>
    <col min="5386" max="5386" width="13.25" style="137" customWidth="1"/>
    <col min="5387" max="5387" width="17" style="137" customWidth="1"/>
    <col min="5388" max="5632" width="9.625" style="137"/>
    <col min="5633" max="5633" width="4.625" style="137" customWidth="1"/>
    <col min="5634" max="5634" width="1.875" style="137" customWidth="1"/>
    <col min="5635" max="5635" width="30.625" style="137" customWidth="1"/>
    <col min="5636" max="5636" width="28.625" style="137" customWidth="1"/>
    <col min="5637" max="5637" width="8.125" style="137" customWidth="1"/>
    <col min="5638" max="5638" width="7.5" style="137" customWidth="1"/>
    <col min="5639" max="5640" width="14.875" style="137" customWidth="1"/>
    <col min="5641" max="5641" width="6.625" style="137" customWidth="1"/>
    <col min="5642" max="5642" width="13.25" style="137" customWidth="1"/>
    <col min="5643" max="5643" width="17" style="137" customWidth="1"/>
    <col min="5644" max="5888" width="9.625" style="137"/>
    <col min="5889" max="5889" width="4.625" style="137" customWidth="1"/>
    <col min="5890" max="5890" width="1.875" style="137" customWidth="1"/>
    <col min="5891" max="5891" width="30.625" style="137" customWidth="1"/>
    <col min="5892" max="5892" width="28.625" style="137" customWidth="1"/>
    <col min="5893" max="5893" width="8.125" style="137" customWidth="1"/>
    <col min="5894" max="5894" width="7.5" style="137" customWidth="1"/>
    <col min="5895" max="5896" width="14.875" style="137" customWidth="1"/>
    <col min="5897" max="5897" width="6.625" style="137" customWidth="1"/>
    <col min="5898" max="5898" width="13.25" style="137" customWidth="1"/>
    <col min="5899" max="5899" width="17" style="137" customWidth="1"/>
    <col min="5900" max="6144" width="9.625" style="137"/>
    <col min="6145" max="6145" width="4.625" style="137" customWidth="1"/>
    <col min="6146" max="6146" width="1.875" style="137" customWidth="1"/>
    <col min="6147" max="6147" width="30.625" style="137" customWidth="1"/>
    <col min="6148" max="6148" width="28.625" style="137" customWidth="1"/>
    <col min="6149" max="6149" width="8.125" style="137" customWidth="1"/>
    <col min="6150" max="6150" width="7.5" style="137" customWidth="1"/>
    <col min="6151" max="6152" width="14.875" style="137" customWidth="1"/>
    <col min="6153" max="6153" width="6.625" style="137" customWidth="1"/>
    <col min="6154" max="6154" width="13.25" style="137" customWidth="1"/>
    <col min="6155" max="6155" width="17" style="137" customWidth="1"/>
    <col min="6156" max="6400" width="9.625" style="137"/>
    <col min="6401" max="6401" width="4.625" style="137" customWidth="1"/>
    <col min="6402" max="6402" width="1.875" style="137" customWidth="1"/>
    <col min="6403" max="6403" width="30.625" style="137" customWidth="1"/>
    <col min="6404" max="6404" width="28.625" style="137" customWidth="1"/>
    <col min="6405" max="6405" width="8.125" style="137" customWidth="1"/>
    <col min="6406" max="6406" width="7.5" style="137" customWidth="1"/>
    <col min="6407" max="6408" width="14.875" style="137" customWidth="1"/>
    <col min="6409" max="6409" width="6.625" style="137" customWidth="1"/>
    <col min="6410" max="6410" width="13.25" style="137" customWidth="1"/>
    <col min="6411" max="6411" width="17" style="137" customWidth="1"/>
    <col min="6412" max="6656" width="9.625" style="137"/>
    <col min="6657" max="6657" width="4.625" style="137" customWidth="1"/>
    <col min="6658" max="6658" width="1.875" style="137" customWidth="1"/>
    <col min="6659" max="6659" width="30.625" style="137" customWidth="1"/>
    <col min="6660" max="6660" width="28.625" style="137" customWidth="1"/>
    <col min="6661" max="6661" width="8.125" style="137" customWidth="1"/>
    <col min="6662" max="6662" width="7.5" style="137" customWidth="1"/>
    <col min="6663" max="6664" width="14.875" style="137" customWidth="1"/>
    <col min="6665" max="6665" width="6.625" style="137" customWidth="1"/>
    <col min="6666" max="6666" width="13.25" style="137" customWidth="1"/>
    <col min="6667" max="6667" width="17" style="137" customWidth="1"/>
    <col min="6668" max="6912" width="9.625" style="137"/>
    <col min="6913" max="6913" width="4.625" style="137" customWidth="1"/>
    <col min="6914" max="6914" width="1.875" style="137" customWidth="1"/>
    <col min="6915" max="6915" width="30.625" style="137" customWidth="1"/>
    <col min="6916" max="6916" width="28.625" style="137" customWidth="1"/>
    <col min="6917" max="6917" width="8.125" style="137" customWidth="1"/>
    <col min="6918" max="6918" width="7.5" style="137" customWidth="1"/>
    <col min="6919" max="6920" width="14.875" style="137" customWidth="1"/>
    <col min="6921" max="6921" width="6.625" style="137" customWidth="1"/>
    <col min="6922" max="6922" width="13.25" style="137" customWidth="1"/>
    <col min="6923" max="6923" width="17" style="137" customWidth="1"/>
    <col min="6924" max="7168" width="9.625" style="137"/>
    <col min="7169" max="7169" width="4.625" style="137" customWidth="1"/>
    <col min="7170" max="7170" width="1.875" style="137" customWidth="1"/>
    <col min="7171" max="7171" width="30.625" style="137" customWidth="1"/>
    <col min="7172" max="7172" width="28.625" style="137" customWidth="1"/>
    <col min="7173" max="7173" width="8.125" style="137" customWidth="1"/>
    <col min="7174" max="7174" width="7.5" style="137" customWidth="1"/>
    <col min="7175" max="7176" width="14.875" style="137" customWidth="1"/>
    <col min="7177" max="7177" width="6.625" style="137" customWidth="1"/>
    <col min="7178" max="7178" width="13.25" style="137" customWidth="1"/>
    <col min="7179" max="7179" width="17" style="137" customWidth="1"/>
    <col min="7180" max="7424" width="9.625" style="137"/>
    <col min="7425" max="7425" width="4.625" style="137" customWidth="1"/>
    <col min="7426" max="7426" width="1.875" style="137" customWidth="1"/>
    <col min="7427" max="7427" width="30.625" style="137" customWidth="1"/>
    <col min="7428" max="7428" width="28.625" style="137" customWidth="1"/>
    <col min="7429" max="7429" width="8.125" style="137" customWidth="1"/>
    <col min="7430" max="7430" width="7.5" style="137" customWidth="1"/>
    <col min="7431" max="7432" width="14.875" style="137" customWidth="1"/>
    <col min="7433" max="7433" width="6.625" style="137" customWidth="1"/>
    <col min="7434" max="7434" width="13.25" style="137" customWidth="1"/>
    <col min="7435" max="7435" width="17" style="137" customWidth="1"/>
    <col min="7436" max="7680" width="9.625" style="137"/>
    <col min="7681" max="7681" width="4.625" style="137" customWidth="1"/>
    <col min="7682" max="7682" width="1.875" style="137" customWidth="1"/>
    <col min="7683" max="7683" width="30.625" style="137" customWidth="1"/>
    <col min="7684" max="7684" width="28.625" style="137" customWidth="1"/>
    <col min="7685" max="7685" width="8.125" style="137" customWidth="1"/>
    <col min="7686" max="7686" width="7.5" style="137" customWidth="1"/>
    <col min="7687" max="7688" width="14.875" style="137" customWidth="1"/>
    <col min="7689" max="7689" width="6.625" style="137" customWidth="1"/>
    <col min="7690" max="7690" width="13.25" style="137" customWidth="1"/>
    <col min="7691" max="7691" width="17" style="137" customWidth="1"/>
    <col min="7692" max="7936" width="9.625" style="137"/>
    <col min="7937" max="7937" width="4.625" style="137" customWidth="1"/>
    <col min="7938" max="7938" width="1.875" style="137" customWidth="1"/>
    <col min="7939" max="7939" width="30.625" style="137" customWidth="1"/>
    <col min="7940" max="7940" width="28.625" style="137" customWidth="1"/>
    <col min="7941" max="7941" width="8.125" style="137" customWidth="1"/>
    <col min="7942" max="7942" width="7.5" style="137" customWidth="1"/>
    <col min="7943" max="7944" width="14.875" style="137" customWidth="1"/>
    <col min="7945" max="7945" width="6.625" style="137" customWidth="1"/>
    <col min="7946" max="7946" width="13.25" style="137" customWidth="1"/>
    <col min="7947" max="7947" width="17" style="137" customWidth="1"/>
    <col min="7948" max="8192" width="9.625" style="137"/>
    <col min="8193" max="8193" width="4.625" style="137" customWidth="1"/>
    <col min="8194" max="8194" width="1.875" style="137" customWidth="1"/>
    <col min="8195" max="8195" width="30.625" style="137" customWidth="1"/>
    <col min="8196" max="8196" width="28.625" style="137" customWidth="1"/>
    <col min="8197" max="8197" width="8.125" style="137" customWidth="1"/>
    <col min="8198" max="8198" width="7.5" style="137" customWidth="1"/>
    <col min="8199" max="8200" width="14.875" style="137" customWidth="1"/>
    <col min="8201" max="8201" width="6.625" style="137" customWidth="1"/>
    <col min="8202" max="8202" width="13.25" style="137" customWidth="1"/>
    <col min="8203" max="8203" width="17" style="137" customWidth="1"/>
    <col min="8204" max="8448" width="9.625" style="137"/>
    <col min="8449" max="8449" width="4.625" style="137" customWidth="1"/>
    <col min="8450" max="8450" width="1.875" style="137" customWidth="1"/>
    <col min="8451" max="8451" width="30.625" style="137" customWidth="1"/>
    <col min="8452" max="8452" width="28.625" style="137" customWidth="1"/>
    <col min="8453" max="8453" width="8.125" style="137" customWidth="1"/>
    <col min="8454" max="8454" width="7.5" style="137" customWidth="1"/>
    <col min="8455" max="8456" width="14.875" style="137" customWidth="1"/>
    <col min="8457" max="8457" width="6.625" style="137" customWidth="1"/>
    <col min="8458" max="8458" width="13.25" style="137" customWidth="1"/>
    <col min="8459" max="8459" width="17" style="137" customWidth="1"/>
    <col min="8460" max="8704" width="9.625" style="137"/>
    <col min="8705" max="8705" width="4.625" style="137" customWidth="1"/>
    <col min="8706" max="8706" width="1.875" style="137" customWidth="1"/>
    <col min="8707" max="8707" width="30.625" style="137" customWidth="1"/>
    <col min="8708" max="8708" width="28.625" style="137" customWidth="1"/>
    <col min="8709" max="8709" width="8.125" style="137" customWidth="1"/>
    <col min="8710" max="8710" width="7.5" style="137" customWidth="1"/>
    <col min="8711" max="8712" width="14.875" style="137" customWidth="1"/>
    <col min="8713" max="8713" width="6.625" style="137" customWidth="1"/>
    <col min="8714" max="8714" width="13.25" style="137" customWidth="1"/>
    <col min="8715" max="8715" width="17" style="137" customWidth="1"/>
    <col min="8716" max="8960" width="9.625" style="137"/>
    <col min="8961" max="8961" width="4.625" style="137" customWidth="1"/>
    <col min="8962" max="8962" width="1.875" style="137" customWidth="1"/>
    <col min="8963" max="8963" width="30.625" style="137" customWidth="1"/>
    <col min="8964" max="8964" width="28.625" style="137" customWidth="1"/>
    <col min="8965" max="8965" width="8.125" style="137" customWidth="1"/>
    <col min="8966" max="8966" width="7.5" style="137" customWidth="1"/>
    <col min="8967" max="8968" width="14.875" style="137" customWidth="1"/>
    <col min="8969" max="8969" width="6.625" style="137" customWidth="1"/>
    <col min="8970" max="8970" width="13.25" style="137" customWidth="1"/>
    <col min="8971" max="8971" width="17" style="137" customWidth="1"/>
    <col min="8972" max="9216" width="9.625" style="137"/>
    <col min="9217" max="9217" width="4.625" style="137" customWidth="1"/>
    <col min="9218" max="9218" width="1.875" style="137" customWidth="1"/>
    <col min="9219" max="9219" width="30.625" style="137" customWidth="1"/>
    <col min="9220" max="9220" width="28.625" style="137" customWidth="1"/>
    <col min="9221" max="9221" width="8.125" style="137" customWidth="1"/>
    <col min="9222" max="9222" width="7.5" style="137" customWidth="1"/>
    <col min="9223" max="9224" width="14.875" style="137" customWidth="1"/>
    <col min="9225" max="9225" width="6.625" style="137" customWidth="1"/>
    <col min="9226" max="9226" width="13.25" style="137" customWidth="1"/>
    <col min="9227" max="9227" width="17" style="137" customWidth="1"/>
    <col min="9228" max="9472" width="9.625" style="137"/>
    <col min="9473" max="9473" width="4.625" style="137" customWidth="1"/>
    <col min="9474" max="9474" width="1.875" style="137" customWidth="1"/>
    <col min="9475" max="9475" width="30.625" style="137" customWidth="1"/>
    <col min="9476" max="9476" width="28.625" style="137" customWidth="1"/>
    <col min="9477" max="9477" width="8.125" style="137" customWidth="1"/>
    <col min="9478" max="9478" width="7.5" style="137" customWidth="1"/>
    <col min="9479" max="9480" width="14.875" style="137" customWidth="1"/>
    <col min="9481" max="9481" width="6.625" style="137" customWidth="1"/>
    <col min="9482" max="9482" width="13.25" style="137" customWidth="1"/>
    <col min="9483" max="9483" width="17" style="137" customWidth="1"/>
    <col min="9484" max="9728" width="9.625" style="137"/>
    <col min="9729" max="9729" width="4.625" style="137" customWidth="1"/>
    <col min="9730" max="9730" width="1.875" style="137" customWidth="1"/>
    <col min="9731" max="9731" width="30.625" style="137" customWidth="1"/>
    <col min="9732" max="9732" width="28.625" style="137" customWidth="1"/>
    <col min="9733" max="9733" width="8.125" style="137" customWidth="1"/>
    <col min="9734" max="9734" width="7.5" style="137" customWidth="1"/>
    <col min="9735" max="9736" width="14.875" style="137" customWidth="1"/>
    <col min="9737" max="9737" width="6.625" style="137" customWidth="1"/>
    <col min="9738" max="9738" width="13.25" style="137" customWidth="1"/>
    <col min="9739" max="9739" width="17" style="137" customWidth="1"/>
    <col min="9740" max="9984" width="9.625" style="137"/>
    <col min="9985" max="9985" width="4.625" style="137" customWidth="1"/>
    <col min="9986" max="9986" width="1.875" style="137" customWidth="1"/>
    <col min="9987" max="9987" width="30.625" style="137" customWidth="1"/>
    <col min="9988" max="9988" width="28.625" style="137" customWidth="1"/>
    <col min="9989" max="9989" width="8.125" style="137" customWidth="1"/>
    <col min="9990" max="9990" width="7.5" style="137" customWidth="1"/>
    <col min="9991" max="9992" width="14.875" style="137" customWidth="1"/>
    <col min="9993" max="9993" width="6.625" style="137" customWidth="1"/>
    <col min="9994" max="9994" width="13.25" style="137" customWidth="1"/>
    <col min="9995" max="9995" width="17" style="137" customWidth="1"/>
    <col min="9996" max="10240" width="9.625" style="137"/>
    <col min="10241" max="10241" width="4.625" style="137" customWidth="1"/>
    <col min="10242" max="10242" width="1.875" style="137" customWidth="1"/>
    <col min="10243" max="10243" width="30.625" style="137" customWidth="1"/>
    <col min="10244" max="10244" width="28.625" style="137" customWidth="1"/>
    <col min="10245" max="10245" width="8.125" style="137" customWidth="1"/>
    <col min="10246" max="10246" width="7.5" style="137" customWidth="1"/>
    <col min="10247" max="10248" width="14.875" style="137" customWidth="1"/>
    <col min="10249" max="10249" width="6.625" style="137" customWidth="1"/>
    <col min="10250" max="10250" width="13.25" style="137" customWidth="1"/>
    <col min="10251" max="10251" width="17" style="137" customWidth="1"/>
    <col min="10252" max="10496" width="9.625" style="137"/>
    <col min="10497" max="10497" width="4.625" style="137" customWidth="1"/>
    <col min="10498" max="10498" width="1.875" style="137" customWidth="1"/>
    <col min="10499" max="10499" width="30.625" style="137" customWidth="1"/>
    <col min="10500" max="10500" width="28.625" style="137" customWidth="1"/>
    <col min="10501" max="10501" width="8.125" style="137" customWidth="1"/>
    <col min="10502" max="10502" width="7.5" style="137" customWidth="1"/>
    <col min="10503" max="10504" width="14.875" style="137" customWidth="1"/>
    <col min="10505" max="10505" width="6.625" style="137" customWidth="1"/>
    <col min="10506" max="10506" width="13.25" style="137" customWidth="1"/>
    <col min="10507" max="10507" width="17" style="137" customWidth="1"/>
    <col min="10508" max="10752" width="9.625" style="137"/>
    <col min="10753" max="10753" width="4.625" style="137" customWidth="1"/>
    <col min="10754" max="10754" width="1.875" style="137" customWidth="1"/>
    <col min="10755" max="10755" width="30.625" style="137" customWidth="1"/>
    <col min="10756" max="10756" width="28.625" style="137" customWidth="1"/>
    <col min="10757" max="10757" width="8.125" style="137" customWidth="1"/>
    <col min="10758" max="10758" width="7.5" style="137" customWidth="1"/>
    <col min="10759" max="10760" width="14.875" style="137" customWidth="1"/>
    <col min="10761" max="10761" width="6.625" style="137" customWidth="1"/>
    <col min="10762" max="10762" width="13.25" style="137" customWidth="1"/>
    <col min="10763" max="10763" width="17" style="137" customWidth="1"/>
    <col min="10764" max="11008" width="9.625" style="137"/>
    <col min="11009" max="11009" width="4.625" style="137" customWidth="1"/>
    <col min="11010" max="11010" width="1.875" style="137" customWidth="1"/>
    <col min="11011" max="11011" width="30.625" style="137" customWidth="1"/>
    <col min="11012" max="11012" width="28.625" style="137" customWidth="1"/>
    <col min="11013" max="11013" width="8.125" style="137" customWidth="1"/>
    <col min="11014" max="11014" width="7.5" style="137" customWidth="1"/>
    <col min="11015" max="11016" width="14.875" style="137" customWidth="1"/>
    <col min="11017" max="11017" width="6.625" style="137" customWidth="1"/>
    <col min="11018" max="11018" width="13.25" style="137" customWidth="1"/>
    <col min="11019" max="11019" width="17" style="137" customWidth="1"/>
    <col min="11020" max="11264" width="9.625" style="137"/>
    <col min="11265" max="11265" width="4.625" style="137" customWidth="1"/>
    <col min="11266" max="11266" width="1.875" style="137" customWidth="1"/>
    <col min="11267" max="11267" width="30.625" style="137" customWidth="1"/>
    <col min="11268" max="11268" width="28.625" style="137" customWidth="1"/>
    <col min="11269" max="11269" width="8.125" style="137" customWidth="1"/>
    <col min="11270" max="11270" width="7.5" style="137" customWidth="1"/>
    <col min="11271" max="11272" width="14.875" style="137" customWidth="1"/>
    <col min="11273" max="11273" width="6.625" style="137" customWidth="1"/>
    <col min="11274" max="11274" width="13.25" style="137" customWidth="1"/>
    <col min="11275" max="11275" width="17" style="137" customWidth="1"/>
    <col min="11276" max="11520" width="9.625" style="137"/>
    <col min="11521" max="11521" width="4.625" style="137" customWidth="1"/>
    <col min="11522" max="11522" width="1.875" style="137" customWidth="1"/>
    <col min="11523" max="11523" width="30.625" style="137" customWidth="1"/>
    <col min="11524" max="11524" width="28.625" style="137" customWidth="1"/>
    <col min="11525" max="11525" width="8.125" style="137" customWidth="1"/>
    <col min="11526" max="11526" width="7.5" style="137" customWidth="1"/>
    <col min="11527" max="11528" width="14.875" style="137" customWidth="1"/>
    <col min="11529" max="11529" width="6.625" style="137" customWidth="1"/>
    <col min="11530" max="11530" width="13.25" style="137" customWidth="1"/>
    <col min="11531" max="11531" width="17" style="137" customWidth="1"/>
    <col min="11532" max="11776" width="9.625" style="137"/>
    <col min="11777" max="11777" width="4.625" style="137" customWidth="1"/>
    <col min="11778" max="11778" width="1.875" style="137" customWidth="1"/>
    <col min="11779" max="11779" width="30.625" style="137" customWidth="1"/>
    <col min="11780" max="11780" width="28.625" style="137" customWidth="1"/>
    <col min="11781" max="11781" width="8.125" style="137" customWidth="1"/>
    <col min="11782" max="11782" width="7.5" style="137" customWidth="1"/>
    <col min="11783" max="11784" width="14.875" style="137" customWidth="1"/>
    <col min="11785" max="11785" width="6.625" style="137" customWidth="1"/>
    <col min="11786" max="11786" width="13.25" style="137" customWidth="1"/>
    <col min="11787" max="11787" width="17" style="137" customWidth="1"/>
    <col min="11788" max="12032" width="9.625" style="137"/>
    <col min="12033" max="12033" width="4.625" style="137" customWidth="1"/>
    <col min="12034" max="12034" width="1.875" style="137" customWidth="1"/>
    <col min="12035" max="12035" width="30.625" style="137" customWidth="1"/>
    <col min="12036" max="12036" width="28.625" style="137" customWidth="1"/>
    <col min="12037" max="12037" width="8.125" style="137" customWidth="1"/>
    <col min="12038" max="12038" width="7.5" style="137" customWidth="1"/>
    <col min="12039" max="12040" width="14.875" style="137" customWidth="1"/>
    <col min="12041" max="12041" width="6.625" style="137" customWidth="1"/>
    <col min="12042" max="12042" width="13.25" style="137" customWidth="1"/>
    <col min="12043" max="12043" width="17" style="137" customWidth="1"/>
    <col min="12044" max="12288" width="9.625" style="137"/>
    <col min="12289" max="12289" width="4.625" style="137" customWidth="1"/>
    <col min="12290" max="12290" width="1.875" style="137" customWidth="1"/>
    <col min="12291" max="12291" width="30.625" style="137" customWidth="1"/>
    <col min="12292" max="12292" width="28.625" style="137" customWidth="1"/>
    <col min="12293" max="12293" width="8.125" style="137" customWidth="1"/>
    <col min="12294" max="12294" width="7.5" style="137" customWidth="1"/>
    <col min="12295" max="12296" width="14.875" style="137" customWidth="1"/>
    <col min="12297" max="12297" width="6.625" style="137" customWidth="1"/>
    <col min="12298" max="12298" width="13.25" style="137" customWidth="1"/>
    <col min="12299" max="12299" width="17" style="137" customWidth="1"/>
    <col min="12300" max="12544" width="9.625" style="137"/>
    <col min="12545" max="12545" width="4.625" style="137" customWidth="1"/>
    <col min="12546" max="12546" width="1.875" style="137" customWidth="1"/>
    <col min="12547" max="12547" width="30.625" style="137" customWidth="1"/>
    <col min="12548" max="12548" width="28.625" style="137" customWidth="1"/>
    <col min="12549" max="12549" width="8.125" style="137" customWidth="1"/>
    <col min="12550" max="12550" width="7.5" style="137" customWidth="1"/>
    <col min="12551" max="12552" width="14.875" style="137" customWidth="1"/>
    <col min="12553" max="12553" width="6.625" style="137" customWidth="1"/>
    <col min="12554" max="12554" width="13.25" style="137" customWidth="1"/>
    <col min="12555" max="12555" width="17" style="137" customWidth="1"/>
    <col min="12556" max="12800" width="9.625" style="137"/>
    <col min="12801" max="12801" width="4.625" style="137" customWidth="1"/>
    <col min="12802" max="12802" width="1.875" style="137" customWidth="1"/>
    <col min="12803" max="12803" width="30.625" style="137" customWidth="1"/>
    <col min="12804" max="12804" width="28.625" style="137" customWidth="1"/>
    <col min="12805" max="12805" width="8.125" style="137" customWidth="1"/>
    <col min="12806" max="12806" width="7.5" style="137" customWidth="1"/>
    <col min="12807" max="12808" width="14.875" style="137" customWidth="1"/>
    <col min="12809" max="12809" width="6.625" style="137" customWidth="1"/>
    <col min="12810" max="12810" width="13.25" style="137" customWidth="1"/>
    <col min="12811" max="12811" width="17" style="137" customWidth="1"/>
    <col min="12812" max="13056" width="9.625" style="137"/>
    <col min="13057" max="13057" width="4.625" style="137" customWidth="1"/>
    <col min="13058" max="13058" width="1.875" style="137" customWidth="1"/>
    <col min="13059" max="13059" width="30.625" style="137" customWidth="1"/>
    <col min="13060" max="13060" width="28.625" style="137" customWidth="1"/>
    <col min="13061" max="13061" width="8.125" style="137" customWidth="1"/>
    <col min="13062" max="13062" width="7.5" style="137" customWidth="1"/>
    <col min="13063" max="13064" width="14.875" style="137" customWidth="1"/>
    <col min="13065" max="13065" width="6.625" style="137" customWidth="1"/>
    <col min="13066" max="13066" width="13.25" style="137" customWidth="1"/>
    <col min="13067" max="13067" width="17" style="137" customWidth="1"/>
    <col min="13068" max="13312" width="9.625" style="137"/>
    <col min="13313" max="13313" width="4.625" style="137" customWidth="1"/>
    <col min="13314" max="13314" width="1.875" style="137" customWidth="1"/>
    <col min="13315" max="13315" width="30.625" style="137" customWidth="1"/>
    <col min="13316" max="13316" width="28.625" style="137" customWidth="1"/>
    <col min="13317" max="13317" width="8.125" style="137" customWidth="1"/>
    <col min="13318" max="13318" width="7.5" style="137" customWidth="1"/>
    <col min="13319" max="13320" width="14.875" style="137" customWidth="1"/>
    <col min="13321" max="13321" width="6.625" style="137" customWidth="1"/>
    <col min="13322" max="13322" width="13.25" style="137" customWidth="1"/>
    <col min="13323" max="13323" width="17" style="137" customWidth="1"/>
    <col min="13324" max="13568" width="9.625" style="137"/>
    <col min="13569" max="13569" width="4.625" style="137" customWidth="1"/>
    <col min="13570" max="13570" width="1.875" style="137" customWidth="1"/>
    <col min="13571" max="13571" width="30.625" style="137" customWidth="1"/>
    <col min="13572" max="13572" width="28.625" style="137" customWidth="1"/>
    <col min="13573" max="13573" width="8.125" style="137" customWidth="1"/>
    <col min="13574" max="13574" width="7.5" style="137" customWidth="1"/>
    <col min="13575" max="13576" width="14.875" style="137" customWidth="1"/>
    <col min="13577" max="13577" width="6.625" style="137" customWidth="1"/>
    <col min="13578" max="13578" width="13.25" style="137" customWidth="1"/>
    <col min="13579" max="13579" width="17" style="137" customWidth="1"/>
    <col min="13580" max="13824" width="9.625" style="137"/>
    <col min="13825" max="13825" width="4.625" style="137" customWidth="1"/>
    <col min="13826" max="13826" width="1.875" style="137" customWidth="1"/>
    <col min="13827" max="13827" width="30.625" style="137" customWidth="1"/>
    <col min="13828" max="13828" width="28.625" style="137" customWidth="1"/>
    <col min="13829" max="13829" width="8.125" style="137" customWidth="1"/>
    <col min="13830" max="13830" width="7.5" style="137" customWidth="1"/>
    <col min="13831" max="13832" width="14.875" style="137" customWidth="1"/>
    <col min="13833" max="13833" width="6.625" style="137" customWidth="1"/>
    <col min="13834" max="13834" width="13.25" style="137" customWidth="1"/>
    <col min="13835" max="13835" width="17" style="137" customWidth="1"/>
    <col min="13836" max="14080" width="9.625" style="137"/>
    <col min="14081" max="14081" width="4.625" style="137" customWidth="1"/>
    <col min="14082" max="14082" width="1.875" style="137" customWidth="1"/>
    <col min="14083" max="14083" width="30.625" style="137" customWidth="1"/>
    <col min="14084" max="14084" width="28.625" style="137" customWidth="1"/>
    <col min="14085" max="14085" width="8.125" style="137" customWidth="1"/>
    <col min="14086" max="14086" width="7.5" style="137" customWidth="1"/>
    <col min="14087" max="14088" width="14.875" style="137" customWidth="1"/>
    <col min="14089" max="14089" width="6.625" style="137" customWidth="1"/>
    <col min="14090" max="14090" width="13.25" style="137" customWidth="1"/>
    <col min="14091" max="14091" width="17" style="137" customWidth="1"/>
    <col min="14092" max="14336" width="9.625" style="137"/>
    <col min="14337" max="14337" width="4.625" style="137" customWidth="1"/>
    <col min="14338" max="14338" width="1.875" style="137" customWidth="1"/>
    <col min="14339" max="14339" width="30.625" style="137" customWidth="1"/>
    <col min="14340" max="14340" width="28.625" style="137" customWidth="1"/>
    <col min="14341" max="14341" width="8.125" style="137" customWidth="1"/>
    <col min="14342" max="14342" width="7.5" style="137" customWidth="1"/>
    <col min="14343" max="14344" width="14.875" style="137" customWidth="1"/>
    <col min="14345" max="14345" width="6.625" style="137" customWidth="1"/>
    <col min="14346" max="14346" width="13.25" style="137" customWidth="1"/>
    <col min="14347" max="14347" width="17" style="137" customWidth="1"/>
    <col min="14348" max="14592" width="9.625" style="137"/>
    <col min="14593" max="14593" width="4.625" style="137" customWidth="1"/>
    <col min="14594" max="14594" width="1.875" style="137" customWidth="1"/>
    <col min="14595" max="14595" width="30.625" style="137" customWidth="1"/>
    <col min="14596" max="14596" width="28.625" style="137" customWidth="1"/>
    <col min="14597" max="14597" width="8.125" style="137" customWidth="1"/>
    <col min="14598" max="14598" width="7.5" style="137" customWidth="1"/>
    <col min="14599" max="14600" width="14.875" style="137" customWidth="1"/>
    <col min="14601" max="14601" width="6.625" style="137" customWidth="1"/>
    <col min="14602" max="14602" width="13.25" style="137" customWidth="1"/>
    <col min="14603" max="14603" width="17" style="137" customWidth="1"/>
    <col min="14604" max="14848" width="9.625" style="137"/>
    <col min="14849" max="14849" width="4.625" style="137" customWidth="1"/>
    <col min="14850" max="14850" width="1.875" style="137" customWidth="1"/>
    <col min="14851" max="14851" width="30.625" style="137" customWidth="1"/>
    <col min="14852" max="14852" width="28.625" style="137" customWidth="1"/>
    <col min="14853" max="14853" width="8.125" style="137" customWidth="1"/>
    <col min="14854" max="14854" width="7.5" style="137" customWidth="1"/>
    <col min="14855" max="14856" width="14.875" style="137" customWidth="1"/>
    <col min="14857" max="14857" width="6.625" style="137" customWidth="1"/>
    <col min="14858" max="14858" width="13.25" style="137" customWidth="1"/>
    <col min="14859" max="14859" width="17" style="137" customWidth="1"/>
    <col min="14860" max="15104" width="9.625" style="137"/>
    <col min="15105" max="15105" width="4.625" style="137" customWidth="1"/>
    <col min="15106" max="15106" width="1.875" style="137" customWidth="1"/>
    <col min="15107" max="15107" width="30.625" style="137" customWidth="1"/>
    <col min="15108" max="15108" width="28.625" style="137" customWidth="1"/>
    <col min="15109" max="15109" width="8.125" style="137" customWidth="1"/>
    <col min="15110" max="15110" width="7.5" style="137" customWidth="1"/>
    <col min="15111" max="15112" width="14.875" style="137" customWidth="1"/>
    <col min="15113" max="15113" width="6.625" style="137" customWidth="1"/>
    <col min="15114" max="15114" width="13.25" style="137" customWidth="1"/>
    <col min="15115" max="15115" width="17" style="137" customWidth="1"/>
    <col min="15116" max="15360" width="9.625" style="137"/>
    <col min="15361" max="15361" width="4.625" style="137" customWidth="1"/>
    <col min="15362" max="15362" width="1.875" style="137" customWidth="1"/>
    <col min="15363" max="15363" width="30.625" style="137" customWidth="1"/>
    <col min="15364" max="15364" width="28.625" style="137" customWidth="1"/>
    <col min="15365" max="15365" width="8.125" style="137" customWidth="1"/>
    <col min="15366" max="15366" width="7.5" style="137" customWidth="1"/>
    <col min="15367" max="15368" width="14.875" style="137" customWidth="1"/>
    <col min="15369" max="15369" width="6.625" style="137" customWidth="1"/>
    <col min="15370" max="15370" width="13.25" style="137" customWidth="1"/>
    <col min="15371" max="15371" width="17" style="137" customWidth="1"/>
    <col min="15372" max="15616" width="9.625" style="137"/>
    <col min="15617" max="15617" width="4.625" style="137" customWidth="1"/>
    <col min="15618" max="15618" width="1.875" style="137" customWidth="1"/>
    <col min="15619" max="15619" width="30.625" style="137" customWidth="1"/>
    <col min="15620" max="15620" width="28.625" style="137" customWidth="1"/>
    <col min="15621" max="15621" width="8.125" style="137" customWidth="1"/>
    <col min="15622" max="15622" width="7.5" style="137" customWidth="1"/>
    <col min="15623" max="15624" width="14.875" style="137" customWidth="1"/>
    <col min="15625" max="15625" width="6.625" style="137" customWidth="1"/>
    <col min="15626" max="15626" width="13.25" style="137" customWidth="1"/>
    <col min="15627" max="15627" width="17" style="137" customWidth="1"/>
    <col min="15628" max="15872" width="9.625" style="137"/>
    <col min="15873" max="15873" width="4.625" style="137" customWidth="1"/>
    <col min="15874" max="15874" width="1.875" style="137" customWidth="1"/>
    <col min="15875" max="15875" width="30.625" style="137" customWidth="1"/>
    <col min="15876" max="15876" width="28.625" style="137" customWidth="1"/>
    <col min="15877" max="15877" width="8.125" style="137" customWidth="1"/>
    <col min="15878" max="15878" width="7.5" style="137" customWidth="1"/>
    <col min="15879" max="15880" width="14.875" style="137" customWidth="1"/>
    <col min="15881" max="15881" width="6.625" style="137" customWidth="1"/>
    <col min="15882" max="15882" width="13.25" style="137" customWidth="1"/>
    <col min="15883" max="15883" width="17" style="137" customWidth="1"/>
    <col min="15884" max="16128" width="9.625" style="137"/>
    <col min="16129" max="16129" width="4.625" style="137" customWidth="1"/>
    <col min="16130" max="16130" width="1.875" style="137" customWidth="1"/>
    <col min="16131" max="16131" width="30.625" style="137" customWidth="1"/>
    <col min="16132" max="16132" width="28.625" style="137" customWidth="1"/>
    <col min="16133" max="16133" width="8.125" style="137" customWidth="1"/>
    <col min="16134" max="16134" width="7.5" style="137" customWidth="1"/>
    <col min="16135" max="16136" width="14.875" style="137" customWidth="1"/>
    <col min="16137" max="16137" width="6.625" style="137" customWidth="1"/>
    <col min="16138" max="16138" width="13.25" style="137" customWidth="1"/>
    <col min="16139" max="16139" width="17" style="137" customWidth="1"/>
    <col min="16140" max="16384" width="9.625" style="137"/>
  </cols>
  <sheetData>
    <row r="2" spans="1:11">
      <c r="K2" s="4" t="s">
        <v>0</v>
      </c>
    </row>
    <row r="3" spans="1:11">
      <c r="K3" s="5" t="s">
        <v>264</v>
      </c>
    </row>
    <row r="5" spans="1:11" ht="45">
      <c r="A5" s="225" t="s">
        <v>1</v>
      </c>
      <c r="B5" s="225"/>
      <c r="C5" s="225"/>
      <c r="D5" s="225"/>
      <c r="E5" s="225"/>
      <c r="F5" s="225"/>
      <c r="G5" s="225"/>
      <c r="H5" s="225"/>
      <c r="I5" s="225"/>
      <c r="J5" s="225"/>
      <c r="K5" s="225"/>
    </row>
    <row r="8" spans="1:11" s="6" customFormat="1" ht="33">
      <c r="A8" s="226" t="s">
        <v>259</v>
      </c>
      <c r="B8" s="226"/>
      <c r="C8" s="226"/>
      <c r="D8" s="226"/>
      <c r="E8" s="226"/>
      <c r="F8" s="226"/>
      <c r="G8" s="226"/>
      <c r="H8" s="226"/>
      <c r="I8" s="226"/>
      <c r="J8" s="226"/>
      <c r="K8" s="226"/>
    </row>
    <row r="9" spans="1:11" s="6" customFormat="1" ht="33">
      <c r="A9" s="226" t="s">
        <v>260</v>
      </c>
      <c r="B9" s="226"/>
      <c r="C9" s="226"/>
      <c r="D9" s="226"/>
      <c r="E9" s="226"/>
      <c r="F9" s="226"/>
      <c r="G9" s="226"/>
      <c r="H9" s="226"/>
      <c r="I9" s="226"/>
      <c r="J9" s="226"/>
      <c r="K9" s="226"/>
    </row>
    <row r="20" spans="1:11" ht="12.75" thickBot="1">
      <c r="A20" s="227" t="s">
        <v>228</v>
      </c>
      <c r="B20" s="227"/>
      <c r="C20" s="227"/>
      <c r="D20" s="181" t="s">
        <v>272</v>
      </c>
      <c r="E20" s="7"/>
      <c r="F20" s="7"/>
      <c r="G20" s="7"/>
      <c r="H20" s="7"/>
      <c r="I20" s="7"/>
      <c r="J20" s="7"/>
      <c r="K20" s="7"/>
    </row>
    <row r="21" spans="1:11" ht="12.75" thickBot="1">
      <c r="C21" s="159" t="s">
        <v>229</v>
      </c>
      <c r="D21" s="182" t="s">
        <v>281</v>
      </c>
    </row>
    <row r="22" spans="1:11" ht="12.75" thickBot="1">
      <c r="C22" s="159" t="s">
        <v>282</v>
      </c>
      <c r="D22" s="182" t="s">
        <v>283</v>
      </c>
    </row>
    <row r="23" spans="1:11" ht="12.75" thickBot="1">
      <c r="C23" s="159" t="s">
        <v>231</v>
      </c>
      <c r="D23" s="182" t="s">
        <v>284</v>
      </c>
    </row>
    <row r="31" spans="1:11">
      <c r="C31" s="137" t="s">
        <v>2</v>
      </c>
    </row>
    <row r="36" spans="1:11" ht="30">
      <c r="A36" s="228" t="s">
        <v>237</v>
      </c>
      <c r="B36" s="228"/>
      <c r="C36" s="228"/>
      <c r="D36" s="228"/>
      <c r="E36" s="228"/>
      <c r="F36" s="228"/>
      <c r="G36" s="228"/>
      <c r="H36" s="228"/>
      <c r="I36" s="228"/>
      <c r="J36" s="228"/>
      <c r="K36" s="228"/>
    </row>
    <row r="39" spans="1:11">
      <c r="A39" s="8"/>
      <c r="C39" s="9"/>
      <c r="E39" s="8"/>
      <c r="F39" s="10"/>
      <c r="G39" s="11"/>
      <c r="H39" s="12"/>
      <c r="I39" s="10"/>
      <c r="J39" s="11"/>
      <c r="K39" s="12"/>
    </row>
    <row r="40" spans="1:11">
      <c r="A40" s="13"/>
      <c r="G40" s="14"/>
      <c r="K40" s="15" t="s">
        <v>3</v>
      </c>
    </row>
    <row r="41" spans="1:11">
      <c r="A41" s="224" t="s">
        <v>4</v>
      </c>
      <c r="B41" s="224"/>
      <c r="C41" s="224"/>
      <c r="D41" s="224"/>
      <c r="E41" s="224"/>
      <c r="F41" s="224"/>
      <c r="G41" s="224"/>
      <c r="H41" s="224"/>
      <c r="I41" s="224"/>
      <c r="J41" s="224"/>
      <c r="K41" s="224"/>
    </row>
    <row r="42" spans="1:11">
      <c r="A42" s="16" t="s">
        <v>5</v>
      </c>
      <c r="C42" s="137" t="str">
        <f>$D$20</f>
        <v>University of Colorado</v>
      </c>
      <c r="G42" s="14"/>
      <c r="I42" s="17"/>
      <c r="J42" s="14"/>
      <c r="K42" s="18" t="str">
        <f>$K$3</f>
        <v>Date: October 09, 2017</v>
      </c>
    </row>
    <row r="43" spans="1:11">
      <c r="A43" s="19" t="s">
        <v>6</v>
      </c>
      <c r="B43" s="19" t="s">
        <v>6</v>
      </c>
      <c r="C43" s="19" t="s">
        <v>6</v>
      </c>
      <c r="D43" s="19" t="s">
        <v>6</v>
      </c>
      <c r="E43" s="19" t="s">
        <v>6</v>
      </c>
      <c r="F43" s="19" t="s">
        <v>6</v>
      </c>
      <c r="G43" s="20" t="s">
        <v>6</v>
      </c>
      <c r="H43" s="21" t="s">
        <v>6</v>
      </c>
      <c r="I43" s="19" t="s">
        <v>6</v>
      </c>
      <c r="J43" s="20" t="s">
        <v>6</v>
      </c>
      <c r="K43" s="21" t="s">
        <v>6</v>
      </c>
    </row>
    <row r="44" spans="1:11">
      <c r="A44" s="22" t="s">
        <v>7</v>
      </c>
      <c r="C44" s="9" t="s">
        <v>8</v>
      </c>
      <c r="E44" s="22" t="s">
        <v>7</v>
      </c>
      <c r="F44" s="23"/>
      <c r="G44" s="24"/>
      <c r="H44" s="25" t="s">
        <v>257</v>
      </c>
      <c r="I44" s="23"/>
      <c r="J44" s="24"/>
      <c r="K44" s="25" t="s">
        <v>261</v>
      </c>
    </row>
    <row r="45" spans="1:11">
      <c r="A45" s="22" t="s">
        <v>9</v>
      </c>
      <c r="C45" s="26" t="s">
        <v>10</v>
      </c>
      <c r="E45" s="22" t="s">
        <v>9</v>
      </c>
      <c r="F45" s="23"/>
      <c r="G45" s="24" t="s">
        <v>11</v>
      </c>
      <c r="H45" s="25" t="s">
        <v>12</v>
      </c>
      <c r="I45" s="23"/>
      <c r="J45" s="24" t="s">
        <v>11</v>
      </c>
      <c r="K45" s="25" t="s">
        <v>13</v>
      </c>
    </row>
    <row r="46" spans="1:11">
      <c r="A46" s="19" t="s">
        <v>6</v>
      </c>
      <c r="B46" s="19" t="s">
        <v>6</v>
      </c>
      <c r="C46" s="19" t="s">
        <v>6</v>
      </c>
      <c r="D46" s="19" t="s">
        <v>6</v>
      </c>
      <c r="E46" s="19" t="s">
        <v>6</v>
      </c>
      <c r="F46" s="19" t="s">
        <v>6</v>
      </c>
      <c r="G46" s="20" t="s">
        <v>6</v>
      </c>
      <c r="H46" s="21" t="s">
        <v>6</v>
      </c>
      <c r="I46" s="19" t="s">
        <v>6</v>
      </c>
      <c r="J46" s="20" t="s">
        <v>6</v>
      </c>
      <c r="K46" s="21" t="s">
        <v>6</v>
      </c>
    </row>
    <row r="47" spans="1:11">
      <c r="A47" s="8">
        <v>1</v>
      </c>
      <c r="C47" s="9" t="s">
        <v>14</v>
      </c>
      <c r="D47" s="27" t="s">
        <v>15</v>
      </c>
      <c r="E47" s="8">
        <v>1</v>
      </c>
      <c r="G47" s="92">
        <v>0</v>
      </c>
      <c r="H47" s="92">
        <v>0</v>
      </c>
      <c r="I47" s="30"/>
      <c r="J47" s="92">
        <v>0</v>
      </c>
      <c r="K47" s="92">
        <v>0</v>
      </c>
    </row>
    <row r="48" spans="1:11">
      <c r="A48" s="8">
        <v>2</v>
      </c>
      <c r="C48" s="9" t="s">
        <v>16</v>
      </c>
      <c r="D48" s="27" t="s">
        <v>17</v>
      </c>
      <c r="E48" s="8">
        <v>2</v>
      </c>
      <c r="G48" s="92">
        <v>0</v>
      </c>
      <c r="H48" s="92">
        <v>0</v>
      </c>
      <c r="I48" s="30"/>
      <c r="J48" s="92">
        <v>0</v>
      </c>
      <c r="K48" s="92">
        <v>0</v>
      </c>
    </row>
    <row r="49" spans="1:15">
      <c r="A49" s="8">
        <v>3</v>
      </c>
      <c r="C49" s="9" t="s">
        <v>18</v>
      </c>
      <c r="D49" s="27" t="s">
        <v>19</v>
      </c>
      <c r="E49" s="8">
        <v>3</v>
      </c>
      <c r="G49" s="92">
        <v>0</v>
      </c>
      <c r="H49" s="92">
        <v>0</v>
      </c>
      <c r="I49" s="30"/>
      <c r="J49" s="92">
        <v>0</v>
      </c>
      <c r="K49" s="92">
        <v>0</v>
      </c>
    </row>
    <row r="50" spans="1:15">
      <c r="A50" s="8">
        <v>4</v>
      </c>
      <c r="C50" s="9" t="s">
        <v>20</v>
      </c>
      <c r="D50" s="27" t="s">
        <v>21</v>
      </c>
      <c r="E50" s="8">
        <v>4</v>
      </c>
      <c r="G50" s="92">
        <v>0</v>
      </c>
      <c r="H50" s="92">
        <v>0</v>
      </c>
      <c r="I50" s="30"/>
      <c r="J50" s="92">
        <v>0</v>
      </c>
      <c r="K50" s="92">
        <v>0</v>
      </c>
    </row>
    <row r="51" spans="1:15">
      <c r="A51" s="8">
        <v>5</v>
      </c>
      <c r="C51" s="9" t="s">
        <v>22</v>
      </c>
      <c r="D51" s="27" t="s">
        <v>23</v>
      </c>
      <c r="E51" s="8">
        <v>5</v>
      </c>
      <c r="G51" s="92">
        <v>0</v>
      </c>
      <c r="H51" s="92">
        <v>0</v>
      </c>
      <c r="I51" s="30"/>
      <c r="J51" s="92">
        <v>0</v>
      </c>
      <c r="K51" s="92">
        <v>0</v>
      </c>
    </row>
    <row r="52" spans="1:15">
      <c r="A52" s="8">
        <v>6</v>
      </c>
      <c r="C52" s="9" t="s">
        <v>24</v>
      </c>
      <c r="D52" s="27" t="s">
        <v>25</v>
      </c>
      <c r="E52" s="8">
        <v>6</v>
      </c>
      <c r="G52" s="92">
        <v>0</v>
      </c>
      <c r="H52" s="92">
        <v>0</v>
      </c>
      <c r="I52" s="30"/>
      <c r="J52" s="92">
        <v>0</v>
      </c>
      <c r="K52" s="92">
        <v>0</v>
      </c>
    </row>
    <row r="53" spans="1:15">
      <c r="A53" s="8">
        <v>7</v>
      </c>
      <c r="C53" s="9" t="s">
        <v>26</v>
      </c>
      <c r="D53" s="27" t="s">
        <v>27</v>
      </c>
      <c r="E53" s="8">
        <v>7</v>
      </c>
      <c r="G53" s="92">
        <v>0</v>
      </c>
      <c r="H53" s="92">
        <v>0</v>
      </c>
      <c r="I53" s="30"/>
      <c r="J53" s="92">
        <v>0</v>
      </c>
      <c r="K53" s="92">
        <v>0</v>
      </c>
    </row>
    <row r="54" spans="1:15">
      <c r="A54" s="8">
        <v>8</v>
      </c>
      <c r="C54" s="9" t="s">
        <v>28</v>
      </c>
      <c r="D54" s="27" t="s">
        <v>29</v>
      </c>
      <c r="E54" s="8">
        <v>8</v>
      </c>
      <c r="G54" s="92">
        <v>0</v>
      </c>
      <c r="H54" s="92">
        <v>0</v>
      </c>
      <c r="I54" s="30"/>
      <c r="J54" s="92">
        <v>0</v>
      </c>
      <c r="K54" s="92">
        <v>0</v>
      </c>
    </row>
    <row r="55" spans="1:15">
      <c r="A55" s="8">
        <v>9</v>
      </c>
      <c r="C55" s="9" t="s">
        <v>30</v>
      </c>
      <c r="D55" s="27" t="s">
        <v>31</v>
      </c>
      <c r="E55" s="8">
        <v>9</v>
      </c>
      <c r="G55" s="93">
        <v>0</v>
      </c>
      <c r="H55" s="93">
        <v>0</v>
      </c>
      <c r="I55" s="30" t="s">
        <v>38</v>
      </c>
      <c r="J55" s="93">
        <v>0</v>
      </c>
      <c r="K55" s="93">
        <v>0</v>
      </c>
    </row>
    <row r="56" spans="1:15">
      <c r="A56" s="8">
        <v>10</v>
      </c>
      <c r="C56" s="9" t="s">
        <v>32</v>
      </c>
      <c r="D56" s="27" t="s">
        <v>33</v>
      </c>
      <c r="E56" s="8">
        <v>10</v>
      </c>
      <c r="G56" s="92">
        <v>0</v>
      </c>
      <c r="H56" s="92">
        <v>0</v>
      </c>
      <c r="I56" s="30"/>
      <c r="J56" s="92">
        <v>0</v>
      </c>
      <c r="K56" s="92">
        <v>0</v>
      </c>
    </row>
    <row r="57" spans="1:15">
      <c r="A57" s="8"/>
      <c r="C57" s="9"/>
      <c r="D57" s="27"/>
      <c r="E57" s="8"/>
      <c r="F57" s="19" t="s">
        <v>6</v>
      </c>
      <c r="G57" s="20" t="s">
        <v>6</v>
      </c>
      <c r="H57" s="49"/>
      <c r="I57" s="28"/>
      <c r="J57" s="20"/>
      <c r="K57" s="49"/>
    </row>
    <row r="58" spans="1:15" ht="15" customHeight="1">
      <c r="A58" s="137">
        <v>11</v>
      </c>
      <c r="C58" s="9" t="s">
        <v>34</v>
      </c>
      <c r="E58" s="137">
        <v>11</v>
      </c>
      <c r="G58" s="92">
        <v>0</v>
      </c>
      <c r="H58" s="93">
        <v>0</v>
      </c>
      <c r="I58" s="30"/>
      <c r="J58" s="92">
        <v>0</v>
      </c>
      <c r="K58" s="93">
        <v>0</v>
      </c>
    </row>
    <row r="59" spans="1:15">
      <c r="A59" s="8"/>
      <c r="E59" s="8"/>
      <c r="F59" s="19" t="s">
        <v>6</v>
      </c>
      <c r="G59" s="20" t="s">
        <v>6</v>
      </c>
      <c r="H59" s="21"/>
      <c r="I59" s="28"/>
      <c r="J59" s="20"/>
      <c r="K59" s="21"/>
    </row>
    <row r="60" spans="1:15">
      <c r="A60" s="8"/>
      <c r="E60" s="8"/>
      <c r="F60" s="19"/>
      <c r="G60" s="14"/>
      <c r="H60" s="21"/>
      <c r="I60" s="28"/>
      <c r="J60" s="14"/>
      <c r="K60" s="21"/>
    </row>
    <row r="61" spans="1:15">
      <c r="A61" s="137">
        <v>12</v>
      </c>
      <c r="C61" s="9" t="s">
        <v>35</v>
      </c>
      <c r="E61" s="137">
        <v>12</v>
      </c>
      <c r="G61" s="29"/>
      <c r="H61" s="29"/>
      <c r="I61" s="30"/>
      <c r="J61" s="92"/>
      <c r="K61" s="29"/>
    </row>
    <row r="62" spans="1:15">
      <c r="A62" s="8">
        <v>13</v>
      </c>
      <c r="C62" s="9" t="s">
        <v>36</v>
      </c>
      <c r="D62" s="27" t="s">
        <v>37</v>
      </c>
      <c r="E62" s="8">
        <v>13</v>
      </c>
      <c r="G62" s="50"/>
      <c r="H62" s="48">
        <v>0</v>
      </c>
      <c r="I62" s="30"/>
      <c r="J62" s="50"/>
      <c r="K62" s="48">
        <v>0</v>
      </c>
      <c r="O62" s="137" t="s">
        <v>38</v>
      </c>
    </row>
    <row r="63" spans="1:15">
      <c r="A63" s="8">
        <v>14</v>
      </c>
      <c r="C63" s="9" t="s">
        <v>39</v>
      </c>
      <c r="D63" s="27" t="s">
        <v>40</v>
      </c>
      <c r="E63" s="8">
        <v>14</v>
      </c>
      <c r="G63" s="50"/>
      <c r="H63" s="48">
        <v>0</v>
      </c>
      <c r="I63" s="30"/>
      <c r="J63" s="50"/>
      <c r="K63" s="48">
        <v>0</v>
      </c>
    </row>
    <row r="64" spans="1:15">
      <c r="A64" s="8">
        <v>15</v>
      </c>
      <c r="C64" s="9" t="s">
        <v>41</v>
      </c>
      <c r="D64" s="27"/>
      <c r="E64" s="8">
        <v>15</v>
      </c>
      <c r="G64" s="92">
        <v>0</v>
      </c>
      <c r="H64" s="48">
        <v>0</v>
      </c>
      <c r="I64" s="30"/>
      <c r="J64" s="92">
        <v>0</v>
      </c>
      <c r="K64" s="48">
        <v>0</v>
      </c>
    </row>
    <row r="65" spans="1:254">
      <c r="A65" s="8">
        <v>16</v>
      </c>
      <c r="C65" s="9" t="s">
        <v>42</v>
      </c>
      <c r="D65" s="27"/>
      <c r="E65" s="8">
        <v>16</v>
      </c>
      <c r="G65" s="50"/>
      <c r="H65" s="48">
        <v>0</v>
      </c>
      <c r="I65" s="30"/>
      <c r="J65" s="50"/>
      <c r="K65" s="48">
        <v>0</v>
      </c>
    </row>
    <row r="66" spans="1:254">
      <c r="A66" s="27">
        <v>17</v>
      </c>
      <c r="B66" s="27"/>
      <c r="C66" s="31" t="s">
        <v>43</v>
      </c>
      <c r="D66" s="27"/>
      <c r="E66" s="27">
        <v>17</v>
      </c>
      <c r="F66" s="27"/>
      <c r="G66" s="92"/>
      <c r="H66" s="93">
        <v>0</v>
      </c>
      <c r="I66" s="31"/>
      <c r="J66" s="92"/>
      <c r="K66" s="93">
        <v>0</v>
      </c>
      <c r="L66" s="27"/>
      <c r="M66" s="31"/>
      <c r="N66" s="27"/>
      <c r="O66" s="31"/>
      <c r="P66" s="27"/>
      <c r="Q66" s="31"/>
      <c r="R66" s="27"/>
      <c r="S66" s="31"/>
      <c r="T66" s="27"/>
      <c r="U66" s="31"/>
      <c r="V66" s="27"/>
      <c r="W66" s="31"/>
      <c r="X66" s="27"/>
      <c r="Y66" s="31"/>
      <c r="Z66" s="27"/>
      <c r="AA66" s="31"/>
      <c r="AB66" s="27"/>
      <c r="AC66" s="31"/>
      <c r="AD66" s="27"/>
      <c r="AE66" s="31"/>
      <c r="AF66" s="27"/>
      <c r="AG66" s="31"/>
      <c r="AH66" s="27"/>
      <c r="AI66" s="31"/>
      <c r="AJ66" s="27"/>
      <c r="AK66" s="31"/>
      <c r="AL66" s="27"/>
      <c r="AM66" s="31"/>
      <c r="AN66" s="27"/>
      <c r="AO66" s="31"/>
      <c r="AP66" s="27"/>
      <c r="AQ66" s="31"/>
      <c r="AR66" s="27"/>
      <c r="AS66" s="31"/>
      <c r="AT66" s="27"/>
      <c r="AU66" s="31"/>
      <c r="AV66" s="27"/>
      <c r="AW66" s="31"/>
      <c r="AX66" s="27"/>
      <c r="AY66" s="31"/>
      <c r="AZ66" s="27"/>
      <c r="BA66" s="31"/>
      <c r="BB66" s="27"/>
      <c r="BC66" s="31"/>
      <c r="BD66" s="27"/>
      <c r="BE66" s="31"/>
      <c r="BF66" s="27"/>
      <c r="BG66" s="31"/>
      <c r="BH66" s="27"/>
      <c r="BI66" s="31"/>
      <c r="BJ66" s="27"/>
      <c r="BK66" s="31"/>
      <c r="BL66" s="27"/>
      <c r="BM66" s="31"/>
      <c r="BN66" s="27"/>
      <c r="BO66" s="31"/>
      <c r="BP66" s="27"/>
      <c r="BQ66" s="31"/>
      <c r="BR66" s="27"/>
      <c r="BS66" s="31"/>
      <c r="BT66" s="27"/>
      <c r="BU66" s="31"/>
      <c r="BV66" s="27"/>
      <c r="BW66" s="31"/>
      <c r="BX66" s="27"/>
      <c r="BY66" s="31"/>
      <c r="BZ66" s="27"/>
      <c r="CA66" s="31"/>
      <c r="CB66" s="27"/>
      <c r="CC66" s="31"/>
      <c r="CD66" s="27"/>
      <c r="CE66" s="31"/>
      <c r="CF66" s="27"/>
      <c r="CG66" s="31"/>
      <c r="CH66" s="27"/>
      <c r="CI66" s="31"/>
      <c r="CJ66" s="27"/>
      <c r="CK66" s="31"/>
      <c r="CL66" s="27"/>
      <c r="CM66" s="31"/>
      <c r="CN66" s="27"/>
      <c r="CO66" s="31"/>
      <c r="CP66" s="27"/>
      <c r="CQ66" s="31"/>
      <c r="CR66" s="27"/>
      <c r="CS66" s="31"/>
      <c r="CT66" s="27"/>
      <c r="CU66" s="31"/>
      <c r="CV66" s="27"/>
      <c r="CW66" s="31"/>
      <c r="CX66" s="27"/>
      <c r="CY66" s="31"/>
      <c r="CZ66" s="27"/>
      <c r="DA66" s="31"/>
      <c r="DB66" s="27"/>
      <c r="DC66" s="31"/>
      <c r="DD66" s="27"/>
      <c r="DE66" s="31"/>
      <c r="DF66" s="27"/>
      <c r="DG66" s="31"/>
      <c r="DH66" s="27"/>
      <c r="DI66" s="31"/>
      <c r="DJ66" s="27"/>
      <c r="DK66" s="31"/>
      <c r="DL66" s="27"/>
      <c r="DM66" s="31"/>
      <c r="DN66" s="27"/>
      <c r="DO66" s="31"/>
      <c r="DP66" s="27"/>
      <c r="DQ66" s="31"/>
      <c r="DR66" s="27"/>
      <c r="DS66" s="31"/>
      <c r="DT66" s="27"/>
      <c r="DU66" s="31"/>
      <c r="DV66" s="27"/>
      <c r="DW66" s="31"/>
      <c r="DX66" s="27"/>
      <c r="DY66" s="31"/>
      <c r="DZ66" s="27"/>
      <c r="EA66" s="31"/>
      <c r="EB66" s="27"/>
      <c r="EC66" s="31"/>
      <c r="ED66" s="27"/>
      <c r="EE66" s="31"/>
      <c r="EF66" s="27"/>
      <c r="EG66" s="31"/>
      <c r="EH66" s="27"/>
      <c r="EI66" s="31"/>
      <c r="EJ66" s="27"/>
      <c r="EK66" s="31"/>
      <c r="EL66" s="27"/>
      <c r="EM66" s="31"/>
      <c r="EN66" s="27"/>
      <c r="EO66" s="31"/>
      <c r="EP66" s="27"/>
      <c r="EQ66" s="31"/>
      <c r="ER66" s="27"/>
      <c r="ES66" s="31"/>
      <c r="ET66" s="27"/>
      <c r="EU66" s="31"/>
      <c r="EV66" s="27"/>
      <c r="EW66" s="31"/>
      <c r="EX66" s="27"/>
      <c r="EY66" s="31"/>
      <c r="EZ66" s="27"/>
      <c r="FA66" s="31"/>
      <c r="FB66" s="27"/>
      <c r="FC66" s="31"/>
      <c r="FD66" s="27"/>
      <c r="FE66" s="31"/>
      <c r="FF66" s="27"/>
      <c r="FG66" s="31"/>
      <c r="FH66" s="27"/>
      <c r="FI66" s="31"/>
      <c r="FJ66" s="27"/>
      <c r="FK66" s="31"/>
      <c r="FL66" s="27"/>
      <c r="FM66" s="31"/>
      <c r="FN66" s="27"/>
      <c r="FO66" s="31"/>
      <c r="FP66" s="27"/>
      <c r="FQ66" s="31"/>
      <c r="FR66" s="27"/>
      <c r="FS66" s="31"/>
      <c r="FT66" s="27"/>
      <c r="FU66" s="31"/>
      <c r="FV66" s="27"/>
      <c r="FW66" s="31"/>
      <c r="FX66" s="27"/>
      <c r="FY66" s="31"/>
      <c r="FZ66" s="27"/>
      <c r="GA66" s="31"/>
      <c r="GB66" s="27"/>
      <c r="GC66" s="31"/>
      <c r="GD66" s="27"/>
      <c r="GE66" s="31"/>
      <c r="GF66" s="27"/>
      <c r="GG66" s="31"/>
      <c r="GH66" s="27"/>
      <c r="GI66" s="31"/>
      <c r="GJ66" s="27"/>
      <c r="GK66" s="31"/>
      <c r="GL66" s="27"/>
      <c r="GM66" s="31"/>
      <c r="GN66" s="27"/>
      <c r="GO66" s="31"/>
      <c r="GP66" s="27"/>
      <c r="GQ66" s="31"/>
      <c r="GR66" s="27"/>
      <c r="GS66" s="31"/>
      <c r="GT66" s="27"/>
      <c r="GU66" s="31"/>
      <c r="GV66" s="27"/>
      <c r="GW66" s="31"/>
      <c r="GX66" s="27"/>
      <c r="GY66" s="31"/>
      <c r="GZ66" s="27"/>
      <c r="HA66" s="31"/>
      <c r="HB66" s="27"/>
      <c r="HC66" s="31"/>
      <c r="HD66" s="27"/>
      <c r="HE66" s="31"/>
      <c r="HF66" s="27"/>
      <c r="HG66" s="31"/>
      <c r="HH66" s="27"/>
      <c r="HI66" s="31"/>
      <c r="HJ66" s="27"/>
      <c r="HK66" s="31"/>
      <c r="HL66" s="27"/>
      <c r="HM66" s="31"/>
      <c r="HN66" s="27"/>
      <c r="HO66" s="31"/>
      <c r="HP66" s="27"/>
      <c r="HQ66" s="31"/>
      <c r="HR66" s="27"/>
      <c r="HS66" s="31"/>
      <c r="HT66" s="27"/>
      <c r="HU66" s="31"/>
      <c r="HV66" s="27"/>
      <c r="HW66" s="31"/>
      <c r="HX66" s="27"/>
      <c r="HY66" s="31"/>
      <c r="HZ66" s="27"/>
      <c r="IA66" s="31"/>
      <c r="IB66" s="27"/>
      <c r="IC66" s="31"/>
      <c r="ID66" s="27"/>
      <c r="IE66" s="31"/>
      <c r="IF66" s="27"/>
      <c r="IG66" s="31"/>
      <c r="IH66" s="27"/>
      <c r="II66" s="31"/>
      <c r="IJ66" s="27"/>
      <c r="IK66" s="31"/>
      <c r="IL66" s="27"/>
      <c r="IM66" s="31"/>
      <c r="IN66" s="27"/>
      <c r="IO66" s="31"/>
      <c r="IP66" s="27"/>
      <c r="IQ66" s="31"/>
      <c r="IR66" s="27"/>
      <c r="IS66" s="31"/>
      <c r="IT66" s="27"/>
    </row>
    <row r="67" spans="1:254">
      <c r="A67" s="8">
        <v>18</v>
      </c>
      <c r="C67" s="9" t="s">
        <v>44</v>
      </c>
      <c r="D67" s="27"/>
      <c r="E67" s="8">
        <v>18</v>
      </c>
      <c r="G67" s="50"/>
      <c r="H67" s="48">
        <v>0</v>
      </c>
      <c r="I67" s="30"/>
      <c r="J67" s="50"/>
      <c r="K67" s="48">
        <v>0</v>
      </c>
    </row>
    <row r="68" spans="1:254">
      <c r="A68" s="8">
        <v>19</v>
      </c>
      <c r="C68" s="9" t="s">
        <v>45</v>
      </c>
      <c r="D68" s="27"/>
      <c r="E68" s="8">
        <v>19</v>
      </c>
      <c r="G68" s="50"/>
      <c r="H68" s="48">
        <v>0</v>
      </c>
      <c r="I68" s="30"/>
      <c r="J68" s="50"/>
      <c r="K68" s="48">
        <v>0</v>
      </c>
    </row>
    <row r="69" spans="1:254">
      <c r="A69" s="8">
        <v>20</v>
      </c>
      <c r="C69" s="9" t="s">
        <v>46</v>
      </c>
      <c r="D69" s="27"/>
      <c r="E69" s="8">
        <v>20</v>
      </c>
      <c r="G69" s="50"/>
      <c r="H69" s="48">
        <v>0</v>
      </c>
      <c r="I69" s="30"/>
      <c r="J69" s="50"/>
      <c r="K69" s="48">
        <v>0</v>
      </c>
    </row>
    <row r="70" spans="1:254">
      <c r="A70" s="27">
        <v>21</v>
      </c>
      <c r="C70" s="9" t="s">
        <v>47</v>
      </c>
      <c r="D70" s="27"/>
      <c r="E70" s="8">
        <v>21</v>
      </c>
      <c r="G70" s="50"/>
      <c r="H70" s="48">
        <v>0</v>
      </c>
      <c r="I70" s="30"/>
      <c r="J70" s="50"/>
      <c r="K70" s="48">
        <v>0</v>
      </c>
    </row>
    <row r="71" spans="1:254">
      <c r="A71" s="27">
        <v>22</v>
      </c>
      <c r="C71" s="9"/>
      <c r="D71" s="27"/>
      <c r="E71" s="8">
        <v>22</v>
      </c>
      <c r="G71" s="50"/>
      <c r="H71" s="48">
        <v>0</v>
      </c>
      <c r="I71" s="30" t="s">
        <v>38</v>
      </c>
      <c r="J71" s="50"/>
      <c r="K71" s="48">
        <v>0</v>
      </c>
    </row>
    <row r="72" spans="1:254">
      <c r="A72" s="8">
        <v>23</v>
      </c>
      <c r="C72" s="32"/>
      <c r="E72" s="8">
        <v>23</v>
      </c>
      <c r="F72" s="19" t="s">
        <v>6</v>
      </c>
      <c r="G72" s="20"/>
      <c r="H72" s="21"/>
      <c r="I72" s="28"/>
      <c r="J72" s="20"/>
      <c r="K72" s="21"/>
    </row>
    <row r="73" spans="1:254">
      <c r="A73" s="8">
        <v>24</v>
      </c>
      <c r="C73" s="32"/>
      <c r="D73" s="9"/>
      <c r="E73" s="8">
        <v>24</v>
      </c>
    </row>
    <row r="74" spans="1:254">
      <c r="A74" s="8">
        <v>25</v>
      </c>
      <c r="C74" s="9" t="s">
        <v>239</v>
      </c>
      <c r="D74" s="27"/>
      <c r="E74" s="8">
        <v>25</v>
      </c>
      <c r="G74" s="50"/>
      <c r="H74" s="48">
        <v>0</v>
      </c>
      <c r="I74" s="30"/>
      <c r="J74" s="50"/>
      <c r="K74" s="48">
        <v>0</v>
      </c>
    </row>
    <row r="75" spans="1:254">
      <c r="A75" s="137">
        <v>26</v>
      </c>
      <c r="E75" s="137">
        <v>26</v>
      </c>
      <c r="F75" s="19" t="s">
        <v>6</v>
      </c>
      <c r="G75" s="20"/>
      <c r="H75" s="21"/>
      <c r="I75" s="28"/>
      <c r="J75" s="20"/>
      <c r="K75" s="21"/>
    </row>
    <row r="76" spans="1:254" ht="15" customHeight="1">
      <c r="A76" s="8">
        <v>27</v>
      </c>
      <c r="C76" s="9" t="s">
        <v>48</v>
      </c>
      <c r="E76" s="8">
        <v>27</v>
      </c>
      <c r="F76" s="17"/>
      <c r="G76" s="92"/>
      <c r="H76" s="93">
        <v>0</v>
      </c>
      <c r="I76" s="29"/>
      <c r="J76" s="92"/>
      <c r="K76" s="93">
        <v>0</v>
      </c>
    </row>
    <row r="77" spans="1:254">
      <c r="F77" s="19"/>
      <c r="G77" s="20"/>
      <c r="H77" s="21"/>
      <c r="I77" s="28"/>
      <c r="J77" s="20"/>
      <c r="K77" s="21"/>
    </row>
    <row r="78" spans="1:254" ht="14.25">
      <c r="F78"/>
      <c r="G78"/>
      <c r="H78"/>
      <c r="I78"/>
      <c r="J78"/>
      <c r="K78"/>
    </row>
    <row r="79" spans="1:254" ht="30.75" customHeight="1">
      <c r="A79" s="33"/>
      <c r="B79" s="33"/>
      <c r="C79" s="221" t="s">
        <v>233</v>
      </c>
      <c r="D79" s="221"/>
      <c r="E79" s="221"/>
      <c r="F79" s="221"/>
      <c r="G79" s="221"/>
      <c r="H79" s="221"/>
      <c r="I79" s="221"/>
      <c r="J79" s="221"/>
      <c r="K79" s="34"/>
    </row>
    <row r="80" spans="1:254">
      <c r="D80" s="27"/>
      <c r="F80" s="19"/>
      <c r="G80" s="20"/>
      <c r="I80" s="28"/>
      <c r="J80" s="20"/>
      <c r="K80" s="21"/>
    </row>
    <row r="81" spans="1:15">
      <c r="C81" s="137" t="s">
        <v>49</v>
      </c>
      <c r="D81" s="27"/>
      <c r="F81" s="19"/>
      <c r="G81" s="20"/>
      <c r="I81" s="28"/>
      <c r="J81" s="20"/>
      <c r="K81" s="21"/>
    </row>
    <row r="82" spans="1:15">
      <c r="A82" s="8"/>
      <c r="C82" s="9"/>
      <c r="E82" s="8"/>
      <c r="F82" s="10"/>
      <c r="G82" s="11"/>
      <c r="H82" s="12"/>
      <c r="I82" s="10"/>
      <c r="J82" s="11"/>
      <c r="K82" s="12"/>
    </row>
    <row r="83" spans="1:15">
      <c r="A83" s="16" t="s">
        <v>285</v>
      </c>
      <c r="G83" s="14"/>
      <c r="K83" s="15" t="s">
        <v>59</v>
      </c>
    </row>
    <row r="84" spans="1:15" s="36" customFormat="1">
      <c r="A84" s="224" t="s">
        <v>60</v>
      </c>
      <c r="B84" s="224"/>
      <c r="C84" s="224"/>
      <c r="D84" s="224"/>
      <c r="E84" s="224"/>
      <c r="F84" s="224"/>
      <c r="G84" s="224"/>
      <c r="H84" s="224"/>
      <c r="I84" s="224"/>
      <c r="J84" s="224"/>
      <c r="K84" s="224"/>
    </row>
    <row r="85" spans="1:15">
      <c r="A85" s="16" t="str">
        <f>$A$42</f>
        <v xml:space="preserve">NAME: </v>
      </c>
      <c r="C85" s="137" t="str">
        <f>$D$20</f>
        <v>University of Colorado</v>
      </c>
      <c r="G85" s="14"/>
      <c r="I85" s="17"/>
      <c r="J85" s="14"/>
      <c r="K85" s="18" t="str">
        <f>$K$3</f>
        <v>Date: October 09, 2017</v>
      </c>
    </row>
    <row r="86" spans="1:15">
      <c r="A86" s="19" t="s">
        <v>6</v>
      </c>
      <c r="B86" s="19" t="s">
        <v>6</v>
      </c>
      <c r="C86" s="19" t="s">
        <v>6</v>
      </c>
      <c r="D86" s="19" t="s">
        <v>6</v>
      </c>
      <c r="E86" s="19" t="s">
        <v>6</v>
      </c>
      <c r="F86" s="19" t="s">
        <v>6</v>
      </c>
      <c r="G86" s="20" t="s">
        <v>6</v>
      </c>
      <c r="H86" s="21" t="s">
        <v>6</v>
      </c>
      <c r="I86" s="19" t="s">
        <v>6</v>
      </c>
      <c r="J86" s="20" t="s">
        <v>6</v>
      </c>
      <c r="K86" s="21" t="s">
        <v>6</v>
      </c>
    </row>
    <row r="87" spans="1:15">
      <c r="A87" s="22" t="s">
        <v>7</v>
      </c>
      <c r="C87" s="9" t="s">
        <v>8</v>
      </c>
      <c r="E87" s="22" t="s">
        <v>7</v>
      </c>
      <c r="F87" s="23"/>
      <c r="G87" s="24"/>
      <c r="H87" s="25" t="str">
        <f>H44</f>
        <v>2016-17</v>
      </c>
      <c r="I87" s="23"/>
      <c r="J87" s="24"/>
      <c r="K87" s="25" t="str">
        <f>K44</f>
        <v>2017-18</v>
      </c>
    </row>
    <row r="88" spans="1:15">
      <c r="A88" s="22" t="s">
        <v>9</v>
      </c>
      <c r="C88" s="26" t="s">
        <v>10</v>
      </c>
      <c r="E88" s="22" t="s">
        <v>9</v>
      </c>
      <c r="F88" s="23"/>
      <c r="G88" s="24" t="s">
        <v>11</v>
      </c>
      <c r="H88" s="25" t="s">
        <v>12</v>
      </c>
      <c r="I88" s="23"/>
      <c r="J88" s="24" t="s">
        <v>11</v>
      </c>
      <c r="K88" s="25" t="s">
        <v>13</v>
      </c>
    </row>
    <row r="89" spans="1:15">
      <c r="A89" s="19" t="s">
        <v>6</v>
      </c>
      <c r="B89" s="19" t="s">
        <v>6</v>
      </c>
      <c r="C89" s="19" t="s">
        <v>6</v>
      </c>
      <c r="D89" s="19" t="s">
        <v>6</v>
      </c>
      <c r="E89" s="19" t="s">
        <v>6</v>
      </c>
      <c r="F89" s="19" t="s">
        <v>6</v>
      </c>
      <c r="G89" s="20" t="s">
        <v>6</v>
      </c>
      <c r="H89" s="20" t="s">
        <v>6</v>
      </c>
      <c r="I89" s="19" t="s">
        <v>6</v>
      </c>
      <c r="J89" s="20" t="s">
        <v>6</v>
      </c>
      <c r="K89" s="21" t="s">
        <v>6</v>
      </c>
    </row>
    <row r="90" spans="1:15">
      <c r="A90" s="8">
        <v>1</v>
      </c>
      <c r="C90" s="9" t="s">
        <v>14</v>
      </c>
      <c r="D90" s="27" t="s">
        <v>15</v>
      </c>
      <c r="E90" s="8">
        <v>1</v>
      </c>
      <c r="G90" s="50">
        <f>+G533</f>
        <v>676.09</v>
      </c>
      <c r="H90" s="48">
        <f>+H533</f>
        <v>62425152</v>
      </c>
      <c r="I90" s="30"/>
      <c r="J90" s="50">
        <f>+J533</f>
        <v>679.16</v>
      </c>
      <c r="K90" s="48">
        <f>+K533</f>
        <v>67533003</v>
      </c>
    </row>
    <row r="91" spans="1:15">
      <c r="A91" s="8">
        <v>2</v>
      </c>
      <c r="C91" s="9" t="s">
        <v>16</v>
      </c>
      <c r="D91" s="27" t="s">
        <v>17</v>
      </c>
      <c r="E91" s="8">
        <v>2</v>
      </c>
      <c r="G91" s="50">
        <f>+G572</f>
        <v>2.5</v>
      </c>
      <c r="H91" s="48">
        <f>+H572</f>
        <v>713576</v>
      </c>
      <c r="I91" s="30"/>
      <c r="J91" s="50">
        <f>+J572</f>
        <v>2.5</v>
      </c>
      <c r="K91" s="48">
        <f>+K572</f>
        <v>514218</v>
      </c>
    </row>
    <row r="92" spans="1:15">
      <c r="A92" s="8">
        <v>3</v>
      </c>
      <c r="C92" s="9" t="s">
        <v>18</v>
      </c>
      <c r="D92" s="27" t="s">
        <v>19</v>
      </c>
      <c r="E92" s="8">
        <v>3</v>
      </c>
      <c r="G92" s="50">
        <f>+G609</f>
        <v>0.4</v>
      </c>
      <c r="H92" s="48">
        <f>+H609</f>
        <v>39761</v>
      </c>
      <c r="I92" s="30"/>
      <c r="J92" s="50">
        <f>+J609</f>
        <v>0.4</v>
      </c>
      <c r="K92" s="48">
        <f>+K609</f>
        <v>29708</v>
      </c>
    </row>
    <row r="93" spans="1:15">
      <c r="A93" s="8">
        <v>4</v>
      </c>
      <c r="C93" s="9" t="s">
        <v>20</v>
      </c>
      <c r="D93" s="27" t="s">
        <v>21</v>
      </c>
      <c r="E93" s="8">
        <v>4</v>
      </c>
      <c r="G93" s="50">
        <f>+G646</f>
        <v>113.66</v>
      </c>
      <c r="H93" s="48">
        <f>+H646</f>
        <v>15092310</v>
      </c>
      <c r="I93" s="30"/>
      <c r="J93" s="50">
        <f>+J646</f>
        <v>121.15</v>
      </c>
      <c r="K93" s="48">
        <f>+K646</f>
        <v>16955549</v>
      </c>
    </row>
    <row r="94" spans="1:15">
      <c r="A94" s="8">
        <v>5</v>
      </c>
      <c r="C94" s="9" t="s">
        <v>22</v>
      </c>
      <c r="D94" s="27" t="s">
        <v>23</v>
      </c>
      <c r="E94" s="8">
        <v>5</v>
      </c>
      <c r="G94" s="50">
        <f>+G683</f>
        <v>108.21</v>
      </c>
      <c r="H94" s="48">
        <f>+H683</f>
        <v>10937681</v>
      </c>
      <c r="I94" s="30"/>
      <c r="J94" s="50">
        <f>+J683</f>
        <v>94.78</v>
      </c>
      <c r="K94" s="48">
        <f>+K683</f>
        <v>11964099</v>
      </c>
    </row>
    <row r="95" spans="1:15">
      <c r="A95" s="8">
        <v>6</v>
      </c>
      <c r="C95" s="9" t="s">
        <v>24</v>
      </c>
      <c r="D95" s="27" t="s">
        <v>25</v>
      </c>
      <c r="E95" s="8">
        <v>6</v>
      </c>
      <c r="G95" s="50">
        <f>+G720</f>
        <v>104.08</v>
      </c>
      <c r="H95" s="48">
        <f>+H720</f>
        <v>20224709</v>
      </c>
      <c r="I95" s="30"/>
      <c r="J95" s="50">
        <f>+J720</f>
        <v>109.06</v>
      </c>
      <c r="K95" s="48">
        <f>+K720</f>
        <v>28540698</v>
      </c>
    </row>
    <row r="96" spans="1:15">
      <c r="A96" s="8">
        <v>7</v>
      </c>
      <c r="C96" s="9" t="s">
        <v>26</v>
      </c>
      <c r="D96" s="27" t="s">
        <v>27</v>
      </c>
      <c r="E96" s="8">
        <v>7</v>
      </c>
      <c r="G96" s="50">
        <f>+G757</f>
        <v>88.79</v>
      </c>
      <c r="H96" s="48">
        <f>+H757</f>
        <v>10532488</v>
      </c>
      <c r="I96" s="30"/>
      <c r="J96" s="50">
        <f>+J757</f>
        <v>94.29</v>
      </c>
      <c r="K96" s="48">
        <f>+K757</f>
        <v>12378898</v>
      </c>
      <c r="O96" s="137" t="s">
        <v>38</v>
      </c>
    </row>
    <row r="97" spans="1:254">
      <c r="A97" s="8">
        <v>8</v>
      </c>
      <c r="C97" s="9" t="s">
        <v>28</v>
      </c>
      <c r="D97" s="27" t="s">
        <v>29</v>
      </c>
      <c r="E97" s="8">
        <v>8</v>
      </c>
      <c r="G97" s="50">
        <f>+G794</f>
        <v>0</v>
      </c>
      <c r="H97" s="48">
        <f>+H794</f>
        <v>8199161</v>
      </c>
      <c r="I97" s="30"/>
      <c r="J97" s="50">
        <f>+J794</f>
        <v>0</v>
      </c>
      <c r="K97" s="48">
        <f>+K794</f>
        <v>9093381</v>
      </c>
    </row>
    <row r="98" spans="1:254">
      <c r="A98" s="8">
        <v>9</v>
      </c>
      <c r="C98" s="9" t="s">
        <v>30</v>
      </c>
      <c r="D98" s="27" t="s">
        <v>31</v>
      </c>
      <c r="E98" s="8">
        <v>9</v>
      </c>
      <c r="G98" s="48">
        <f>+G832</f>
        <v>0</v>
      </c>
      <c r="H98" s="48">
        <f>+H832</f>
        <v>0</v>
      </c>
      <c r="I98" s="30" t="s">
        <v>38</v>
      </c>
      <c r="J98" s="48">
        <f>+J832</f>
        <v>0</v>
      </c>
      <c r="K98" s="48">
        <f>+K832</f>
        <v>0</v>
      </c>
    </row>
    <row r="99" spans="1:254">
      <c r="A99" s="8">
        <v>10</v>
      </c>
      <c r="C99" s="9" t="s">
        <v>32</v>
      </c>
      <c r="D99" s="27" t="s">
        <v>33</v>
      </c>
      <c r="E99" s="8">
        <v>10</v>
      </c>
      <c r="G99" s="50">
        <f>+G868</f>
        <v>0</v>
      </c>
      <c r="H99" s="48">
        <f>+H868</f>
        <v>15449296</v>
      </c>
      <c r="I99" s="30"/>
      <c r="J99" s="50">
        <f>+J868</f>
        <v>0</v>
      </c>
      <c r="K99" s="48">
        <f>+K868</f>
        <v>5629258</v>
      </c>
    </row>
    <row r="100" spans="1:254">
      <c r="A100" s="8"/>
      <c r="C100" s="9"/>
      <c r="D100" s="27"/>
      <c r="E100" s="8"/>
      <c r="F100" s="19" t="s">
        <v>6</v>
      </c>
      <c r="G100" s="20" t="s">
        <v>6</v>
      </c>
      <c r="H100" s="49"/>
      <c r="I100" s="28"/>
      <c r="J100" s="20"/>
      <c r="K100" s="49"/>
    </row>
    <row r="101" spans="1:254">
      <c r="A101" s="137">
        <v>11</v>
      </c>
      <c r="C101" s="9" t="s">
        <v>61</v>
      </c>
      <c r="E101" s="137">
        <v>11</v>
      </c>
      <c r="G101" s="50">
        <f>SUM(G90:G99)</f>
        <v>1093.73</v>
      </c>
      <c r="H101" s="218">
        <f>SUM(H90:H99)</f>
        <v>143614134</v>
      </c>
      <c r="I101" s="30"/>
      <c r="J101" s="50">
        <f>SUM(J90:J99)</f>
        <v>1101.3399999999999</v>
      </c>
      <c r="K101" s="48">
        <f>SUM(K90:K99)</f>
        <v>152638812</v>
      </c>
    </row>
    <row r="102" spans="1:254">
      <c r="A102" s="8"/>
      <c r="E102" s="8"/>
      <c r="F102" s="19" t="s">
        <v>6</v>
      </c>
      <c r="G102" s="20" t="s">
        <v>6</v>
      </c>
      <c r="H102" s="21"/>
      <c r="I102" s="28"/>
      <c r="J102" s="20"/>
      <c r="K102" s="21"/>
    </row>
    <row r="103" spans="1:254">
      <c r="A103" s="8"/>
      <c r="E103" s="8"/>
      <c r="F103" s="19"/>
      <c r="G103" s="14"/>
      <c r="H103" s="21"/>
      <c r="I103" s="28"/>
      <c r="J103" s="14"/>
      <c r="K103" s="21"/>
    </row>
    <row r="104" spans="1:254">
      <c r="A104" s="137">
        <v>12</v>
      </c>
      <c r="C104" s="9" t="s">
        <v>35</v>
      </c>
      <c r="E104" s="137">
        <v>12</v>
      </c>
      <c r="G104" s="29"/>
      <c r="H104" s="29"/>
      <c r="I104" s="30"/>
      <c r="J104" s="50"/>
      <c r="K104" s="29"/>
    </row>
    <row r="105" spans="1:254">
      <c r="A105" s="8">
        <v>13</v>
      </c>
      <c r="C105" s="9" t="s">
        <v>36</v>
      </c>
      <c r="D105" s="27" t="s">
        <v>37</v>
      </c>
      <c r="E105" s="8">
        <v>13</v>
      </c>
      <c r="G105" s="50"/>
      <c r="H105" s="48">
        <f>+H495</f>
        <v>0</v>
      </c>
      <c r="I105" s="30"/>
      <c r="J105" s="50"/>
      <c r="K105" s="48">
        <f>+K495</f>
        <v>0</v>
      </c>
    </row>
    <row r="106" spans="1:254">
      <c r="A106" s="8">
        <v>14</v>
      </c>
      <c r="C106" s="9" t="s">
        <v>39</v>
      </c>
      <c r="D106" s="27" t="s">
        <v>62</v>
      </c>
      <c r="E106" s="8">
        <v>14</v>
      </c>
      <c r="G106" s="50"/>
      <c r="H106" s="116">
        <v>7842071</v>
      </c>
      <c r="I106" s="30"/>
      <c r="J106" s="50"/>
      <c r="K106" s="116">
        <f>9323567+75000</f>
        <v>9398567</v>
      </c>
      <c r="L106" s="171">
        <f>K145</f>
        <v>0</v>
      </c>
    </row>
    <row r="107" spans="1:254">
      <c r="A107" s="8">
        <v>15</v>
      </c>
      <c r="C107" s="9" t="s">
        <v>41</v>
      </c>
      <c r="D107" s="27"/>
      <c r="E107" s="8">
        <v>15</v>
      </c>
      <c r="G107" s="50">
        <f>H182</f>
        <v>7763.6</v>
      </c>
      <c r="H107" s="138">
        <v>16066725</v>
      </c>
      <c r="I107" s="30"/>
      <c r="J107" s="50">
        <f>K182</f>
        <v>7766</v>
      </c>
      <c r="K107" s="138">
        <v>15709733</v>
      </c>
    </row>
    <row r="108" spans="1:254">
      <c r="A108" s="8">
        <v>16</v>
      </c>
      <c r="C108" s="9" t="s">
        <v>42</v>
      </c>
      <c r="D108" s="27"/>
      <c r="E108" s="8">
        <v>16</v>
      </c>
      <c r="G108" s="50"/>
      <c r="H108" s="48">
        <f>+H308-H107</f>
        <v>71612681</v>
      </c>
      <c r="I108" s="30"/>
      <c r="J108" s="50"/>
      <c r="K108" s="138">
        <v>77956845</v>
      </c>
    </row>
    <row r="109" spans="1:254">
      <c r="A109" s="27">
        <v>17</v>
      </c>
      <c r="B109" s="27"/>
      <c r="C109" s="31" t="s">
        <v>63</v>
      </c>
      <c r="D109" s="27" t="s">
        <v>64</v>
      </c>
      <c r="E109" s="27">
        <v>17</v>
      </c>
      <c r="F109" s="27"/>
      <c r="G109" s="50"/>
      <c r="H109" s="48">
        <f>SUM(H107:H108)</f>
        <v>87679406</v>
      </c>
      <c r="I109" s="31"/>
      <c r="J109" s="50"/>
      <c r="K109" s="48">
        <f>SUM(K107:K108)</f>
        <v>93666578</v>
      </c>
      <c r="L109" s="27"/>
      <c r="M109" s="31"/>
      <c r="N109" s="27"/>
      <c r="O109" s="31"/>
      <c r="P109" s="27"/>
      <c r="Q109" s="31"/>
      <c r="R109" s="27"/>
      <c r="S109" s="31"/>
      <c r="T109" s="27"/>
      <c r="U109" s="31"/>
      <c r="V109" s="27"/>
      <c r="W109" s="31"/>
      <c r="X109" s="27"/>
      <c r="Y109" s="31"/>
      <c r="Z109" s="27"/>
      <c r="AA109" s="31"/>
      <c r="AB109" s="27"/>
      <c r="AC109" s="31"/>
      <c r="AD109" s="27"/>
      <c r="AE109" s="31"/>
      <c r="AF109" s="27"/>
      <c r="AG109" s="31"/>
      <c r="AH109" s="27"/>
      <c r="AI109" s="31"/>
      <c r="AJ109" s="27"/>
      <c r="AK109" s="31"/>
      <c r="AL109" s="27"/>
      <c r="AM109" s="31"/>
      <c r="AN109" s="27"/>
      <c r="AO109" s="31"/>
      <c r="AP109" s="27"/>
      <c r="AQ109" s="31"/>
      <c r="AR109" s="27"/>
      <c r="AS109" s="31"/>
      <c r="AT109" s="27"/>
      <c r="AU109" s="31"/>
      <c r="AV109" s="27"/>
      <c r="AW109" s="31"/>
      <c r="AX109" s="27"/>
      <c r="AY109" s="31"/>
      <c r="AZ109" s="27"/>
      <c r="BA109" s="31"/>
      <c r="BB109" s="27"/>
      <c r="BC109" s="31"/>
      <c r="BD109" s="27"/>
      <c r="BE109" s="31"/>
      <c r="BF109" s="27"/>
      <c r="BG109" s="31"/>
      <c r="BH109" s="27"/>
      <c r="BI109" s="31"/>
      <c r="BJ109" s="27"/>
      <c r="BK109" s="31"/>
      <c r="BL109" s="27"/>
      <c r="BM109" s="31"/>
      <c r="BN109" s="27"/>
      <c r="BO109" s="31"/>
      <c r="BP109" s="27"/>
      <c r="BQ109" s="31"/>
      <c r="BR109" s="27"/>
      <c r="BS109" s="31"/>
      <c r="BT109" s="27"/>
      <c r="BU109" s="31"/>
      <c r="BV109" s="27"/>
      <c r="BW109" s="31"/>
      <c r="BX109" s="27"/>
      <c r="BY109" s="31"/>
      <c r="BZ109" s="27"/>
      <c r="CA109" s="31"/>
      <c r="CB109" s="27"/>
      <c r="CC109" s="31"/>
      <c r="CD109" s="27"/>
      <c r="CE109" s="31"/>
      <c r="CF109" s="27"/>
      <c r="CG109" s="31"/>
      <c r="CH109" s="27"/>
      <c r="CI109" s="31"/>
      <c r="CJ109" s="27"/>
      <c r="CK109" s="31"/>
      <c r="CL109" s="27"/>
      <c r="CM109" s="31"/>
      <c r="CN109" s="27"/>
      <c r="CO109" s="31"/>
      <c r="CP109" s="27"/>
      <c r="CQ109" s="31"/>
      <c r="CR109" s="27"/>
      <c r="CS109" s="31"/>
      <c r="CT109" s="27"/>
      <c r="CU109" s="31"/>
      <c r="CV109" s="27"/>
      <c r="CW109" s="31"/>
      <c r="CX109" s="27"/>
      <c r="CY109" s="31"/>
      <c r="CZ109" s="27"/>
      <c r="DA109" s="31"/>
      <c r="DB109" s="27"/>
      <c r="DC109" s="31"/>
      <c r="DD109" s="27"/>
      <c r="DE109" s="31"/>
      <c r="DF109" s="27"/>
      <c r="DG109" s="31"/>
      <c r="DH109" s="27"/>
      <c r="DI109" s="31"/>
      <c r="DJ109" s="27"/>
      <c r="DK109" s="31"/>
      <c r="DL109" s="27"/>
      <c r="DM109" s="31"/>
      <c r="DN109" s="27"/>
      <c r="DO109" s="31"/>
      <c r="DP109" s="27"/>
      <c r="DQ109" s="31"/>
      <c r="DR109" s="27"/>
      <c r="DS109" s="31"/>
      <c r="DT109" s="27"/>
      <c r="DU109" s="31"/>
      <c r="DV109" s="27"/>
      <c r="DW109" s="31"/>
      <c r="DX109" s="27"/>
      <c r="DY109" s="31"/>
      <c r="DZ109" s="27"/>
      <c r="EA109" s="31"/>
      <c r="EB109" s="27"/>
      <c r="EC109" s="31"/>
      <c r="ED109" s="27"/>
      <c r="EE109" s="31"/>
      <c r="EF109" s="27"/>
      <c r="EG109" s="31"/>
      <c r="EH109" s="27"/>
      <c r="EI109" s="31"/>
      <c r="EJ109" s="27"/>
      <c r="EK109" s="31"/>
      <c r="EL109" s="27"/>
      <c r="EM109" s="31"/>
      <c r="EN109" s="27"/>
      <c r="EO109" s="31"/>
      <c r="EP109" s="27"/>
      <c r="EQ109" s="31"/>
      <c r="ER109" s="27"/>
      <c r="ES109" s="31"/>
      <c r="ET109" s="27"/>
      <c r="EU109" s="31"/>
      <c r="EV109" s="27"/>
      <c r="EW109" s="31"/>
      <c r="EX109" s="27"/>
      <c r="EY109" s="31"/>
      <c r="EZ109" s="27"/>
      <c r="FA109" s="31"/>
      <c r="FB109" s="27"/>
      <c r="FC109" s="31"/>
      <c r="FD109" s="27"/>
      <c r="FE109" s="31"/>
      <c r="FF109" s="27"/>
      <c r="FG109" s="31"/>
      <c r="FH109" s="27"/>
      <c r="FI109" s="31"/>
      <c r="FJ109" s="27"/>
      <c r="FK109" s="31"/>
      <c r="FL109" s="27"/>
      <c r="FM109" s="31"/>
      <c r="FN109" s="27"/>
      <c r="FO109" s="31"/>
      <c r="FP109" s="27"/>
      <c r="FQ109" s="31"/>
      <c r="FR109" s="27"/>
      <c r="FS109" s="31"/>
      <c r="FT109" s="27"/>
      <c r="FU109" s="31"/>
      <c r="FV109" s="27"/>
      <c r="FW109" s="31"/>
      <c r="FX109" s="27"/>
      <c r="FY109" s="31"/>
      <c r="FZ109" s="27"/>
      <c r="GA109" s="31"/>
      <c r="GB109" s="27"/>
      <c r="GC109" s="31"/>
      <c r="GD109" s="27"/>
      <c r="GE109" s="31"/>
      <c r="GF109" s="27"/>
      <c r="GG109" s="31"/>
      <c r="GH109" s="27"/>
      <c r="GI109" s="31"/>
      <c r="GJ109" s="27"/>
      <c r="GK109" s="31"/>
      <c r="GL109" s="27"/>
      <c r="GM109" s="31"/>
      <c r="GN109" s="27"/>
      <c r="GO109" s="31"/>
      <c r="GP109" s="27"/>
      <c r="GQ109" s="31"/>
      <c r="GR109" s="27"/>
      <c r="GS109" s="31"/>
      <c r="GT109" s="27"/>
      <c r="GU109" s="31"/>
      <c r="GV109" s="27"/>
      <c r="GW109" s="31"/>
      <c r="GX109" s="27"/>
      <c r="GY109" s="31"/>
      <c r="GZ109" s="27"/>
      <c r="HA109" s="31"/>
      <c r="HB109" s="27"/>
      <c r="HC109" s="31"/>
      <c r="HD109" s="27"/>
      <c r="HE109" s="31"/>
      <c r="HF109" s="27"/>
      <c r="HG109" s="31"/>
      <c r="HH109" s="27"/>
      <c r="HI109" s="31"/>
      <c r="HJ109" s="27"/>
      <c r="HK109" s="31"/>
      <c r="HL109" s="27"/>
      <c r="HM109" s="31"/>
      <c r="HN109" s="27"/>
      <c r="HO109" s="31"/>
      <c r="HP109" s="27"/>
      <c r="HQ109" s="31"/>
      <c r="HR109" s="27"/>
      <c r="HS109" s="31"/>
      <c r="HT109" s="27"/>
      <c r="HU109" s="31"/>
      <c r="HV109" s="27"/>
      <c r="HW109" s="31"/>
      <c r="HX109" s="27"/>
      <c r="HY109" s="31"/>
      <c r="HZ109" s="27"/>
      <c r="IA109" s="31"/>
      <c r="IB109" s="27"/>
      <c r="IC109" s="31"/>
      <c r="ID109" s="27"/>
      <c r="IE109" s="31"/>
      <c r="IF109" s="27"/>
      <c r="IG109" s="31"/>
      <c r="IH109" s="27"/>
      <c r="II109" s="31"/>
      <c r="IJ109" s="27"/>
      <c r="IK109" s="31"/>
      <c r="IL109" s="27"/>
      <c r="IM109" s="31"/>
      <c r="IN109" s="27"/>
      <c r="IO109" s="31"/>
      <c r="IP109" s="27"/>
      <c r="IQ109" s="31"/>
      <c r="IR109" s="27"/>
      <c r="IS109" s="31"/>
      <c r="IT109" s="27"/>
    </row>
    <row r="110" spans="1:254">
      <c r="A110" s="8">
        <v>18</v>
      </c>
      <c r="C110" s="9" t="s">
        <v>44</v>
      </c>
      <c r="D110" s="27" t="s">
        <v>64</v>
      </c>
      <c r="E110" s="8">
        <v>18</v>
      </c>
      <c r="G110" s="50"/>
      <c r="H110" s="48">
        <f>+H307</f>
        <v>11333345</v>
      </c>
      <c r="I110" s="30"/>
      <c r="J110" s="50"/>
      <c r="K110" s="138">
        <v>12381851</v>
      </c>
    </row>
    <row r="111" spans="1:254">
      <c r="A111" s="8">
        <v>19</v>
      </c>
      <c r="C111" s="9" t="s">
        <v>45</v>
      </c>
      <c r="D111" s="27" t="s">
        <v>64</v>
      </c>
      <c r="E111" s="8">
        <v>19</v>
      </c>
      <c r="G111" s="50"/>
      <c r="H111" s="48">
        <f>+H313</f>
        <v>26207199</v>
      </c>
      <c r="I111" s="30"/>
      <c r="J111" s="50"/>
      <c r="K111" s="138">
        <v>27388768</v>
      </c>
    </row>
    <row r="112" spans="1:254">
      <c r="A112" s="8">
        <v>20</v>
      </c>
      <c r="C112" s="9" t="s">
        <v>46</v>
      </c>
      <c r="D112" s="27" t="s">
        <v>64</v>
      </c>
      <c r="E112" s="8">
        <v>20</v>
      </c>
      <c r="G112" s="50"/>
      <c r="H112" s="48">
        <f>H109+H110+H111</f>
        <v>125219950</v>
      </c>
      <c r="I112" s="30"/>
      <c r="J112" s="50"/>
      <c r="K112" s="48">
        <f>K109+K110+K111</f>
        <v>133437197</v>
      </c>
    </row>
    <row r="113" spans="1:17">
      <c r="A113" s="27">
        <v>21</v>
      </c>
      <c r="C113" s="9"/>
      <c r="D113" s="27"/>
      <c r="E113" s="8">
        <v>21</v>
      </c>
      <c r="G113" s="50"/>
      <c r="H113" s="48">
        <f>+H352-H333</f>
        <v>0</v>
      </c>
      <c r="I113" s="30"/>
      <c r="J113" s="50"/>
      <c r="K113" s="48">
        <f>+K352-K333</f>
        <v>0</v>
      </c>
      <c r="L113" s="137" t="s">
        <v>38</v>
      </c>
    </row>
    <row r="114" spans="1:17">
      <c r="A114" s="27">
        <v>22</v>
      </c>
      <c r="C114" s="9"/>
      <c r="D114" s="27"/>
      <c r="E114" s="8">
        <v>22</v>
      </c>
      <c r="G114" s="50"/>
      <c r="H114" s="48">
        <f>H333</f>
        <v>0</v>
      </c>
      <c r="I114" s="30" t="s">
        <v>38</v>
      </c>
      <c r="J114" s="50"/>
      <c r="K114" s="48">
        <f>K333</f>
        <v>0</v>
      </c>
    </row>
    <row r="115" spans="1:17">
      <c r="A115" s="8">
        <v>23</v>
      </c>
      <c r="C115" s="32"/>
      <c r="E115" s="8">
        <v>23</v>
      </c>
      <c r="F115" s="19" t="s">
        <v>6</v>
      </c>
      <c r="G115" s="20"/>
      <c r="H115" s="21"/>
      <c r="I115" s="28"/>
      <c r="J115" s="20"/>
      <c r="K115" s="21"/>
      <c r="Q115" s="137" t="s">
        <v>38</v>
      </c>
    </row>
    <row r="116" spans="1:17">
      <c r="A116" s="8">
        <v>24</v>
      </c>
      <c r="C116" s="32"/>
      <c r="D116" s="9"/>
      <c r="E116" s="8">
        <v>24</v>
      </c>
    </row>
    <row r="117" spans="1:17">
      <c r="A117" s="8">
        <v>25</v>
      </c>
      <c r="C117" s="9" t="s">
        <v>239</v>
      </c>
      <c r="D117" s="27" t="s">
        <v>65</v>
      </c>
      <c r="E117" s="8">
        <v>25</v>
      </c>
      <c r="G117" s="50"/>
      <c r="H117" s="48">
        <f>+H399</f>
        <v>10552113</v>
      </c>
      <c r="I117" s="30"/>
      <c r="J117" s="50"/>
      <c r="K117" s="48">
        <f>+K399</f>
        <v>9803048</v>
      </c>
    </row>
    <row r="118" spans="1:17">
      <c r="A118" s="137">
        <v>26</v>
      </c>
      <c r="E118" s="137">
        <v>26</v>
      </c>
      <c r="F118" s="19" t="s">
        <v>6</v>
      </c>
      <c r="G118" s="20"/>
      <c r="H118" s="21"/>
      <c r="I118" s="28"/>
      <c r="J118" s="20"/>
      <c r="K118" s="21"/>
    </row>
    <row r="119" spans="1:17">
      <c r="A119" s="8">
        <v>27</v>
      </c>
      <c r="C119" s="9" t="s">
        <v>48</v>
      </c>
      <c r="E119" s="8">
        <v>27</v>
      </c>
      <c r="F119" s="17"/>
      <c r="G119" s="50"/>
      <c r="H119" s="218">
        <f>H105+H106+H112+H113+H114+H117</f>
        <v>143614134</v>
      </c>
      <c r="I119" s="29"/>
      <c r="J119" s="51"/>
      <c r="K119" s="48">
        <f>K105+K106+K112+K113+K114+K117</f>
        <v>152638812</v>
      </c>
    </row>
    <row r="120" spans="1:17">
      <c r="A120" s="8"/>
      <c r="C120" s="9"/>
      <c r="E120" s="8"/>
      <c r="F120" s="52" t="s">
        <v>258</v>
      </c>
      <c r="G120" s="53"/>
      <c r="H120" s="53"/>
      <c r="I120" s="53"/>
      <c r="J120" s="54"/>
      <c r="K120" s="55"/>
    </row>
    <row r="121" spans="1:17" ht="29.25" customHeight="1">
      <c r="C121" s="221" t="s">
        <v>233</v>
      </c>
      <c r="D121" s="221"/>
      <c r="E121" s="221"/>
      <c r="F121" s="221"/>
      <c r="G121" s="221"/>
      <c r="H121" s="221"/>
      <c r="I121" s="221"/>
      <c r="J121" s="221"/>
      <c r="K121" s="56"/>
    </row>
    <row r="122" spans="1:17">
      <c r="D122" s="27"/>
      <c r="F122" s="19"/>
      <c r="G122" s="20"/>
      <c r="I122" s="28"/>
      <c r="J122" s="20"/>
      <c r="K122" s="21"/>
      <c r="M122" s="137" t="s">
        <v>38</v>
      </c>
    </row>
    <row r="123" spans="1:17">
      <c r="C123" s="137" t="s">
        <v>49</v>
      </c>
      <c r="G123" s="137"/>
      <c r="H123" s="137"/>
      <c r="J123" s="137"/>
      <c r="K123" s="137"/>
    </row>
    <row r="124" spans="1:17">
      <c r="D124" s="27"/>
      <c r="F124" s="19"/>
      <c r="G124" s="20"/>
      <c r="I124" s="28"/>
      <c r="J124" s="20"/>
      <c r="K124" s="21"/>
    </row>
    <row r="125" spans="1:17">
      <c r="E125" s="35"/>
    </row>
    <row r="126" spans="1:17">
      <c r="A126" s="36" t="s">
        <v>234</v>
      </c>
    </row>
    <row r="127" spans="1:17">
      <c r="A127" s="16" t="str">
        <f>$A$83</f>
        <v>Institution No.:  GFC</v>
      </c>
      <c r="B127" s="36"/>
      <c r="C127" s="36"/>
      <c r="D127" s="36"/>
      <c r="E127" s="37"/>
      <c r="F127" s="36"/>
      <c r="G127" s="38"/>
      <c r="H127" s="39"/>
      <c r="I127" s="36"/>
      <c r="J127" s="38"/>
      <c r="K127" s="15" t="s">
        <v>50</v>
      </c>
    </row>
    <row r="128" spans="1:17" ht="14.25">
      <c r="A128" s="222" t="s">
        <v>249</v>
      </c>
      <c r="B128" s="222"/>
      <c r="C128" s="222"/>
      <c r="D128" s="222"/>
      <c r="E128" s="222"/>
      <c r="F128" s="222"/>
      <c r="G128" s="222"/>
      <c r="H128" s="222"/>
      <c r="I128" s="222"/>
      <c r="J128" s="222"/>
      <c r="K128" s="222"/>
    </row>
    <row r="129" spans="1:11">
      <c r="A129" s="16" t="str">
        <f>$A$42</f>
        <v xml:space="preserve">NAME: </v>
      </c>
      <c r="C129" s="137" t="str">
        <f>$D$20</f>
        <v>University of Colorado</v>
      </c>
      <c r="H129" s="40"/>
      <c r="J129" s="14"/>
      <c r="K129" s="18" t="str">
        <f>$K$3</f>
        <v>Date: October 09, 2017</v>
      </c>
    </row>
    <row r="130" spans="1:11">
      <c r="A130" s="19" t="s">
        <v>6</v>
      </c>
      <c r="B130" s="19" t="s">
        <v>6</v>
      </c>
      <c r="C130" s="19" t="s">
        <v>6</v>
      </c>
      <c r="D130" s="19" t="s">
        <v>6</v>
      </c>
      <c r="E130" s="19" t="s">
        <v>6</v>
      </c>
      <c r="F130" s="19" t="s">
        <v>6</v>
      </c>
      <c r="G130" s="20" t="s">
        <v>6</v>
      </c>
      <c r="H130" s="21" t="s">
        <v>6</v>
      </c>
      <c r="I130" s="19" t="s">
        <v>6</v>
      </c>
      <c r="J130" s="20" t="s">
        <v>6</v>
      </c>
      <c r="K130" s="21" t="s">
        <v>6</v>
      </c>
    </row>
    <row r="131" spans="1:11">
      <c r="A131" s="22" t="s">
        <v>7</v>
      </c>
      <c r="E131" s="22" t="s">
        <v>7</v>
      </c>
      <c r="F131" s="23"/>
      <c r="G131" s="24"/>
      <c r="H131" s="25" t="str">
        <f>H87</f>
        <v>2016-17</v>
      </c>
      <c r="I131" s="23"/>
      <c r="J131" s="24"/>
      <c r="K131" s="25" t="str">
        <f>K87</f>
        <v>2017-18</v>
      </c>
    </row>
    <row r="132" spans="1:11">
      <c r="A132" s="22" t="s">
        <v>9</v>
      </c>
      <c r="C132" s="26" t="s">
        <v>51</v>
      </c>
      <c r="E132" s="22" t="s">
        <v>9</v>
      </c>
      <c r="F132" s="23"/>
      <c r="G132" s="24"/>
      <c r="H132" s="25" t="s">
        <v>12</v>
      </c>
      <c r="I132" s="23"/>
      <c r="J132" s="24"/>
      <c r="K132" s="25" t="s">
        <v>13</v>
      </c>
    </row>
    <row r="133" spans="1:11">
      <c r="A133" s="19" t="s">
        <v>6</v>
      </c>
      <c r="B133" s="19" t="s">
        <v>6</v>
      </c>
      <c r="C133" s="19" t="s">
        <v>6</v>
      </c>
      <c r="D133" s="19" t="s">
        <v>6</v>
      </c>
      <c r="E133" s="19" t="s">
        <v>6</v>
      </c>
      <c r="F133" s="19" t="s">
        <v>6</v>
      </c>
      <c r="G133" s="20" t="s">
        <v>6</v>
      </c>
      <c r="H133" s="21" t="s">
        <v>6</v>
      </c>
      <c r="I133" s="19" t="s">
        <v>6</v>
      </c>
      <c r="J133" s="20" t="s">
        <v>6</v>
      </c>
      <c r="K133" s="21" t="s">
        <v>6</v>
      </c>
    </row>
    <row r="134" spans="1:11">
      <c r="A134" s="137">
        <v>1</v>
      </c>
      <c r="C134" s="137" t="s">
        <v>52</v>
      </c>
      <c r="E134" s="137">
        <v>1</v>
      </c>
    </row>
    <row r="135" spans="1:11" ht="33.75" customHeight="1">
      <c r="A135" s="41">
        <v>2</v>
      </c>
      <c r="C135" s="223" t="s">
        <v>66</v>
      </c>
      <c r="D135" s="223"/>
      <c r="E135" s="41">
        <v>2</v>
      </c>
      <c r="G135" s="94"/>
      <c r="H135" s="139"/>
      <c r="I135" s="95"/>
      <c r="J135" s="95"/>
      <c r="K135" s="139">
        <v>0</v>
      </c>
    </row>
    <row r="136" spans="1:11" ht="15.75" customHeight="1">
      <c r="A136" s="137">
        <v>3</v>
      </c>
      <c r="C136" s="137" t="s">
        <v>53</v>
      </c>
      <c r="E136" s="137">
        <v>3</v>
      </c>
      <c r="G136" s="94"/>
      <c r="H136" s="140"/>
      <c r="I136" s="94"/>
      <c r="J136" s="94"/>
      <c r="K136" s="140">
        <v>0</v>
      </c>
    </row>
    <row r="137" spans="1:11">
      <c r="A137" s="137">
        <v>4</v>
      </c>
      <c r="C137" s="137" t="s">
        <v>54</v>
      </c>
      <c r="E137" s="137">
        <v>4</v>
      </c>
      <c r="G137" s="94"/>
      <c r="H137" s="140">
        <v>0</v>
      </c>
      <c r="I137" s="94"/>
      <c r="J137" s="94"/>
      <c r="K137" s="140">
        <v>0</v>
      </c>
    </row>
    <row r="138" spans="1:11">
      <c r="A138" s="137">
        <v>5</v>
      </c>
      <c r="C138" s="137" t="s">
        <v>55</v>
      </c>
      <c r="E138" s="137">
        <v>5</v>
      </c>
      <c r="G138" s="94"/>
      <c r="H138" s="140">
        <v>0</v>
      </c>
      <c r="I138" s="94"/>
      <c r="J138" s="94"/>
      <c r="K138" s="140">
        <v>0</v>
      </c>
    </row>
    <row r="139" spans="1:11" ht="47.25" customHeight="1">
      <c r="A139" s="41">
        <v>6</v>
      </c>
      <c r="C139" s="223" t="s">
        <v>56</v>
      </c>
      <c r="D139" s="223"/>
      <c r="E139" s="41">
        <v>6</v>
      </c>
      <c r="G139" s="94"/>
      <c r="H139" s="139">
        <v>0</v>
      </c>
      <c r="I139" s="95"/>
      <c r="J139" s="95"/>
      <c r="K139" s="139">
        <v>0</v>
      </c>
    </row>
    <row r="140" spans="1:11">
      <c r="A140" s="137">
        <v>7</v>
      </c>
      <c r="E140" s="137">
        <v>7</v>
      </c>
      <c r="G140" s="94"/>
      <c r="H140" s="94"/>
      <c r="I140" s="94"/>
      <c r="J140" s="94"/>
      <c r="K140" s="94"/>
    </row>
    <row r="141" spans="1:11">
      <c r="A141" s="137">
        <v>8</v>
      </c>
      <c r="E141" s="137">
        <v>8</v>
      </c>
      <c r="G141" s="94"/>
      <c r="H141" s="94"/>
      <c r="I141" s="94"/>
      <c r="J141" s="94"/>
      <c r="K141" s="94"/>
    </row>
    <row r="142" spans="1:11">
      <c r="A142" s="137">
        <v>9</v>
      </c>
      <c r="E142" s="137">
        <v>9</v>
      </c>
      <c r="G142" s="94"/>
      <c r="H142" s="94"/>
      <c r="I142" s="94"/>
      <c r="J142" s="94"/>
      <c r="K142" s="94"/>
    </row>
    <row r="143" spans="1:11">
      <c r="A143" s="137">
        <v>10</v>
      </c>
      <c r="E143" s="137">
        <v>10</v>
      </c>
      <c r="G143" s="94"/>
      <c r="H143" s="94"/>
      <c r="I143" s="94"/>
      <c r="J143" s="94"/>
      <c r="K143" s="94"/>
    </row>
    <row r="144" spans="1:11">
      <c r="A144" s="137">
        <v>11</v>
      </c>
      <c r="E144" s="137">
        <v>11</v>
      </c>
      <c r="G144" s="94"/>
      <c r="H144" s="94"/>
      <c r="I144" s="94"/>
      <c r="J144" s="94"/>
      <c r="K144" s="94"/>
    </row>
    <row r="145" spans="1:11">
      <c r="A145" s="137">
        <v>12</v>
      </c>
      <c r="C145" s="137" t="s">
        <v>57</v>
      </c>
      <c r="E145" s="137">
        <v>12</v>
      </c>
      <c r="G145" s="94"/>
      <c r="H145" s="94">
        <f>SUM(H135:H144)</f>
        <v>0</v>
      </c>
      <c r="I145" s="94"/>
      <c r="J145" s="94"/>
      <c r="K145" s="94">
        <f>SUM(K135:K144)</f>
        <v>0</v>
      </c>
    </row>
    <row r="146" spans="1:11">
      <c r="E146" s="35"/>
    </row>
    <row r="147" spans="1:11">
      <c r="E147" s="35"/>
    </row>
    <row r="148" spans="1:11">
      <c r="E148" s="35"/>
    </row>
    <row r="149" spans="1:11">
      <c r="E149" s="35"/>
    </row>
    <row r="150" spans="1:11">
      <c r="E150" s="35"/>
    </row>
    <row r="151" spans="1:11">
      <c r="E151" s="35"/>
    </row>
    <row r="152" spans="1:11">
      <c r="E152" s="35"/>
    </row>
    <row r="154" spans="1:11">
      <c r="D154" s="42"/>
      <c r="F154" s="42"/>
      <c r="G154" s="43"/>
      <c r="H154" s="44"/>
    </row>
    <row r="155" spans="1:11">
      <c r="E155" s="35"/>
    </row>
    <row r="156" spans="1:11">
      <c r="E156" s="35"/>
    </row>
    <row r="157" spans="1:11">
      <c r="E157" s="35"/>
    </row>
    <row r="158" spans="1:11" ht="13.5">
      <c r="C158" s="137" t="s">
        <v>256</v>
      </c>
      <c r="E158" s="35"/>
    </row>
    <row r="159" spans="1:11">
      <c r="E159" s="35"/>
    </row>
    <row r="160" spans="1:11" ht="12.75">
      <c r="B160" s="45"/>
      <c r="C160" s="46"/>
      <c r="D160" s="47"/>
      <c r="E160" s="47"/>
      <c r="F160" s="47"/>
    </row>
    <row r="161" spans="1:13" ht="12.75">
      <c r="B161" s="45"/>
      <c r="C161" s="46"/>
      <c r="D161" s="47"/>
      <c r="E161" s="47"/>
      <c r="F161" s="47"/>
    </row>
    <row r="162" spans="1:13">
      <c r="E162" s="35"/>
    </row>
    <row r="163" spans="1:13">
      <c r="E163" s="35"/>
    </row>
    <row r="164" spans="1:13">
      <c r="E164" s="35"/>
    </row>
    <row r="165" spans="1:13">
      <c r="E165" s="35"/>
    </row>
    <row r="166" spans="1:13">
      <c r="E166" s="35"/>
    </row>
    <row r="167" spans="1:13">
      <c r="E167" s="35"/>
    </row>
    <row r="168" spans="1:13">
      <c r="E168" s="35"/>
    </row>
    <row r="169" spans="1:13">
      <c r="E169" s="35"/>
    </row>
    <row r="170" spans="1:13">
      <c r="E170" s="35"/>
    </row>
    <row r="171" spans="1:13">
      <c r="E171" s="35"/>
    </row>
    <row r="172" spans="1:13">
      <c r="E172" s="35"/>
    </row>
    <row r="173" spans="1:13">
      <c r="E173" s="35"/>
    </row>
    <row r="174" spans="1:13">
      <c r="A174" s="16" t="str">
        <f>$A$83</f>
        <v>Institution No.:  GFC</v>
      </c>
      <c r="E174" s="35"/>
      <c r="G174" s="14"/>
      <c r="H174" s="40"/>
      <c r="J174" s="14"/>
      <c r="K174" s="15" t="s">
        <v>67</v>
      </c>
      <c r="L174" s="17"/>
      <c r="M174" s="57"/>
    </row>
    <row r="175" spans="1:13" s="36" customFormat="1">
      <c r="A175" s="222" t="s">
        <v>68</v>
      </c>
      <c r="B175" s="222"/>
      <c r="C175" s="222"/>
      <c r="D175" s="222"/>
      <c r="E175" s="222"/>
      <c r="F175" s="222"/>
      <c r="G175" s="222"/>
      <c r="H175" s="222"/>
      <c r="I175" s="222"/>
      <c r="J175" s="222"/>
      <c r="K175" s="222"/>
      <c r="L175" s="58"/>
      <c r="M175" s="59"/>
    </row>
    <row r="176" spans="1:13">
      <c r="A176" s="16" t="str">
        <f>$A$42</f>
        <v xml:space="preserve">NAME: </v>
      </c>
      <c r="C176" s="137" t="str">
        <f>$D$20</f>
        <v>University of Colorado</v>
      </c>
      <c r="H176" s="40"/>
      <c r="J176" s="14"/>
      <c r="K176" s="18" t="str">
        <f>$K$3</f>
        <v>Date: October 09, 2017</v>
      </c>
      <c r="L176" s="17"/>
      <c r="M176" s="57"/>
    </row>
    <row r="177" spans="1:11">
      <c r="A177" s="19" t="s">
        <v>6</v>
      </c>
      <c r="B177" s="19" t="s">
        <v>6</v>
      </c>
      <c r="C177" s="19" t="s">
        <v>6</v>
      </c>
      <c r="D177" s="19" t="s">
        <v>6</v>
      </c>
      <c r="E177" s="19" t="s">
        <v>6</v>
      </c>
      <c r="F177" s="19" t="s">
        <v>6</v>
      </c>
      <c r="G177" s="20" t="s">
        <v>6</v>
      </c>
      <c r="H177" s="21" t="s">
        <v>6</v>
      </c>
      <c r="I177" s="19" t="s">
        <v>6</v>
      </c>
      <c r="J177" s="20" t="s">
        <v>6</v>
      </c>
      <c r="K177" s="21" t="s">
        <v>6</v>
      </c>
    </row>
    <row r="178" spans="1:11">
      <c r="A178" s="22" t="s">
        <v>7</v>
      </c>
      <c r="E178" s="22" t="s">
        <v>7</v>
      </c>
      <c r="G178" s="24"/>
      <c r="H178" s="25" t="str">
        <f>H131</f>
        <v>2016-17</v>
      </c>
      <c r="I178" s="23"/>
      <c r="J178" s="137"/>
      <c r="K178" s="25" t="str">
        <f>K131</f>
        <v>2017-18</v>
      </c>
    </row>
    <row r="179" spans="1:11">
      <c r="A179" s="22" t="s">
        <v>9</v>
      </c>
      <c r="E179" s="22" t="s">
        <v>9</v>
      </c>
      <c r="G179" s="24"/>
      <c r="H179" s="25" t="s">
        <v>12</v>
      </c>
      <c r="I179" s="23"/>
      <c r="J179" s="137"/>
      <c r="K179" s="25" t="str">
        <f>K132</f>
        <v>Estimate</v>
      </c>
    </row>
    <row r="180" spans="1:11">
      <c r="A180" s="19" t="s">
        <v>6</v>
      </c>
      <c r="B180" s="19" t="s">
        <v>6</v>
      </c>
      <c r="C180" s="19" t="s">
        <v>6</v>
      </c>
      <c r="D180" s="19" t="s">
        <v>6</v>
      </c>
      <c r="E180" s="19" t="s">
        <v>6</v>
      </c>
      <c r="F180" s="19" t="s">
        <v>6</v>
      </c>
      <c r="G180" s="20" t="s">
        <v>6</v>
      </c>
      <c r="H180" s="21" t="s">
        <v>6</v>
      </c>
      <c r="I180" s="19" t="s">
        <v>6</v>
      </c>
      <c r="J180" s="20" t="s">
        <v>6</v>
      </c>
      <c r="K180" s="20" t="s">
        <v>6</v>
      </c>
    </row>
    <row r="181" spans="1:11">
      <c r="A181" s="8">
        <v>1</v>
      </c>
      <c r="C181" s="9" t="s">
        <v>69</v>
      </c>
      <c r="E181" s="8">
        <v>1</v>
      </c>
      <c r="G181" s="14"/>
      <c r="H181" s="30"/>
      <c r="J181" s="137"/>
      <c r="K181" s="137"/>
    </row>
    <row r="182" spans="1:11">
      <c r="A182" s="27" t="s">
        <v>70</v>
      </c>
      <c r="C182" s="9" t="s">
        <v>71</v>
      </c>
      <c r="E182" s="27" t="s">
        <v>70</v>
      </c>
      <c r="F182" s="60"/>
      <c r="G182" s="96"/>
      <c r="H182" s="141">
        <v>7763.6</v>
      </c>
      <c r="I182" s="96"/>
      <c r="J182" s="137"/>
      <c r="K182" s="141">
        <v>7766</v>
      </c>
    </row>
    <row r="183" spans="1:11">
      <c r="A183" s="27" t="s">
        <v>72</v>
      </c>
      <c r="C183" s="9" t="s">
        <v>73</v>
      </c>
      <c r="E183" s="27" t="s">
        <v>72</v>
      </c>
      <c r="F183" s="60"/>
      <c r="G183" s="96"/>
      <c r="H183" s="98"/>
      <c r="I183" s="96"/>
      <c r="J183" s="137"/>
      <c r="K183" s="98"/>
    </row>
    <row r="184" spans="1:11">
      <c r="A184" s="27" t="s">
        <v>74</v>
      </c>
      <c r="C184" s="9" t="s">
        <v>75</v>
      </c>
      <c r="E184" s="27" t="s">
        <v>74</v>
      </c>
      <c r="F184" s="60"/>
      <c r="G184" s="96"/>
      <c r="H184" s="97">
        <f>SUM(H182:H183)</f>
        <v>7763.6</v>
      </c>
      <c r="I184" s="96"/>
      <c r="J184" s="137"/>
      <c r="K184" s="97">
        <f>SUM(K182:K183)</f>
        <v>7766</v>
      </c>
    </row>
    <row r="185" spans="1:11">
      <c r="A185" s="8">
        <v>3</v>
      </c>
      <c r="C185" s="9" t="s">
        <v>76</v>
      </c>
      <c r="E185" s="8">
        <v>3</v>
      </c>
      <c r="F185" s="60"/>
      <c r="G185" s="96"/>
      <c r="H185" s="141">
        <v>852.54</v>
      </c>
      <c r="I185" s="96"/>
      <c r="J185" s="137"/>
      <c r="K185" s="141">
        <v>854</v>
      </c>
    </row>
    <row r="186" spans="1:11">
      <c r="A186" s="8">
        <v>4</v>
      </c>
      <c r="C186" s="9" t="s">
        <v>77</v>
      </c>
      <c r="E186" s="8">
        <v>4</v>
      </c>
      <c r="F186" s="60"/>
      <c r="G186" s="96"/>
      <c r="H186" s="97">
        <f>SUM(H184:H185)</f>
        <v>8616.14</v>
      </c>
      <c r="I186" s="96"/>
      <c r="J186" s="137"/>
      <c r="K186" s="97">
        <f>SUM(K184:K185)</f>
        <v>8620</v>
      </c>
    </row>
    <row r="187" spans="1:11">
      <c r="A187" s="8">
        <v>5</v>
      </c>
      <c r="E187" s="8">
        <v>5</v>
      </c>
      <c r="F187" s="60"/>
      <c r="G187" s="96"/>
      <c r="H187" s="97"/>
      <c r="I187" s="96"/>
      <c r="J187" s="137"/>
      <c r="K187" s="97"/>
    </row>
    <row r="188" spans="1:11">
      <c r="A188" s="8">
        <v>6</v>
      </c>
      <c r="C188" s="9" t="s">
        <v>78</v>
      </c>
      <c r="E188" s="8">
        <v>6</v>
      </c>
      <c r="F188" s="60"/>
      <c r="G188" s="96"/>
      <c r="H188" s="141">
        <v>1123.5999999999999</v>
      </c>
      <c r="I188" s="96"/>
      <c r="J188" s="137"/>
      <c r="K188" s="141">
        <v>1139</v>
      </c>
    </row>
    <row r="189" spans="1:11">
      <c r="A189" s="8">
        <v>7</v>
      </c>
      <c r="C189" s="9" t="s">
        <v>79</v>
      </c>
      <c r="E189" s="8">
        <v>7</v>
      </c>
      <c r="F189" s="60"/>
      <c r="G189" s="96"/>
      <c r="H189" s="141">
        <v>190.17</v>
      </c>
      <c r="I189" s="96"/>
      <c r="J189" s="137"/>
      <c r="K189" s="141">
        <v>193</v>
      </c>
    </row>
    <row r="190" spans="1:11">
      <c r="A190" s="8">
        <v>8</v>
      </c>
      <c r="C190" s="9" t="s">
        <v>80</v>
      </c>
      <c r="E190" s="8">
        <v>8</v>
      </c>
      <c r="F190" s="60"/>
      <c r="G190" s="96"/>
      <c r="H190" s="97">
        <f>SUM(H188:H189)</f>
        <v>1313.77</v>
      </c>
      <c r="I190" s="96"/>
      <c r="J190" s="137"/>
      <c r="K190" s="97">
        <f>SUM(K188:K189)</f>
        <v>1332</v>
      </c>
    </row>
    <row r="191" spans="1:11">
      <c r="A191" s="8">
        <v>9</v>
      </c>
      <c r="E191" s="8">
        <v>9</v>
      </c>
      <c r="F191" s="60"/>
      <c r="G191" s="96"/>
      <c r="H191" s="97"/>
      <c r="I191" s="96"/>
      <c r="J191" s="137"/>
      <c r="K191" s="97"/>
    </row>
    <row r="192" spans="1:11">
      <c r="A192" s="8">
        <v>10</v>
      </c>
      <c r="C192" s="9" t="s">
        <v>81</v>
      </c>
      <c r="E192" s="8">
        <v>10</v>
      </c>
      <c r="F192" s="60"/>
      <c r="G192" s="96"/>
      <c r="H192" s="97">
        <f>H184+H188</f>
        <v>8887.2000000000007</v>
      </c>
      <c r="I192" s="96"/>
      <c r="J192" s="137"/>
      <c r="K192" s="97">
        <f>K184+K188</f>
        <v>8905</v>
      </c>
    </row>
    <row r="193" spans="1:11">
      <c r="A193" s="8">
        <v>11</v>
      </c>
      <c r="C193" s="9" t="s">
        <v>82</v>
      </c>
      <c r="E193" s="8">
        <v>11</v>
      </c>
      <c r="F193" s="60"/>
      <c r="G193" s="96"/>
      <c r="H193" s="97">
        <f>H185+H189</f>
        <v>1042.71</v>
      </c>
      <c r="I193" s="96"/>
      <c r="J193" s="137"/>
      <c r="K193" s="97">
        <f>K185+K189</f>
        <v>1047</v>
      </c>
    </row>
    <row r="194" spans="1:11">
      <c r="A194" s="8">
        <v>12</v>
      </c>
      <c r="C194" s="9" t="s">
        <v>83</v>
      </c>
      <c r="E194" s="8">
        <v>12</v>
      </c>
      <c r="F194" s="60"/>
      <c r="G194" s="96"/>
      <c r="H194" s="97">
        <f>H192+H193</f>
        <v>9929.91</v>
      </c>
      <c r="I194" s="96"/>
      <c r="J194" s="137"/>
      <c r="K194" s="97">
        <f>K192+K193</f>
        <v>9952</v>
      </c>
    </row>
    <row r="195" spans="1:11">
      <c r="A195" s="8">
        <v>13</v>
      </c>
      <c r="E195" s="8">
        <v>13</v>
      </c>
      <c r="G195" s="96"/>
      <c r="H195" s="99"/>
      <c r="I195" s="100"/>
      <c r="J195" s="137"/>
      <c r="K195" s="99"/>
    </row>
    <row r="196" spans="1:11">
      <c r="A196" s="8">
        <v>15</v>
      </c>
      <c r="C196" s="9" t="s">
        <v>84</v>
      </c>
      <c r="E196" s="8">
        <v>15</v>
      </c>
      <c r="G196" s="96"/>
      <c r="H196" s="101"/>
      <c r="I196" s="100"/>
      <c r="J196" s="137"/>
      <c r="K196" s="101"/>
    </row>
    <row r="197" spans="1:11">
      <c r="A197" s="8">
        <v>16</v>
      </c>
      <c r="C197" s="9" t="s">
        <v>85</v>
      </c>
      <c r="E197" s="8">
        <v>16</v>
      </c>
      <c r="G197" s="96"/>
      <c r="H197" s="100">
        <f>(H119-H367)/H194</f>
        <v>14312.848051996443</v>
      </c>
      <c r="I197" s="102"/>
      <c r="J197" s="137"/>
      <c r="K197" s="99"/>
    </row>
    <row r="198" spans="1:11">
      <c r="A198" s="8">
        <v>17</v>
      </c>
      <c r="C198" s="9" t="s">
        <v>86</v>
      </c>
      <c r="E198" s="8">
        <v>17</v>
      </c>
      <c r="G198" s="96"/>
      <c r="H198" s="146">
        <v>2250</v>
      </c>
      <c r="I198" s="100"/>
      <c r="J198" s="137"/>
      <c r="K198" s="100"/>
    </row>
    <row r="199" spans="1:11">
      <c r="A199" s="8">
        <v>18</v>
      </c>
      <c r="E199" s="8">
        <v>18</v>
      </c>
      <c r="G199" s="96"/>
      <c r="H199" s="100"/>
      <c r="I199" s="100"/>
      <c r="J199" s="137"/>
      <c r="K199" s="100"/>
    </row>
    <row r="200" spans="1:11">
      <c r="A200" s="137">
        <v>19</v>
      </c>
      <c r="C200" s="9" t="s">
        <v>87</v>
      </c>
      <c r="E200" s="137">
        <v>19</v>
      </c>
      <c r="G200" s="96"/>
      <c r="H200" s="100"/>
      <c r="I200" s="100"/>
      <c r="J200" s="137"/>
      <c r="K200" s="100"/>
    </row>
    <row r="201" spans="1:11">
      <c r="A201" s="8">
        <v>20</v>
      </c>
      <c r="C201" s="9" t="s">
        <v>88</v>
      </c>
      <c r="E201" s="8">
        <v>20</v>
      </c>
      <c r="F201" s="10"/>
      <c r="G201" s="103"/>
      <c r="H201" s="104">
        <f>G512+G551</f>
        <v>610</v>
      </c>
      <c r="I201" s="103"/>
      <c r="J201" s="137"/>
      <c r="K201" s="104"/>
    </row>
    <row r="202" spans="1:11">
      <c r="A202" s="8">
        <v>21</v>
      </c>
      <c r="C202" s="9" t="s">
        <v>89</v>
      </c>
      <c r="E202" s="8">
        <v>21</v>
      </c>
      <c r="F202" s="10"/>
      <c r="G202" s="103"/>
      <c r="H202" s="104">
        <f>G508+G547</f>
        <v>503.25</v>
      </c>
      <c r="I202" s="103"/>
      <c r="J202" s="137"/>
      <c r="K202" s="104"/>
    </row>
    <row r="203" spans="1:11">
      <c r="A203" s="8">
        <v>22</v>
      </c>
      <c r="C203" s="9" t="s">
        <v>90</v>
      </c>
      <c r="E203" s="8">
        <v>22</v>
      </c>
      <c r="F203" s="10"/>
      <c r="G203" s="103"/>
      <c r="H203" s="104">
        <f>G510+G549</f>
        <v>106.75</v>
      </c>
      <c r="I203" s="103"/>
      <c r="J203" s="137"/>
      <c r="K203" s="104"/>
    </row>
    <row r="204" spans="1:11">
      <c r="A204" s="8">
        <v>23</v>
      </c>
      <c r="E204" s="8">
        <v>23</v>
      </c>
      <c r="F204" s="10"/>
      <c r="G204" s="103"/>
      <c r="H204" s="104"/>
      <c r="I204" s="103"/>
      <c r="J204" s="137"/>
      <c r="K204" s="104"/>
    </row>
    <row r="205" spans="1:11">
      <c r="A205" s="8">
        <v>24</v>
      </c>
      <c r="C205" s="9" t="s">
        <v>91</v>
      </c>
      <c r="E205" s="8">
        <v>24</v>
      </c>
      <c r="F205" s="10"/>
      <c r="G205" s="103"/>
      <c r="H205" s="103"/>
      <c r="I205" s="103"/>
      <c r="K205" s="103"/>
    </row>
    <row r="206" spans="1:11" ht="15">
      <c r="A206" s="8">
        <v>25</v>
      </c>
      <c r="C206" s="9" t="s">
        <v>92</v>
      </c>
      <c r="E206" s="8">
        <v>25</v>
      </c>
      <c r="G206" s="96"/>
      <c r="H206" s="183">
        <f>IF(OR(G512&gt;0,G551&gt;0),(H551+H512)/(G551+G512),0)</f>
        <v>83299.406557377049</v>
      </c>
      <c r="I206" s="100"/>
      <c r="K206" s="136"/>
    </row>
    <row r="207" spans="1:11">
      <c r="A207" s="8">
        <v>26</v>
      </c>
      <c r="C207" s="9" t="s">
        <v>93</v>
      </c>
      <c r="E207" s="8">
        <v>26</v>
      </c>
      <c r="G207" s="96"/>
      <c r="H207" s="100">
        <f>IF(H202=0,0,(H508+H509+H547+H548)/H202)</f>
        <v>89237.571783407853</v>
      </c>
      <c r="I207" s="100"/>
      <c r="J207" s="137"/>
      <c r="K207" s="100"/>
    </row>
    <row r="208" spans="1:11">
      <c r="A208" s="8">
        <v>27</v>
      </c>
      <c r="C208" s="9" t="s">
        <v>94</v>
      </c>
      <c r="E208" s="8">
        <v>27</v>
      </c>
      <c r="G208" s="96"/>
      <c r="H208" s="100">
        <f>IF(H203=0,0,(H510+H511+H549+H550)/H203)</f>
        <v>55305.199063231848</v>
      </c>
      <c r="I208" s="100"/>
      <c r="J208" s="137"/>
      <c r="K208" s="100"/>
    </row>
    <row r="209" spans="1:13">
      <c r="A209" s="8">
        <v>28</v>
      </c>
      <c r="E209" s="8">
        <v>28</v>
      </c>
      <c r="G209" s="96"/>
      <c r="H209" s="100"/>
      <c r="I209" s="100"/>
      <c r="J209" s="137"/>
      <c r="K209" s="100"/>
    </row>
    <row r="210" spans="1:13">
      <c r="A210" s="8">
        <v>29</v>
      </c>
      <c r="C210" s="9" t="s">
        <v>95</v>
      </c>
      <c r="E210" s="8">
        <v>29</v>
      </c>
      <c r="F210" s="61"/>
      <c r="G210" s="96"/>
      <c r="H210" s="97">
        <f>G101</f>
        <v>1093.73</v>
      </c>
      <c r="I210" s="96"/>
      <c r="J210" s="137"/>
      <c r="K210" s="97"/>
    </row>
    <row r="211" spans="1:13">
      <c r="A211" s="9"/>
      <c r="H211" s="40"/>
      <c r="J211" s="137"/>
      <c r="K211" s="137"/>
    </row>
    <row r="212" spans="1:13">
      <c r="A212" s="9"/>
      <c r="H212" s="40"/>
      <c r="K212" s="40"/>
    </row>
    <row r="213" spans="1:13" ht="30" customHeight="1">
      <c r="A213" s="9"/>
      <c r="C213" s="231" t="s">
        <v>96</v>
      </c>
      <c r="D213" s="231"/>
      <c r="E213" s="231"/>
      <c r="F213" s="231"/>
      <c r="G213" s="231"/>
      <c r="H213" s="231"/>
      <c r="I213" s="231"/>
      <c r="K213" s="40"/>
    </row>
    <row r="214" spans="1:13">
      <c r="A214" s="9"/>
      <c r="H214" s="40"/>
      <c r="K214" s="40"/>
    </row>
    <row r="215" spans="1:13">
      <c r="A215" s="9"/>
      <c r="H215" s="40"/>
      <c r="K215" s="40"/>
    </row>
    <row r="216" spans="1:13">
      <c r="A216" s="9"/>
      <c r="H216" s="40"/>
      <c r="K216" s="40"/>
    </row>
    <row r="217" spans="1:13">
      <c r="A217" s="9"/>
      <c r="C217" s="36"/>
      <c r="D217" s="36"/>
      <c r="E217" s="36"/>
      <c r="F217" s="36"/>
      <c r="G217" s="62"/>
      <c r="H217" s="39"/>
      <c r="K217" s="40"/>
    </row>
    <row r="218" spans="1:13">
      <c r="A218" s="9"/>
      <c r="H218" s="40"/>
      <c r="K218" s="40"/>
    </row>
    <row r="219" spans="1:13">
      <c r="A219" s="9"/>
      <c r="H219" s="40"/>
      <c r="K219" s="40"/>
    </row>
    <row r="220" spans="1:13">
      <c r="A220" s="9"/>
      <c r="H220" s="40"/>
      <c r="K220" s="40"/>
    </row>
    <row r="221" spans="1:13">
      <c r="A221" s="9"/>
      <c r="H221" s="40"/>
      <c r="K221" s="40"/>
    </row>
    <row r="222" spans="1:13">
      <c r="A222" s="9"/>
      <c r="H222" s="40"/>
      <c r="K222" s="40"/>
    </row>
    <row r="223" spans="1:13">
      <c r="A223" s="9"/>
      <c r="H223" s="40"/>
      <c r="K223" s="40"/>
    </row>
    <row r="224" spans="1:13">
      <c r="E224" s="35"/>
      <c r="G224" s="14"/>
      <c r="H224" s="40"/>
      <c r="I224" s="17"/>
      <c r="K224" s="40"/>
      <c r="M224" s="57"/>
    </row>
    <row r="225" spans="1:11">
      <c r="A225" s="9"/>
      <c r="H225" s="40"/>
      <c r="K225" s="40"/>
    </row>
    <row r="226" spans="1:11">
      <c r="A226" s="16" t="str">
        <f>$A$83</f>
        <v>Institution No.:  GFC</v>
      </c>
      <c r="C226" s="63"/>
      <c r="G226" s="137"/>
      <c r="H226" s="137"/>
      <c r="I226" s="31" t="s">
        <v>97</v>
      </c>
      <c r="J226" s="137"/>
      <c r="K226" s="137"/>
    </row>
    <row r="227" spans="1:11">
      <c r="A227" s="158"/>
      <c r="B227" s="232" t="s">
        <v>98</v>
      </c>
      <c r="C227" s="232"/>
      <c r="D227" s="232"/>
      <c r="E227" s="232"/>
      <c r="F227" s="232"/>
      <c r="G227" s="232"/>
      <c r="H227" s="232"/>
      <c r="I227" s="232"/>
      <c r="J227" s="232"/>
      <c r="K227" s="232"/>
    </row>
    <row r="228" spans="1:11">
      <c r="A228" s="16" t="str">
        <f>$A$42</f>
        <v xml:space="preserve">NAME: </v>
      </c>
      <c r="C228" s="137" t="str">
        <f>$D$20</f>
        <v>University of Colorado</v>
      </c>
      <c r="G228" s="137"/>
      <c r="H228" s="137"/>
      <c r="I228" s="18" t="str">
        <f>$K$3</f>
        <v>Date: October 09, 2017</v>
      </c>
      <c r="J228" s="137"/>
      <c r="K228" s="137"/>
    </row>
    <row r="229" spans="1:11">
      <c r="A229" s="19"/>
      <c r="C229" s="19" t="s">
        <v>6</v>
      </c>
      <c r="D229" s="19" t="s">
        <v>6</v>
      </c>
      <c r="E229" s="19" t="s">
        <v>6</v>
      </c>
      <c r="F229" s="19" t="s">
        <v>6</v>
      </c>
      <c r="G229" s="19" t="s">
        <v>6</v>
      </c>
      <c r="H229" s="19" t="s">
        <v>6</v>
      </c>
      <c r="I229" s="19" t="s">
        <v>6</v>
      </c>
      <c r="J229" s="19" t="s">
        <v>6</v>
      </c>
      <c r="K229" s="137"/>
    </row>
    <row r="230" spans="1:11">
      <c r="A230" s="22"/>
      <c r="D230" s="26" t="s">
        <v>232</v>
      </c>
      <c r="G230" s="137"/>
      <c r="H230" s="137"/>
      <c r="J230" s="137"/>
      <c r="K230" s="137"/>
    </row>
    <row r="231" spans="1:11">
      <c r="A231" s="22"/>
      <c r="D231" s="26" t="s">
        <v>12</v>
      </c>
      <c r="G231" s="137"/>
      <c r="H231" s="137"/>
      <c r="J231" s="137"/>
      <c r="K231" s="137"/>
    </row>
    <row r="232" spans="1:11">
      <c r="A232" s="19"/>
      <c r="D232" s="26" t="s">
        <v>99</v>
      </c>
      <c r="E232" s="26" t="s">
        <v>99</v>
      </c>
      <c r="F232" s="26" t="s">
        <v>100</v>
      </c>
      <c r="G232" s="26"/>
      <c r="H232" s="137"/>
      <c r="J232" s="137"/>
      <c r="K232" s="137"/>
    </row>
    <row r="233" spans="1:11">
      <c r="A233" s="9"/>
      <c r="C233" s="26" t="s">
        <v>101</v>
      </c>
      <c r="D233" s="26" t="s">
        <v>102</v>
      </c>
      <c r="E233" s="26" t="s">
        <v>103</v>
      </c>
      <c r="F233" s="26" t="s">
        <v>104</v>
      </c>
      <c r="G233" s="26"/>
      <c r="H233" s="137"/>
      <c r="J233" s="137"/>
      <c r="K233" s="137"/>
    </row>
    <row r="234" spans="1:11">
      <c r="A234" s="9"/>
      <c r="C234" s="19" t="s">
        <v>6</v>
      </c>
      <c r="D234" s="19" t="s">
        <v>6</v>
      </c>
      <c r="E234" s="19" t="s">
        <v>6</v>
      </c>
      <c r="F234" s="19" t="s">
        <v>6</v>
      </c>
      <c r="G234" s="19" t="s">
        <v>6</v>
      </c>
      <c r="H234" s="137"/>
      <c r="J234" s="137"/>
      <c r="K234" s="137"/>
    </row>
    <row r="235" spans="1:11">
      <c r="A235" s="9"/>
      <c r="G235" s="137"/>
      <c r="H235" s="137"/>
      <c r="J235" s="137"/>
      <c r="K235" s="137"/>
    </row>
    <row r="236" spans="1:11">
      <c r="A236" s="9"/>
      <c r="C236" s="9" t="s">
        <v>105</v>
      </c>
      <c r="D236" s="142"/>
      <c r="E236" s="142">
        <v>0</v>
      </c>
      <c r="F236" s="97" t="e">
        <f>D236/E236</f>
        <v>#DIV/0!</v>
      </c>
      <c r="G236" s="137"/>
      <c r="H236" s="137"/>
      <c r="J236" s="137"/>
      <c r="K236" s="137"/>
    </row>
    <row r="237" spans="1:11">
      <c r="A237" s="9"/>
      <c r="D237" s="105"/>
      <c r="E237" s="105"/>
      <c r="F237" s="105"/>
      <c r="G237" s="137"/>
      <c r="H237" s="137"/>
      <c r="J237" s="137"/>
      <c r="K237" s="137"/>
    </row>
    <row r="238" spans="1:11">
      <c r="A238" s="9"/>
      <c r="C238" s="9" t="s">
        <v>106</v>
      </c>
      <c r="D238" s="141">
        <v>5103.17</v>
      </c>
      <c r="E238" s="141">
        <v>229.05</v>
      </c>
      <c r="F238" s="97">
        <f>D238/E238</f>
        <v>22.279720585025103</v>
      </c>
      <c r="G238" s="8"/>
      <c r="H238" s="137"/>
      <c r="J238" s="137"/>
      <c r="K238" s="137"/>
    </row>
    <row r="239" spans="1:11">
      <c r="A239" s="9"/>
      <c r="D239" s="99"/>
      <c r="E239" s="99"/>
      <c r="F239" s="99"/>
      <c r="G239" s="137"/>
      <c r="H239" s="137"/>
      <c r="J239" s="137"/>
      <c r="K239" s="137"/>
    </row>
    <row r="240" spans="1:11">
      <c r="A240" s="9"/>
      <c r="C240" s="9" t="s">
        <v>107</v>
      </c>
      <c r="D240" s="141">
        <v>3793.77</v>
      </c>
      <c r="E240" s="141">
        <v>253.51</v>
      </c>
      <c r="F240" s="97">
        <f>D240/E240</f>
        <v>14.964971795984379</v>
      </c>
      <c r="G240" s="8"/>
      <c r="H240" s="137"/>
      <c r="J240" s="137"/>
      <c r="K240" s="137"/>
    </row>
    <row r="241" spans="1:11">
      <c r="A241" s="9"/>
      <c r="D241" s="99"/>
      <c r="E241" s="99"/>
      <c r="F241" s="99"/>
      <c r="G241" s="137"/>
      <c r="H241" s="137"/>
      <c r="J241" s="137"/>
      <c r="K241" s="137"/>
    </row>
    <row r="242" spans="1:11">
      <c r="A242" s="9"/>
      <c r="C242" s="9" t="s">
        <v>108</v>
      </c>
      <c r="D242" s="97">
        <f>SUM(D236:D240)</f>
        <v>8896.94</v>
      </c>
      <c r="E242" s="97">
        <f>SUM(E236:E240)</f>
        <v>482.56</v>
      </c>
      <c r="F242" s="97">
        <f>D242/E242</f>
        <v>18.436961206896552</v>
      </c>
      <c r="G242" s="29"/>
      <c r="H242" s="64"/>
      <c r="J242" s="137"/>
      <c r="K242" s="137"/>
    </row>
    <row r="243" spans="1:11">
      <c r="A243" s="9"/>
      <c r="D243" s="65"/>
      <c r="E243" s="65"/>
      <c r="F243" s="65"/>
      <c r="G243" s="137"/>
      <c r="H243" s="137"/>
      <c r="J243" s="137"/>
      <c r="K243" s="137"/>
    </row>
    <row r="244" spans="1:11">
      <c r="A244" s="9"/>
      <c r="D244" s="65"/>
      <c r="E244" s="65"/>
      <c r="F244" s="65"/>
      <c r="G244" s="137"/>
      <c r="H244" s="137"/>
      <c r="J244" s="137"/>
      <c r="K244" s="137"/>
    </row>
    <row r="245" spans="1:11">
      <c r="A245" s="9"/>
      <c r="C245" s="9" t="s">
        <v>109</v>
      </c>
      <c r="D245" s="143">
        <v>900.78</v>
      </c>
      <c r="E245" s="143">
        <v>72.41</v>
      </c>
      <c r="F245" s="97">
        <f>D245/E245</f>
        <v>12.439994475901118</v>
      </c>
      <c r="G245" s="8"/>
      <c r="H245" s="137"/>
      <c r="J245" s="137"/>
      <c r="K245" s="137"/>
    </row>
    <row r="246" spans="1:11">
      <c r="A246" s="9"/>
      <c r="D246" s="99"/>
      <c r="E246" s="99"/>
      <c r="F246" s="97"/>
      <c r="G246" s="137"/>
      <c r="H246" s="137"/>
      <c r="J246" s="137"/>
      <c r="K246" s="137"/>
    </row>
    <row r="247" spans="1:11">
      <c r="A247" s="9"/>
      <c r="B247" s="9" t="s">
        <v>38</v>
      </c>
      <c r="C247" s="9" t="s">
        <v>110</v>
      </c>
      <c r="D247" s="143">
        <v>132.19</v>
      </c>
      <c r="E247" s="143">
        <v>55.03</v>
      </c>
      <c r="F247" s="97">
        <f>D247/E247</f>
        <v>2.4021442849354897</v>
      </c>
      <c r="G247" s="8"/>
      <c r="H247" s="137"/>
      <c r="J247" s="137"/>
      <c r="K247" s="137"/>
    </row>
    <row r="248" spans="1:11">
      <c r="A248" s="9"/>
      <c r="D248" s="99"/>
      <c r="E248" s="99"/>
      <c r="F248" s="97"/>
      <c r="G248" s="137"/>
      <c r="H248" s="137"/>
      <c r="J248" s="137"/>
      <c r="K248" s="137"/>
    </row>
    <row r="249" spans="1:11">
      <c r="A249" s="9"/>
      <c r="C249" s="9" t="s">
        <v>111</v>
      </c>
      <c r="D249" s="99">
        <f>SUM(D245:D247)</f>
        <v>1032.97</v>
      </c>
      <c r="E249" s="99">
        <f>SUM(E245:E247)</f>
        <v>127.44</v>
      </c>
      <c r="F249" s="97">
        <f>D249/E249</f>
        <v>8.1055398618957941</v>
      </c>
      <c r="G249" s="8"/>
      <c r="H249" s="137"/>
      <c r="J249" s="137"/>
      <c r="K249" s="137"/>
    </row>
    <row r="250" spans="1:11">
      <c r="A250" s="9"/>
      <c r="D250" s="87"/>
      <c r="E250" s="87"/>
      <c r="F250" s="97"/>
      <c r="G250" s="137"/>
      <c r="H250" s="137"/>
      <c r="J250" s="137"/>
      <c r="K250" s="137"/>
    </row>
    <row r="251" spans="1:11">
      <c r="A251" s="9"/>
      <c r="C251" s="9" t="s">
        <v>112</v>
      </c>
      <c r="D251" s="184">
        <f>SUM(D242,D249)</f>
        <v>9929.91</v>
      </c>
      <c r="E251" s="90">
        <f>SUM(E242,E249)</f>
        <v>610</v>
      </c>
      <c r="F251" s="97">
        <f>D251/E251</f>
        <v>16.278540983606558</v>
      </c>
      <c r="G251" s="8"/>
      <c r="H251" s="137"/>
      <c r="J251" s="137"/>
      <c r="K251" s="137"/>
    </row>
    <row r="252" spans="1:11">
      <c r="A252" s="9"/>
      <c r="G252" s="137"/>
      <c r="H252" s="137"/>
      <c r="J252" s="137"/>
      <c r="K252" s="137"/>
    </row>
    <row r="253" spans="1:11">
      <c r="A253" s="9"/>
      <c r="G253" s="137"/>
      <c r="H253" s="137"/>
      <c r="J253" s="137"/>
      <c r="K253" s="137"/>
    </row>
    <row r="254" spans="1:11">
      <c r="A254" s="9"/>
      <c r="G254" s="137"/>
      <c r="H254" s="137"/>
      <c r="J254" s="137"/>
      <c r="K254" s="137"/>
    </row>
    <row r="255" spans="1:11">
      <c r="A255" s="9"/>
      <c r="G255" s="137"/>
      <c r="H255" s="137"/>
      <c r="J255" s="137"/>
      <c r="K255" s="137"/>
    </row>
    <row r="256" spans="1:11">
      <c r="A256" s="9"/>
      <c r="C256" s="9" t="s">
        <v>113</v>
      </c>
      <c r="G256" s="137"/>
      <c r="H256" s="137"/>
      <c r="J256" s="137"/>
      <c r="K256" s="137"/>
    </row>
    <row r="257" spans="1:11">
      <c r="A257" s="9"/>
      <c r="C257" s="9" t="s">
        <v>114</v>
      </c>
      <c r="G257" s="137"/>
      <c r="H257" s="137"/>
      <c r="J257" s="137"/>
      <c r="K257" s="137"/>
    </row>
    <row r="258" spans="1:11">
      <c r="A258" s="9"/>
      <c r="H258" s="40"/>
      <c r="K258" s="40"/>
    </row>
    <row r="259" spans="1:11">
      <c r="A259" s="9"/>
      <c r="H259" s="40"/>
      <c r="K259" s="40"/>
    </row>
    <row r="260" spans="1:11">
      <c r="A260" s="9"/>
      <c r="H260" s="40"/>
      <c r="K260" s="40"/>
    </row>
    <row r="261" spans="1:11">
      <c r="A261" s="9"/>
      <c r="H261" s="40"/>
      <c r="K261" s="40"/>
    </row>
    <row r="262" spans="1:11">
      <c r="A262" s="9"/>
      <c r="H262" s="40"/>
      <c r="K262" s="40"/>
    </row>
    <row r="263" spans="1:11">
      <c r="A263" s="9"/>
      <c r="H263" s="40"/>
      <c r="K263" s="40"/>
    </row>
    <row r="264" spans="1:11">
      <c r="A264" s="9"/>
      <c r="H264" s="40"/>
      <c r="K264" s="40"/>
    </row>
    <row r="265" spans="1:11">
      <c r="A265" s="9"/>
      <c r="H265" s="40"/>
      <c r="K265" s="40"/>
    </row>
    <row r="266" spans="1:11">
      <c r="A266" s="9"/>
      <c r="H266" s="40"/>
      <c r="K266" s="40"/>
    </row>
    <row r="267" spans="1:11">
      <c r="A267" s="9"/>
      <c r="H267" s="40"/>
      <c r="K267" s="40"/>
    </row>
    <row r="268" spans="1:11">
      <c r="A268" s="9"/>
      <c r="H268" s="40"/>
      <c r="K268" s="40"/>
    </row>
    <row r="269" spans="1:11">
      <c r="A269" s="9"/>
      <c r="H269" s="40"/>
      <c r="K269" s="40"/>
    </row>
    <row r="270" spans="1:11">
      <c r="A270" s="9"/>
      <c r="H270" s="40"/>
      <c r="K270" s="40"/>
    </row>
    <row r="271" spans="1:11">
      <c r="A271" s="9"/>
      <c r="H271" s="40"/>
      <c r="K271" s="40"/>
    </row>
    <row r="272" spans="1:11">
      <c r="A272" s="9"/>
      <c r="H272" s="40"/>
      <c r="K272" s="40"/>
    </row>
    <row r="273" spans="1:11">
      <c r="A273" s="9"/>
      <c r="H273" s="40"/>
      <c r="K273" s="40"/>
    </row>
    <row r="274" spans="1:11">
      <c r="A274" s="9"/>
      <c r="H274" s="40"/>
      <c r="K274" s="40"/>
    </row>
    <row r="275" spans="1:11" s="36" customFormat="1">
      <c r="A275" s="16" t="str">
        <f>$A$83</f>
        <v>Institution No.:  GFC</v>
      </c>
      <c r="E275" s="37"/>
      <c r="G275" s="38"/>
      <c r="H275" s="39"/>
      <c r="J275" s="38"/>
      <c r="K275" s="15" t="s">
        <v>115</v>
      </c>
    </row>
    <row r="276" spans="1:11" s="36" customFormat="1">
      <c r="E276" s="37" t="s">
        <v>116</v>
      </c>
      <c r="G276" s="38"/>
      <c r="H276" s="39"/>
      <c r="J276" s="38"/>
      <c r="K276" s="39"/>
    </row>
    <row r="277" spans="1:11">
      <c r="A277" s="16" t="str">
        <f>$A$42</f>
        <v xml:space="preserve">NAME: </v>
      </c>
      <c r="C277" s="137" t="str">
        <f>$D$20</f>
        <v>University of Colorado</v>
      </c>
      <c r="F277" s="32"/>
      <c r="G277" s="66"/>
      <c r="H277" s="67"/>
      <c r="J277" s="14"/>
      <c r="K277" s="18" t="str">
        <f>$K$3</f>
        <v>Date: October 09, 2017</v>
      </c>
    </row>
    <row r="278" spans="1:11">
      <c r="A278" s="19" t="s">
        <v>6</v>
      </c>
      <c r="B278" s="19" t="s">
        <v>6</v>
      </c>
      <c r="C278" s="19" t="s">
        <v>6</v>
      </c>
      <c r="D278" s="19" t="s">
        <v>6</v>
      </c>
      <c r="E278" s="19" t="s">
        <v>6</v>
      </c>
      <c r="F278" s="19" t="s">
        <v>6</v>
      </c>
      <c r="G278" s="20" t="s">
        <v>6</v>
      </c>
      <c r="H278" s="21" t="s">
        <v>6</v>
      </c>
      <c r="I278" s="19"/>
      <c r="J278" s="137"/>
      <c r="K278" s="21"/>
    </row>
    <row r="279" spans="1:11">
      <c r="A279" s="22" t="s">
        <v>7</v>
      </c>
      <c r="E279" s="22" t="s">
        <v>7</v>
      </c>
      <c r="F279" s="23"/>
      <c r="G279" s="24"/>
      <c r="H279" s="25" t="str">
        <f>H178</f>
        <v>2016-17</v>
      </c>
      <c r="I279" s="23"/>
      <c r="J279" s="137"/>
      <c r="K279" s="25"/>
    </row>
    <row r="280" spans="1:11" ht="21" customHeight="1">
      <c r="A280" s="22" t="s">
        <v>9</v>
      </c>
      <c r="C280" s="26" t="s">
        <v>51</v>
      </c>
      <c r="D280" s="68" t="s">
        <v>235</v>
      </c>
      <c r="E280" s="22" t="s">
        <v>9</v>
      </c>
      <c r="F280" s="23"/>
      <c r="G280" s="24" t="s">
        <v>11</v>
      </c>
      <c r="H280" s="25" t="s">
        <v>12</v>
      </c>
      <c r="I280" s="23"/>
      <c r="J280" s="137"/>
      <c r="K280" s="23"/>
    </row>
    <row r="281" spans="1:11">
      <c r="A281" s="19" t="s">
        <v>6</v>
      </c>
      <c r="B281" s="19" t="s">
        <v>6</v>
      </c>
      <c r="C281" s="19" t="s">
        <v>6</v>
      </c>
      <c r="D281" s="19" t="s">
        <v>6</v>
      </c>
      <c r="E281" s="19" t="s">
        <v>6</v>
      </c>
      <c r="F281" s="19" t="s">
        <v>6</v>
      </c>
      <c r="G281" s="20" t="s">
        <v>6</v>
      </c>
      <c r="H281" s="21" t="s">
        <v>6</v>
      </c>
      <c r="I281" s="19"/>
      <c r="J281" s="137"/>
      <c r="K281" s="19"/>
    </row>
    <row r="282" spans="1:11">
      <c r="A282" s="8">
        <v>1</v>
      </c>
      <c r="C282" s="9" t="s">
        <v>117</v>
      </c>
      <c r="E282" s="8">
        <v>1</v>
      </c>
      <c r="G282" s="14"/>
      <c r="H282" s="40"/>
      <c r="J282" s="137"/>
      <c r="K282" s="137"/>
    </row>
    <row r="283" spans="1:11">
      <c r="A283" s="8">
        <f>(A282+1)</f>
        <v>2</v>
      </c>
      <c r="C283" s="9" t="s">
        <v>118</v>
      </c>
      <c r="D283" s="9" t="s">
        <v>119</v>
      </c>
      <c r="E283" s="8">
        <f>(E282+1)</f>
        <v>2</v>
      </c>
      <c r="F283" s="10"/>
      <c r="G283" s="144">
        <v>152.75</v>
      </c>
      <c r="H283" s="145">
        <v>2132939</v>
      </c>
      <c r="I283" s="103"/>
      <c r="J283" s="137"/>
      <c r="K283" s="137"/>
    </row>
    <row r="284" spans="1:11">
      <c r="A284" s="8">
        <f>(A283+1)</f>
        <v>3</v>
      </c>
      <c r="D284" s="9" t="s">
        <v>120</v>
      </c>
      <c r="E284" s="8">
        <f>(E283+1)</f>
        <v>3</v>
      </c>
      <c r="F284" s="10"/>
      <c r="G284" s="144">
        <v>561.16999999999996</v>
      </c>
      <c r="H284" s="145">
        <v>6465114</v>
      </c>
      <c r="I284" s="103"/>
      <c r="J284" s="137"/>
      <c r="K284" s="137"/>
    </row>
    <row r="285" spans="1:11">
      <c r="A285" s="8">
        <v>4</v>
      </c>
      <c r="C285" s="9" t="s">
        <v>121</v>
      </c>
      <c r="D285" s="9" t="s">
        <v>122</v>
      </c>
      <c r="E285" s="8">
        <v>4</v>
      </c>
      <c r="F285" s="10"/>
      <c r="G285" s="144">
        <v>15.54</v>
      </c>
      <c r="H285" s="145">
        <v>466059</v>
      </c>
      <c r="I285" s="103"/>
      <c r="J285" s="137"/>
      <c r="K285" s="137"/>
    </row>
    <row r="286" spans="1:11">
      <c r="A286" s="8">
        <f>(A285+1)</f>
        <v>5</v>
      </c>
      <c r="D286" s="9" t="s">
        <v>123</v>
      </c>
      <c r="E286" s="8">
        <f>(E285+1)</f>
        <v>5</v>
      </c>
      <c r="F286" s="10"/>
      <c r="G286" s="144">
        <v>62.53</v>
      </c>
      <c r="H286" s="145">
        <v>1269320</v>
      </c>
      <c r="I286" s="103"/>
      <c r="J286" s="137"/>
      <c r="K286" s="137"/>
    </row>
    <row r="287" spans="1:11">
      <c r="A287" s="8">
        <f>(A286+1)</f>
        <v>6</v>
      </c>
      <c r="C287" s="9" t="s">
        <v>124</v>
      </c>
      <c r="E287" s="8">
        <f>(E286+1)</f>
        <v>6</v>
      </c>
      <c r="G287" s="99">
        <f>SUM(G283:G286)</f>
        <v>791.9899999999999</v>
      </c>
      <c r="H287" s="100">
        <f>SUM(H283:H286)</f>
        <v>10333432</v>
      </c>
      <c r="I287" s="100"/>
      <c r="J287" s="137"/>
      <c r="K287" s="137"/>
    </row>
    <row r="288" spans="1:11">
      <c r="A288" s="8">
        <f>(A287+1)</f>
        <v>7</v>
      </c>
      <c r="C288" s="9" t="s">
        <v>125</v>
      </c>
      <c r="E288" s="8">
        <f>(E287+1)</f>
        <v>7</v>
      </c>
      <c r="G288" s="97"/>
      <c r="H288" s="96"/>
      <c r="I288" s="100"/>
      <c r="J288" s="137"/>
      <c r="K288" s="137"/>
    </row>
    <row r="289" spans="1:11">
      <c r="A289" s="8">
        <f>(A288+1)</f>
        <v>8</v>
      </c>
      <c r="C289" s="9" t="s">
        <v>118</v>
      </c>
      <c r="D289" s="9" t="s">
        <v>119</v>
      </c>
      <c r="E289" s="8">
        <f>(E288+1)</f>
        <v>8</v>
      </c>
      <c r="F289" s="10"/>
      <c r="G289" s="144">
        <v>349.71</v>
      </c>
      <c r="H289" s="145">
        <v>4613198</v>
      </c>
      <c r="I289" s="103"/>
      <c r="J289" s="137"/>
      <c r="K289" s="137"/>
    </row>
    <row r="290" spans="1:11">
      <c r="A290" s="8">
        <v>9</v>
      </c>
      <c r="D290" s="9" t="s">
        <v>120</v>
      </c>
      <c r="E290" s="8">
        <v>9</v>
      </c>
      <c r="F290" s="10"/>
      <c r="G290" s="144">
        <v>3711.63</v>
      </c>
      <c r="H290" s="145">
        <v>41673116</v>
      </c>
      <c r="I290" s="103"/>
      <c r="J290" s="137"/>
      <c r="K290" s="137"/>
    </row>
    <row r="291" spans="1:11">
      <c r="A291" s="8">
        <v>10</v>
      </c>
      <c r="C291" s="9" t="s">
        <v>121</v>
      </c>
      <c r="D291" s="9" t="s">
        <v>122</v>
      </c>
      <c r="E291" s="8">
        <v>10</v>
      </c>
      <c r="F291" s="10"/>
      <c r="G291" s="144">
        <v>88.92</v>
      </c>
      <c r="H291" s="145">
        <v>2121011</v>
      </c>
      <c r="I291" s="103"/>
      <c r="J291" s="137"/>
      <c r="K291" s="137"/>
    </row>
    <row r="292" spans="1:11">
      <c r="A292" s="8">
        <f>(A291+1)</f>
        <v>11</v>
      </c>
      <c r="D292" s="9" t="s">
        <v>123</v>
      </c>
      <c r="E292" s="8">
        <f>(E291+1)</f>
        <v>11</v>
      </c>
      <c r="F292" s="10"/>
      <c r="G292" s="144">
        <v>555.1</v>
      </c>
      <c r="H292" s="145">
        <v>10570403</v>
      </c>
      <c r="I292" s="103"/>
      <c r="J292" s="137"/>
      <c r="K292" s="137"/>
    </row>
    <row r="293" spans="1:11">
      <c r="A293" s="8">
        <f>(A292+1)</f>
        <v>12</v>
      </c>
      <c r="C293" s="9" t="s">
        <v>126</v>
      </c>
      <c r="E293" s="8">
        <f>(E292+1)</f>
        <v>12</v>
      </c>
      <c r="G293" s="99">
        <f>SUM(G289:G292)</f>
        <v>4705.3600000000006</v>
      </c>
      <c r="H293" s="100">
        <f>SUM(H289:H292)</f>
        <v>58977728</v>
      </c>
      <c r="I293" s="100"/>
      <c r="J293" s="137"/>
      <c r="K293" s="137"/>
    </row>
    <row r="294" spans="1:11">
      <c r="A294" s="8">
        <f>(A293+1)</f>
        <v>13</v>
      </c>
      <c r="C294" s="9" t="s">
        <v>127</v>
      </c>
      <c r="E294" s="8">
        <f>(E293+1)</f>
        <v>13</v>
      </c>
      <c r="G294" s="97"/>
      <c r="H294" s="96"/>
      <c r="I294" s="100"/>
      <c r="J294" s="137"/>
      <c r="K294" s="137"/>
    </row>
    <row r="295" spans="1:11">
      <c r="A295" s="8">
        <f>(A294+1)</f>
        <v>14</v>
      </c>
      <c r="C295" s="9" t="s">
        <v>118</v>
      </c>
      <c r="D295" s="9" t="s">
        <v>119</v>
      </c>
      <c r="E295" s="8">
        <f>(E294+1)</f>
        <v>14</v>
      </c>
      <c r="F295" s="10"/>
      <c r="G295" s="144"/>
      <c r="H295" s="145">
        <v>0</v>
      </c>
      <c r="I295" s="103"/>
      <c r="J295" s="137"/>
      <c r="K295" s="137"/>
    </row>
    <row r="296" spans="1:11">
      <c r="A296" s="8">
        <v>15</v>
      </c>
      <c r="C296" s="9"/>
      <c r="D296" s="9" t="s">
        <v>120</v>
      </c>
      <c r="E296" s="8">
        <v>15</v>
      </c>
      <c r="F296" s="10"/>
      <c r="G296" s="144"/>
      <c r="H296" s="145">
        <v>0</v>
      </c>
      <c r="I296" s="103"/>
      <c r="J296" s="137"/>
      <c r="K296" s="137"/>
    </row>
    <row r="297" spans="1:11">
      <c r="A297" s="8">
        <v>16</v>
      </c>
      <c r="C297" s="9" t="s">
        <v>121</v>
      </c>
      <c r="D297" s="9" t="s">
        <v>122</v>
      </c>
      <c r="E297" s="8">
        <v>16</v>
      </c>
      <c r="F297" s="10"/>
      <c r="G297" s="144"/>
      <c r="H297" s="145">
        <v>0</v>
      </c>
      <c r="I297" s="103"/>
      <c r="J297" s="137"/>
      <c r="K297" s="137"/>
    </row>
    <row r="298" spans="1:11">
      <c r="A298" s="8">
        <v>17</v>
      </c>
      <c r="C298" s="9"/>
      <c r="D298" s="9" t="s">
        <v>123</v>
      </c>
      <c r="E298" s="8">
        <v>17</v>
      </c>
      <c r="G298" s="143"/>
      <c r="H298" s="146">
        <v>0</v>
      </c>
      <c r="I298" s="100"/>
      <c r="J298" s="137"/>
      <c r="K298" s="137"/>
    </row>
    <row r="299" spans="1:11">
      <c r="A299" s="8">
        <v>18</v>
      </c>
      <c r="C299" s="9" t="s">
        <v>128</v>
      </c>
      <c r="D299" s="9"/>
      <c r="E299" s="8">
        <v>18</v>
      </c>
      <c r="G299" s="99">
        <f>SUM(G295:G298)</f>
        <v>0</v>
      </c>
      <c r="H299" s="100">
        <f>SUM(H295:H298)</f>
        <v>0</v>
      </c>
      <c r="I299" s="100"/>
      <c r="J299" s="137"/>
      <c r="K299" s="137"/>
    </row>
    <row r="300" spans="1:11">
      <c r="A300" s="8">
        <v>19</v>
      </c>
      <c r="C300" s="9" t="s">
        <v>129</v>
      </c>
      <c r="D300" s="9"/>
      <c r="E300" s="8">
        <v>19</v>
      </c>
      <c r="G300" s="99"/>
      <c r="H300" s="100"/>
      <c r="I300" s="100"/>
      <c r="J300" s="137"/>
      <c r="K300" s="137"/>
    </row>
    <row r="301" spans="1:11">
      <c r="A301" s="8">
        <v>20</v>
      </c>
      <c r="C301" s="9" t="s">
        <v>118</v>
      </c>
      <c r="D301" s="9" t="s">
        <v>119</v>
      </c>
      <c r="E301" s="8">
        <v>20</v>
      </c>
      <c r="F301" s="69"/>
      <c r="G301" s="144">
        <v>350.08</v>
      </c>
      <c r="H301" s="145">
        <v>4587208</v>
      </c>
      <c r="I301" s="103"/>
      <c r="J301" s="137"/>
      <c r="K301" s="137"/>
    </row>
    <row r="302" spans="1:11">
      <c r="A302" s="8">
        <v>21</v>
      </c>
      <c r="C302" s="9"/>
      <c r="D302" s="9" t="s">
        <v>120</v>
      </c>
      <c r="E302" s="8">
        <v>21</v>
      </c>
      <c r="F302" s="69"/>
      <c r="G302" s="144">
        <v>3490.8</v>
      </c>
      <c r="H302" s="145">
        <v>39541176</v>
      </c>
      <c r="I302" s="103"/>
      <c r="J302" s="137"/>
      <c r="K302" s="137"/>
    </row>
    <row r="303" spans="1:11">
      <c r="A303" s="8">
        <v>22</v>
      </c>
      <c r="C303" s="9" t="s">
        <v>121</v>
      </c>
      <c r="D303" s="9" t="s">
        <v>122</v>
      </c>
      <c r="E303" s="8">
        <v>22</v>
      </c>
      <c r="F303" s="69"/>
      <c r="G303" s="144">
        <v>85.71</v>
      </c>
      <c r="H303" s="145">
        <v>2030497</v>
      </c>
      <c r="I303" s="103"/>
      <c r="J303" s="137"/>
      <c r="K303" s="137"/>
    </row>
    <row r="304" spans="1:11">
      <c r="A304" s="8">
        <v>23</v>
      </c>
      <c r="D304" s="9" t="s">
        <v>123</v>
      </c>
      <c r="E304" s="8">
        <v>23</v>
      </c>
      <c r="F304" s="69"/>
      <c r="G304" s="144">
        <v>505.97</v>
      </c>
      <c r="H304" s="145">
        <v>9749909</v>
      </c>
      <c r="I304" s="103"/>
      <c r="J304" s="137"/>
      <c r="K304" s="137"/>
    </row>
    <row r="305" spans="1:11">
      <c r="A305" s="8">
        <v>24</v>
      </c>
      <c r="C305" s="9" t="s">
        <v>130</v>
      </c>
      <c r="E305" s="8">
        <v>24</v>
      </c>
      <c r="F305" s="57"/>
      <c r="G305" s="97">
        <f>SUM(G301:G304)</f>
        <v>4432.5600000000004</v>
      </c>
      <c r="H305" s="96">
        <f>SUM(H301:H304)</f>
        <v>55908790</v>
      </c>
      <c r="I305" s="96"/>
      <c r="J305" s="137"/>
      <c r="K305" s="137"/>
    </row>
    <row r="306" spans="1:11">
      <c r="A306" s="8">
        <v>25</v>
      </c>
      <c r="C306" s="9" t="s">
        <v>131</v>
      </c>
      <c r="E306" s="8">
        <v>25</v>
      </c>
      <c r="G306" s="99"/>
      <c r="H306" s="100"/>
      <c r="I306" s="100"/>
      <c r="J306" s="137"/>
      <c r="K306" s="137"/>
    </row>
    <row r="307" spans="1:11">
      <c r="A307" s="8">
        <v>26</v>
      </c>
      <c r="C307" s="9" t="s">
        <v>118</v>
      </c>
      <c r="D307" s="9" t="s">
        <v>119</v>
      </c>
      <c r="E307" s="8">
        <v>26</v>
      </c>
      <c r="G307" s="99">
        <f>G283+G289+G295+G301</f>
        <v>852.54</v>
      </c>
      <c r="H307" s="100">
        <f t="shared" ref="H307:H310" si="0">H283+H289+H295+H301</f>
        <v>11333345</v>
      </c>
      <c r="I307" s="100"/>
      <c r="J307" s="137"/>
      <c r="K307" s="99"/>
    </row>
    <row r="308" spans="1:11">
      <c r="A308" s="8">
        <v>27</v>
      </c>
      <c r="C308" s="9"/>
      <c r="D308" s="9" t="s">
        <v>120</v>
      </c>
      <c r="E308" s="8">
        <v>27</v>
      </c>
      <c r="G308" s="99">
        <f>G284+G290+G296+G302</f>
        <v>7763.6</v>
      </c>
      <c r="H308" s="100">
        <f t="shared" si="0"/>
        <v>87679406</v>
      </c>
      <c r="I308" s="100"/>
      <c r="J308" s="137"/>
      <c r="K308" s="99"/>
    </row>
    <row r="309" spans="1:11">
      <c r="A309" s="8">
        <v>28</v>
      </c>
      <c r="C309" s="9" t="s">
        <v>121</v>
      </c>
      <c r="D309" s="9" t="s">
        <v>122</v>
      </c>
      <c r="E309" s="8">
        <v>28</v>
      </c>
      <c r="G309" s="99">
        <f>G285+G291+G297+G303</f>
        <v>190.17000000000002</v>
      </c>
      <c r="H309" s="100">
        <f t="shared" si="0"/>
        <v>4617567</v>
      </c>
      <c r="I309" s="100"/>
      <c r="J309" s="137"/>
      <c r="K309" s="99"/>
    </row>
    <row r="310" spans="1:11">
      <c r="A310" s="8">
        <v>29</v>
      </c>
      <c r="D310" s="9" t="s">
        <v>123</v>
      </c>
      <c r="E310" s="8">
        <v>29</v>
      </c>
      <c r="G310" s="99">
        <f>G286+G292+G298+G304</f>
        <v>1123.5999999999999</v>
      </c>
      <c r="H310" s="100">
        <f t="shared" si="0"/>
        <v>21589632</v>
      </c>
      <c r="I310" s="100"/>
      <c r="J310" s="137"/>
      <c r="K310" s="99"/>
    </row>
    <row r="311" spans="1:11">
      <c r="A311" s="8">
        <v>30</v>
      </c>
      <c r="E311" s="8">
        <v>30</v>
      </c>
      <c r="G311" s="97"/>
      <c r="H311" s="96"/>
      <c r="I311" s="100"/>
      <c r="J311" s="137"/>
      <c r="K311" s="97"/>
    </row>
    <row r="312" spans="1:11">
      <c r="A312" s="8">
        <v>31</v>
      </c>
      <c r="C312" s="9" t="s">
        <v>132</v>
      </c>
      <c r="E312" s="8">
        <v>31</v>
      </c>
      <c r="G312" s="99">
        <f>SUM(G307:G308)</f>
        <v>8616.14</v>
      </c>
      <c r="H312" s="100">
        <f>SUM(H307:H308)</f>
        <v>99012751</v>
      </c>
      <c r="I312" s="100"/>
      <c r="J312" s="137"/>
      <c r="K312" s="99"/>
    </row>
    <row r="313" spans="1:11">
      <c r="A313" s="8">
        <v>32</v>
      </c>
      <c r="C313" s="9" t="s">
        <v>133</v>
      </c>
      <c r="E313" s="8">
        <v>32</v>
      </c>
      <c r="G313" s="99">
        <f>SUM(G309:G310)</f>
        <v>1313.77</v>
      </c>
      <c r="H313" s="100">
        <f>SUM(H309:H310)</f>
        <v>26207199</v>
      </c>
      <c r="I313" s="100"/>
      <c r="J313" s="137"/>
      <c r="K313" s="99"/>
    </row>
    <row r="314" spans="1:11">
      <c r="A314" s="8">
        <v>33</v>
      </c>
      <c r="C314" s="9" t="s">
        <v>134</v>
      </c>
      <c r="E314" s="8">
        <v>33</v>
      </c>
      <c r="F314" s="57"/>
      <c r="G314" s="97">
        <f>SUM(G307,G309)</f>
        <v>1042.71</v>
      </c>
      <c r="H314" s="96">
        <f>SUM(H307,H309)</f>
        <v>15950912</v>
      </c>
      <c r="I314" s="96"/>
      <c r="J314" s="137"/>
      <c r="K314" s="97"/>
    </row>
    <row r="315" spans="1:11">
      <c r="A315" s="8">
        <v>34</v>
      </c>
      <c r="C315" s="9" t="s">
        <v>135</v>
      </c>
      <c r="E315" s="8">
        <v>34</v>
      </c>
      <c r="F315" s="57"/>
      <c r="G315" s="97">
        <f>SUM(G308,G310)</f>
        <v>8887.2000000000007</v>
      </c>
      <c r="H315" s="96">
        <f>SUM(H308,H310)</f>
        <v>109269038</v>
      </c>
      <c r="I315" s="96"/>
      <c r="J315" s="137"/>
      <c r="K315" s="97"/>
    </row>
    <row r="316" spans="1:11">
      <c r="A316" s="9"/>
      <c r="C316" s="19" t="s">
        <v>6</v>
      </c>
      <c r="D316" s="19" t="s">
        <v>6</v>
      </c>
      <c r="E316" s="19" t="s">
        <v>6</v>
      </c>
      <c r="F316" s="19" t="s">
        <v>6</v>
      </c>
      <c r="G316" s="19" t="s">
        <v>6</v>
      </c>
      <c r="H316" s="19" t="s">
        <v>6</v>
      </c>
      <c r="I316" s="19"/>
      <c r="J316" s="19"/>
      <c r="K316" s="19"/>
    </row>
    <row r="317" spans="1:11">
      <c r="A317" s="8">
        <v>35</v>
      </c>
      <c r="C317" s="137" t="s">
        <v>136</v>
      </c>
      <c r="E317" s="8">
        <v>35</v>
      </c>
      <c r="G317" s="99">
        <f>SUM(G314:G315)</f>
        <v>9929.91</v>
      </c>
      <c r="H317" s="100">
        <f>SUM(H314:H315)-1</f>
        <v>125219949</v>
      </c>
      <c r="I317" s="100"/>
      <c r="J317" s="100"/>
      <c r="K317" s="99"/>
    </row>
    <row r="318" spans="1:11">
      <c r="C318" s="9" t="s">
        <v>238</v>
      </c>
      <c r="F318" s="70" t="s">
        <v>6</v>
      </c>
      <c r="G318" s="20"/>
      <c r="H318" s="21"/>
      <c r="I318" s="70"/>
      <c r="J318" s="70"/>
      <c r="K318" s="20"/>
    </row>
    <row r="319" spans="1:11">
      <c r="C319" s="9"/>
      <c r="F319" s="70"/>
      <c r="G319" s="20"/>
      <c r="H319" s="21"/>
      <c r="I319" s="70"/>
      <c r="J319" s="137"/>
      <c r="K319" s="137"/>
    </row>
    <row r="320" spans="1:11">
      <c r="J320" s="137"/>
      <c r="K320" s="137"/>
    </row>
    <row r="321" spans="1:11" ht="36" customHeight="1">
      <c r="A321" s="137">
        <v>36</v>
      </c>
      <c r="B321" s="33"/>
      <c r="C321" s="221" t="s">
        <v>233</v>
      </c>
      <c r="D321" s="221"/>
      <c r="E321" s="221"/>
      <c r="F321" s="221"/>
      <c r="G321" s="221"/>
      <c r="H321" s="221"/>
      <c r="I321" s="221"/>
      <c r="J321" s="221"/>
      <c r="K321" s="137"/>
    </row>
    <row r="322" spans="1:11">
      <c r="C322" s="137" t="s">
        <v>137</v>
      </c>
      <c r="F322" s="70"/>
      <c r="G322" s="20"/>
      <c r="H322" s="40"/>
      <c r="I322" s="70"/>
      <c r="J322" s="20"/>
      <c r="K322" s="40"/>
    </row>
    <row r="323" spans="1:11">
      <c r="C323" s="137" t="s">
        <v>2</v>
      </c>
      <c r="F323" s="70"/>
      <c r="G323" s="20"/>
      <c r="H323" s="40"/>
      <c r="I323" s="70"/>
      <c r="J323" s="20"/>
      <c r="K323" s="40"/>
    </row>
    <row r="324" spans="1:11">
      <c r="A324" s="9"/>
    </row>
    <row r="325" spans="1:11" s="36" customFormat="1">
      <c r="A325" s="16" t="str">
        <f>$A$83</f>
        <v>Institution No.:  GFC</v>
      </c>
      <c r="E325" s="37"/>
      <c r="G325" s="38"/>
      <c r="H325" s="39"/>
      <c r="J325" s="38"/>
      <c r="K325" s="71" t="s">
        <v>138</v>
      </c>
    </row>
    <row r="326" spans="1:11" s="36" customFormat="1" ht="14.25">
      <c r="D326" s="58" t="s">
        <v>246</v>
      </c>
      <c r="E326" s="37"/>
      <c r="G326" s="38"/>
      <c r="H326" s="39"/>
      <c r="J326" s="38"/>
      <c r="K326" s="39"/>
    </row>
    <row r="327" spans="1:11">
      <c r="A327" s="16" t="str">
        <f>$A$42</f>
        <v xml:space="preserve">NAME: </v>
      </c>
      <c r="C327" s="137" t="str">
        <f>$D$20</f>
        <v>University of Colorado</v>
      </c>
      <c r="F327" s="72"/>
      <c r="G327" s="66"/>
      <c r="H327" s="67"/>
      <c r="J327" s="14"/>
      <c r="K327" s="18" t="str">
        <f>$K$3</f>
        <v>Date: October 09, 2017</v>
      </c>
    </row>
    <row r="328" spans="1:11">
      <c r="A328" s="19" t="s">
        <v>6</v>
      </c>
      <c r="B328" s="19" t="s">
        <v>6</v>
      </c>
      <c r="C328" s="19" t="s">
        <v>6</v>
      </c>
      <c r="D328" s="19" t="s">
        <v>6</v>
      </c>
      <c r="E328" s="19" t="s">
        <v>6</v>
      </c>
      <c r="F328" s="19" t="s">
        <v>6</v>
      </c>
      <c r="G328" s="20" t="s">
        <v>6</v>
      </c>
      <c r="H328" s="21" t="s">
        <v>6</v>
      </c>
      <c r="I328" s="19" t="s">
        <v>6</v>
      </c>
      <c r="J328" s="20" t="s">
        <v>6</v>
      </c>
      <c r="K328" s="21" t="s">
        <v>6</v>
      </c>
    </row>
    <row r="329" spans="1:11">
      <c r="A329" s="22" t="s">
        <v>7</v>
      </c>
      <c r="E329" s="22" t="s">
        <v>7</v>
      </c>
      <c r="G329" s="24"/>
      <c r="H329" s="25" t="str">
        <f>H279</f>
        <v>2016-17</v>
      </c>
      <c r="I329" s="23"/>
      <c r="J329" s="24"/>
      <c r="K329" s="25" t="s">
        <v>261</v>
      </c>
    </row>
    <row r="330" spans="1:11">
      <c r="A330" s="22" t="s">
        <v>9</v>
      </c>
      <c r="C330" s="26" t="s">
        <v>51</v>
      </c>
      <c r="E330" s="22" t="s">
        <v>9</v>
      </c>
      <c r="G330" s="14"/>
      <c r="H330" s="25" t="s">
        <v>12</v>
      </c>
      <c r="J330" s="14"/>
      <c r="K330" s="25" t="s">
        <v>13</v>
      </c>
    </row>
    <row r="331" spans="1:11">
      <c r="A331" s="19" t="s">
        <v>6</v>
      </c>
      <c r="B331" s="19" t="s">
        <v>6</v>
      </c>
      <c r="C331" s="19" t="s">
        <v>6</v>
      </c>
      <c r="D331" s="19" t="s">
        <v>6</v>
      </c>
      <c r="E331" s="19" t="s">
        <v>6</v>
      </c>
      <c r="F331" s="19" t="s">
        <v>6</v>
      </c>
      <c r="G331" s="20" t="s">
        <v>6</v>
      </c>
      <c r="H331" s="21" t="s">
        <v>6</v>
      </c>
      <c r="I331" s="19" t="s">
        <v>6</v>
      </c>
      <c r="J331" s="20" t="s">
        <v>6</v>
      </c>
      <c r="K331" s="21" t="s">
        <v>6</v>
      </c>
    </row>
    <row r="332" spans="1:11" ht="13.5">
      <c r="A332" s="73">
        <v>1</v>
      </c>
      <c r="C332" s="9" t="s">
        <v>247</v>
      </c>
      <c r="E332" s="73">
        <v>1</v>
      </c>
      <c r="G332" s="14"/>
      <c r="H332" s="40" t="s">
        <v>226</v>
      </c>
      <c r="J332" s="14"/>
      <c r="K332" s="40" t="s">
        <v>226</v>
      </c>
    </row>
    <row r="333" spans="1:11">
      <c r="A333" s="73">
        <v>2</v>
      </c>
      <c r="C333" s="9"/>
      <c r="E333" s="73">
        <v>2</v>
      </c>
      <c r="G333" s="14"/>
      <c r="H333" s="147">
        <v>0</v>
      </c>
      <c r="J333" s="14"/>
      <c r="K333" s="147">
        <v>0</v>
      </c>
    </row>
    <row r="334" spans="1:11" ht="13.5">
      <c r="A334" s="137">
        <v>3</v>
      </c>
      <c r="C334" s="137" t="s">
        <v>248</v>
      </c>
      <c r="E334" s="137">
        <v>3</v>
      </c>
      <c r="F334" s="40"/>
      <c r="G334" s="40"/>
      <c r="H334" s="40" t="s">
        <v>226</v>
      </c>
      <c r="I334" s="40"/>
      <c r="J334" s="40"/>
      <c r="K334" s="40" t="s">
        <v>226</v>
      </c>
    </row>
    <row r="335" spans="1:11">
      <c r="A335" s="73">
        <v>4</v>
      </c>
      <c r="C335" s="137" t="s">
        <v>139</v>
      </c>
      <c r="E335" s="73">
        <v>4</v>
      </c>
      <c r="F335" s="40"/>
      <c r="G335" s="40"/>
      <c r="H335" s="147"/>
      <c r="I335" s="40"/>
      <c r="J335" s="40"/>
      <c r="K335" s="147"/>
    </row>
    <row r="336" spans="1:11">
      <c r="A336" s="73">
        <v>5</v>
      </c>
      <c r="C336" s="137" t="s">
        <v>140</v>
      </c>
      <c r="E336" s="73">
        <v>5</v>
      </c>
      <c r="F336" s="40"/>
      <c r="G336" s="40"/>
      <c r="H336" s="147"/>
      <c r="I336" s="40"/>
      <c r="J336" s="40"/>
      <c r="K336" s="147"/>
    </row>
    <row r="337" spans="1:11">
      <c r="A337" s="73">
        <v>6</v>
      </c>
      <c r="E337" s="73">
        <v>6</v>
      </c>
      <c r="F337" s="40"/>
      <c r="G337" s="40"/>
      <c r="H337" s="147"/>
      <c r="I337" s="40"/>
      <c r="J337" s="40"/>
      <c r="K337" s="147"/>
    </row>
    <row r="338" spans="1:11">
      <c r="A338" s="73">
        <v>7</v>
      </c>
      <c r="E338" s="73">
        <v>7</v>
      </c>
      <c r="F338" s="40"/>
      <c r="G338" s="40"/>
      <c r="H338" s="147"/>
      <c r="I338" s="40"/>
      <c r="J338" s="40"/>
      <c r="K338" s="147"/>
    </row>
    <row r="339" spans="1:11">
      <c r="A339" s="73">
        <v>8</v>
      </c>
      <c r="E339" s="73">
        <v>8</v>
      </c>
      <c r="F339" s="40"/>
      <c r="G339" s="40"/>
      <c r="H339" s="147"/>
      <c r="I339" s="40"/>
      <c r="J339" s="40"/>
      <c r="K339" s="147"/>
    </row>
    <row r="340" spans="1:11">
      <c r="A340" s="73">
        <v>9</v>
      </c>
      <c r="E340" s="73">
        <v>9</v>
      </c>
      <c r="F340" s="40"/>
      <c r="G340" s="40"/>
      <c r="H340" s="147"/>
      <c r="I340" s="40"/>
      <c r="J340" s="40"/>
      <c r="K340" s="147"/>
    </row>
    <row r="341" spans="1:11">
      <c r="A341" s="73">
        <v>10</v>
      </c>
      <c r="E341" s="73">
        <v>10</v>
      </c>
      <c r="F341" s="40"/>
      <c r="G341" s="40"/>
      <c r="H341" s="147"/>
      <c r="I341" s="40"/>
      <c r="J341" s="40"/>
      <c r="K341" s="147"/>
    </row>
    <row r="342" spans="1:11">
      <c r="A342" s="73">
        <v>11</v>
      </c>
      <c r="E342" s="73">
        <v>11</v>
      </c>
      <c r="F342" s="40"/>
      <c r="G342" s="40"/>
      <c r="H342" s="147"/>
      <c r="I342" s="40"/>
      <c r="J342" s="40"/>
      <c r="K342" s="147"/>
    </row>
    <row r="343" spans="1:11">
      <c r="A343" s="73">
        <v>12</v>
      </c>
      <c r="E343" s="73">
        <v>12</v>
      </c>
      <c r="F343" s="40"/>
      <c r="G343" s="40"/>
      <c r="H343" s="147"/>
      <c r="I343" s="40"/>
      <c r="J343" s="40"/>
      <c r="K343" s="147"/>
    </row>
    <row r="344" spans="1:11">
      <c r="A344" s="73">
        <v>13</v>
      </c>
      <c r="E344" s="73">
        <v>13</v>
      </c>
      <c r="F344" s="40"/>
      <c r="G344" s="40"/>
      <c r="H344" s="147"/>
      <c r="I344" s="40"/>
      <c r="J344" s="40"/>
      <c r="K344" s="147"/>
    </row>
    <row r="345" spans="1:11">
      <c r="A345" s="73">
        <v>14</v>
      </c>
      <c r="C345" s="74" t="s">
        <v>38</v>
      </c>
      <c r="D345" s="75"/>
      <c r="E345" s="73">
        <v>14</v>
      </c>
      <c r="F345" s="40"/>
      <c r="G345" s="40"/>
      <c r="H345" s="147"/>
      <c r="I345" s="40"/>
      <c r="J345" s="40"/>
      <c r="K345" s="147"/>
    </row>
    <row r="346" spans="1:11">
      <c r="A346" s="73">
        <v>15</v>
      </c>
      <c r="C346" s="74"/>
      <c r="D346" s="75"/>
      <c r="E346" s="73">
        <v>15</v>
      </c>
      <c r="F346" s="40"/>
      <c r="G346" s="40"/>
      <c r="H346" s="147"/>
      <c r="I346" s="40"/>
      <c r="J346" s="40"/>
      <c r="K346" s="147"/>
    </row>
    <row r="347" spans="1:11">
      <c r="A347" s="73">
        <v>16</v>
      </c>
      <c r="E347" s="73">
        <v>16</v>
      </c>
      <c r="F347" s="40"/>
      <c r="G347" s="40"/>
      <c r="H347" s="147"/>
      <c r="I347" s="40"/>
      <c r="J347" s="40"/>
      <c r="K347" s="147"/>
    </row>
    <row r="348" spans="1:11">
      <c r="A348" s="73">
        <v>17</v>
      </c>
      <c r="C348" s="9" t="s">
        <v>38</v>
      </c>
      <c r="E348" s="73">
        <v>17</v>
      </c>
      <c r="F348" s="40"/>
      <c r="G348" s="40"/>
      <c r="H348" s="147"/>
      <c r="I348" s="40"/>
      <c r="J348" s="40"/>
      <c r="K348" s="147"/>
    </row>
    <row r="349" spans="1:11">
      <c r="A349" s="73">
        <v>18</v>
      </c>
      <c r="E349" s="73">
        <v>18</v>
      </c>
      <c r="F349" s="40"/>
      <c r="G349" s="40"/>
      <c r="H349" s="147"/>
      <c r="I349" s="40"/>
      <c r="J349" s="40" t="s">
        <v>38</v>
      </c>
      <c r="K349" s="147"/>
    </row>
    <row r="350" spans="1:11">
      <c r="A350" s="73">
        <v>19</v>
      </c>
      <c r="E350" s="73">
        <v>19</v>
      </c>
      <c r="F350" s="40"/>
      <c r="G350" s="40"/>
      <c r="H350" s="147"/>
      <c r="I350" s="40"/>
      <c r="J350" s="40"/>
      <c r="K350" s="147"/>
    </row>
    <row r="351" spans="1:11">
      <c r="A351" s="73"/>
      <c r="C351" s="74"/>
      <c r="E351" s="73"/>
      <c r="F351" s="70" t="s">
        <v>6</v>
      </c>
      <c r="G351" s="20" t="s">
        <v>6</v>
      </c>
      <c r="H351" s="21" t="s">
        <v>6</v>
      </c>
      <c r="I351" s="70" t="s">
        <v>6</v>
      </c>
      <c r="J351" s="20" t="s">
        <v>6</v>
      </c>
      <c r="K351" s="21" t="s">
        <v>6</v>
      </c>
    </row>
    <row r="352" spans="1:11">
      <c r="A352" s="73">
        <v>20</v>
      </c>
      <c r="C352" s="74" t="s">
        <v>141</v>
      </c>
      <c r="E352" s="73">
        <v>20</v>
      </c>
      <c r="G352" s="96"/>
      <c r="H352" s="100">
        <f>SUM(H332:H350)</f>
        <v>0</v>
      </c>
      <c r="I352" s="100"/>
      <c r="J352" s="96"/>
      <c r="K352" s="100">
        <f>SUM(K332:K350)</f>
        <v>0</v>
      </c>
    </row>
    <row r="353" spans="1:11">
      <c r="A353" s="76"/>
      <c r="C353" s="9"/>
      <c r="E353" s="35"/>
      <c r="F353" s="70" t="s">
        <v>6</v>
      </c>
      <c r="G353" s="20" t="s">
        <v>6</v>
      </c>
      <c r="H353" s="21" t="s">
        <v>6</v>
      </c>
      <c r="I353" s="70" t="s">
        <v>6</v>
      </c>
      <c r="J353" s="20" t="s">
        <v>6</v>
      </c>
      <c r="K353" s="21" t="s">
        <v>6</v>
      </c>
    </row>
    <row r="354" spans="1:11" ht="13.5">
      <c r="C354" s="137" t="s">
        <v>254</v>
      </c>
      <c r="F354" s="70"/>
      <c r="G354" s="20"/>
      <c r="H354" s="40"/>
      <c r="I354" s="70"/>
      <c r="J354" s="20"/>
      <c r="K354" s="40"/>
    </row>
    <row r="355" spans="1:11" ht="13.5">
      <c r="C355" s="137" t="s">
        <v>253</v>
      </c>
      <c r="F355" s="70"/>
      <c r="G355" s="20"/>
      <c r="H355" s="40"/>
      <c r="I355" s="70"/>
      <c r="J355" s="20"/>
      <c r="K355" s="40"/>
    </row>
    <row r="356" spans="1:11" ht="13.5">
      <c r="A356" s="9"/>
      <c r="C356" s="137" t="s">
        <v>255</v>
      </c>
    </row>
    <row r="357" spans="1:11">
      <c r="A357" s="9"/>
      <c r="C357" s="137" t="s">
        <v>240</v>
      </c>
    </row>
    <row r="358" spans="1:11" s="36" customFormat="1">
      <c r="A358" s="16" t="str">
        <f>$A$83</f>
        <v>Institution No.:  GFC</v>
      </c>
      <c r="E358" s="37"/>
      <c r="G358" s="38"/>
      <c r="H358" s="39"/>
      <c r="J358" s="38"/>
      <c r="K358" s="15" t="s">
        <v>142</v>
      </c>
    </row>
    <row r="359" spans="1:11" s="36" customFormat="1" ht="14.25">
      <c r="D359" s="58" t="s">
        <v>241</v>
      </c>
      <c r="E359" s="37"/>
      <c r="G359" s="38"/>
      <c r="H359" s="39"/>
      <c r="J359" s="38"/>
      <c r="K359" s="39"/>
    </row>
    <row r="360" spans="1:11">
      <c r="A360" s="16" t="str">
        <f>$A$42</f>
        <v xml:space="preserve">NAME: </v>
      </c>
      <c r="C360" s="137" t="str">
        <f>$D$20</f>
        <v>University of Colorado</v>
      </c>
      <c r="F360" s="72"/>
      <c r="G360" s="66"/>
      <c r="H360" s="40"/>
      <c r="J360" s="14"/>
      <c r="K360" s="18" t="str">
        <f>$K$3</f>
        <v>Date: October 09, 2017</v>
      </c>
    </row>
    <row r="361" spans="1:11">
      <c r="A361" s="19" t="s">
        <v>6</v>
      </c>
      <c r="B361" s="19" t="s">
        <v>6</v>
      </c>
      <c r="C361" s="19" t="s">
        <v>6</v>
      </c>
      <c r="D361" s="19" t="s">
        <v>6</v>
      </c>
      <c r="E361" s="19" t="s">
        <v>6</v>
      </c>
      <c r="F361" s="19" t="s">
        <v>6</v>
      </c>
      <c r="G361" s="20" t="s">
        <v>6</v>
      </c>
      <c r="H361" s="21" t="s">
        <v>6</v>
      </c>
      <c r="I361" s="19" t="s">
        <v>6</v>
      </c>
      <c r="J361" s="20" t="s">
        <v>6</v>
      </c>
      <c r="K361" s="21" t="s">
        <v>6</v>
      </c>
    </row>
    <row r="362" spans="1:11">
      <c r="A362" s="22" t="s">
        <v>7</v>
      </c>
      <c r="E362" s="22" t="s">
        <v>7</v>
      </c>
      <c r="G362" s="24"/>
      <c r="H362" s="25" t="str">
        <f>H329</f>
        <v>2016-17</v>
      </c>
      <c r="I362" s="23"/>
      <c r="J362" s="24"/>
      <c r="K362" s="25" t="str">
        <f>K329</f>
        <v>2017-18</v>
      </c>
    </row>
    <row r="363" spans="1:11">
      <c r="A363" s="22" t="s">
        <v>9</v>
      </c>
      <c r="C363" s="26" t="s">
        <v>51</v>
      </c>
      <c r="E363" s="22" t="s">
        <v>9</v>
      </c>
      <c r="G363" s="14"/>
      <c r="H363" s="25" t="s">
        <v>12</v>
      </c>
      <c r="J363" s="14"/>
      <c r="K363" s="25" t="s">
        <v>13</v>
      </c>
    </row>
    <row r="364" spans="1:11">
      <c r="A364" s="19" t="s">
        <v>6</v>
      </c>
      <c r="B364" s="19" t="s">
        <v>6</v>
      </c>
      <c r="C364" s="19" t="s">
        <v>6</v>
      </c>
      <c r="D364" s="19" t="s">
        <v>6</v>
      </c>
      <c r="E364" s="19" t="s">
        <v>6</v>
      </c>
      <c r="F364" s="19" t="s">
        <v>6</v>
      </c>
      <c r="G364" s="20" t="s">
        <v>6</v>
      </c>
      <c r="H364" s="21" t="s">
        <v>6</v>
      </c>
      <c r="I364" s="19" t="s">
        <v>6</v>
      </c>
      <c r="J364" s="20" t="s">
        <v>6</v>
      </c>
      <c r="K364" s="21" t="s">
        <v>6</v>
      </c>
    </row>
    <row r="365" spans="1:11">
      <c r="A365" s="73"/>
      <c r="C365" s="31" t="s">
        <v>143</v>
      </c>
      <c r="E365" s="73"/>
      <c r="G365" s="96"/>
      <c r="H365" s="96"/>
      <c r="I365" s="100"/>
      <c r="J365" s="96"/>
      <c r="K365" s="96"/>
    </row>
    <row r="366" spans="1:11" ht="13.5">
      <c r="A366" s="73">
        <v>1</v>
      </c>
      <c r="C366" s="77" t="s">
        <v>250</v>
      </c>
      <c r="E366" s="73">
        <v>1</v>
      </c>
      <c r="G366" s="96"/>
      <c r="H366" s="148">
        <v>5831748</v>
      </c>
      <c r="I366" s="100"/>
      <c r="J366" s="96"/>
      <c r="K366" s="148">
        <v>6117962</v>
      </c>
    </row>
    <row r="367" spans="1:11">
      <c r="A367" s="73">
        <v>2</v>
      </c>
      <c r="C367" s="10" t="s">
        <v>144</v>
      </c>
      <c r="E367" s="73">
        <v>2</v>
      </c>
      <c r="F367" s="10"/>
      <c r="G367" s="103"/>
      <c r="H367" s="145">
        <v>1488841</v>
      </c>
      <c r="I367" s="103"/>
      <c r="J367" s="103"/>
      <c r="K367" s="145">
        <v>1134602</v>
      </c>
    </row>
    <row r="368" spans="1:11">
      <c r="A368" s="73">
        <v>3</v>
      </c>
      <c r="C368" s="10" t="s">
        <v>145</v>
      </c>
      <c r="E368" s="73">
        <v>3</v>
      </c>
      <c r="F368" s="10"/>
      <c r="G368" s="103"/>
      <c r="H368" s="145">
        <v>3196416</v>
      </c>
      <c r="I368" s="103"/>
      <c r="J368" s="103"/>
      <c r="K368" s="145">
        <v>2550484</v>
      </c>
    </row>
    <row r="369" spans="1:11" ht="13.5">
      <c r="A369" s="73">
        <v>4</v>
      </c>
      <c r="C369" s="10" t="s">
        <v>252</v>
      </c>
      <c r="E369" s="73">
        <v>4</v>
      </c>
      <c r="F369" s="10"/>
      <c r="G369" s="103"/>
      <c r="H369" s="145"/>
      <c r="I369" s="103"/>
      <c r="J369" s="103"/>
      <c r="K369" s="145"/>
    </row>
    <row r="370" spans="1:11">
      <c r="A370" s="73">
        <v>5</v>
      </c>
      <c r="C370" s="10" t="s">
        <v>146</v>
      </c>
      <c r="E370" s="73">
        <v>5</v>
      </c>
      <c r="F370" s="10"/>
      <c r="G370" s="103"/>
      <c r="H370" s="145">
        <v>896</v>
      </c>
      <c r="I370" s="103"/>
      <c r="J370" s="103"/>
      <c r="K370" s="145"/>
    </row>
    <row r="371" spans="1:11">
      <c r="A371" s="73">
        <v>6</v>
      </c>
      <c r="C371" s="10" t="s">
        <v>147</v>
      </c>
      <c r="E371" s="73">
        <v>6</v>
      </c>
      <c r="F371" s="10"/>
      <c r="G371" s="103"/>
      <c r="H371" s="145"/>
      <c r="I371" s="103"/>
      <c r="J371" s="103"/>
      <c r="K371" s="145"/>
    </row>
    <row r="372" spans="1:11">
      <c r="A372" s="73">
        <v>7</v>
      </c>
      <c r="C372" s="10" t="s">
        <v>148</v>
      </c>
      <c r="E372" s="73">
        <v>7</v>
      </c>
      <c r="F372" s="10"/>
      <c r="G372" s="103"/>
      <c r="H372" s="145"/>
      <c r="I372" s="103"/>
      <c r="J372" s="103"/>
      <c r="K372" s="145"/>
    </row>
    <row r="373" spans="1:11">
      <c r="A373" s="73">
        <v>8</v>
      </c>
      <c r="C373" s="10" t="s">
        <v>149</v>
      </c>
      <c r="E373" s="73">
        <v>8</v>
      </c>
      <c r="F373" s="70"/>
      <c r="G373" s="20"/>
      <c r="H373" s="149"/>
      <c r="I373" s="70"/>
      <c r="J373" s="20"/>
      <c r="K373" s="149"/>
    </row>
    <row r="374" spans="1:11" ht="13.5">
      <c r="A374" s="73">
        <v>9</v>
      </c>
      <c r="C374" s="137" t="s">
        <v>251</v>
      </c>
      <c r="E374" s="73">
        <v>9</v>
      </c>
      <c r="F374" s="70"/>
      <c r="G374" s="20"/>
      <c r="H374" s="149"/>
      <c r="I374" s="70"/>
      <c r="J374" s="20"/>
      <c r="K374" s="149"/>
    </row>
    <row r="375" spans="1:11">
      <c r="A375" s="73">
        <v>10</v>
      </c>
      <c r="C375" s="10"/>
      <c r="E375" s="73">
        <v>10</v>
      </c>
      <c r="F375" s="70"/>
      <c r="G375" s="20"/>
      <c r="H375" s="149"/>
      <c r="I375" s="70"/>
      <c r="J375" s="20"/>
      <c r="K375" s="149"/>
    </row>
    <row r="376" spans="1:11">
      <c r="A376" s="73">
        <v>11</v>
      </c>
      <c r="C376" s="10"/>
      <c r="E376" s="73">
        <v>11</v>
      </c>
      <c r="F376" s="70"/>
      <c r="G376" s="20"/>
      <c r="H376" s="149"/>
      <c r="I376" s="70"/>
      <c r="J376" s="20"/>
      <c r="K376" s="149"/>
    </row>
    <row r="377" spans="1:11">
      <c r="A377" s="73">
        <v>12</v>
      </c>
      <c r="C377" s="10"/>
      <c r="E377" s="73">
        <v>12</v>
      </c>
      <c r="F377" s="70"/>
      <c r="G377" s="20"/>
      <c r="H377" s="149"/>
      <c r="I377" s="70"/>
      <c r="J377" s="20"/>
      <c r="K377" s="149"/>
    </row>
    <row r="378" spans="1:11">
      <c r="A378" s="73">
        <v>13</v>
      </c>
      <c r="C378" s="10"/>
      <c r="E378" s="73">
        <v>13</v>
      </c>
      <c r="F378" s="70"/>
      <c r="G378" s="20"/>
      <c r="H378" s="149"/>
      <c r="I378" s="70"/>
      <c r="J378" s="20"/>
      <c r="K378" s="149"/>
    </row>
    <row r="379" spans="1:11">
      <c r="A379" s="73">
        <v>14</v>
      </c>
      <c r="C379" s="10"/>
      <c r="E379" s="73">
        <v>14</v>
      </c>
      <c r="F379" s="70"/>
      <c r="G379" s="20"/>
      <c r="H379" s="149"/>
      <c r="I379" s="70"/>
      <c r="J379" s="20"/>
      <c r="K379" s="149"/>
    </row>
    <row r="380" spans="1:11">
      <c r="A380" s="73">
        <v>15</v>
      </c>
      <c r="E380" s="73">
        <v>15</v>
      </c>
      <c r="F380" s="10"/>
      <c r="G380" s="103"/>
      <c r="H380" s="145"/>
      <c r="I380" s="103"/>
      <c r="J380" s="103"/>
      <c r="K380" s="145"/>
    </row>
    <row r="381" spans="1:11">
      <c r="A381" s="73"/>
      <c r="C381" s="10"/>
      <c r="E381" s="73"/>
      <c r="F381" s="10"/>
      <c r="G381" s="103"/>
      <c r="H381" s="145"/>
      <c r="I381" s="103"/>
      <c r="J381" s="103"/>
      <c r="K381" s="145"/>
    </row>
    <row r="382" spans="1:11">
      <c r="A382" s="73">
        <v>16</v>
      </c>
      <c r="C382" s="10" t="s">
        <v>150</v>
      </c>
      <c r="E382" s="73">
        <v>16</v>
      </c>
      <c r="F382" s="10"/>
      <c r="G382" s="103"/>
      <c r="H382" s="145">
        <v>21441</v>
      </c>
      <c r="I382" s="103"/>
      <c r="J382" s="103"/>
      <c r="K382" s="145"/>
    </row>
    <row r="383" spans="1:11">
      <c r="A383" s="73">
        <v>17</v>
      </c>
      <c r="C383" s="10" t="s">
        <v>151</v>
      </c>
      <c r="E383" s="73">
        <v>17</v>
      </c>
      <c r="F383" s="10"/>
      <c r="G383" s="103"/>
      <c r="H383" s="145"/>
      <c r="I383" s="103"/>
      <c r="J383" s="103"/>
      <c r="K383" s="145"/>
    </row>
    <row r="384" spans="1:11">
      <c r="A384" s="73">
        <v>18</v>
      </c>
      <c r="C384" s="10" t="s">
        <v>152</v>
      </c>
      <c r="E384" s="73">
        <v>18</v>
      </c>
      <c r="F384" s="10"/>
      <c r="G384" s="103"/>
      <c r="H384" s="145">
        <v>375911</v>
      </c>
      <c r="I384" s="103"/>
      <c r="J384" s="103"/>
      <c r="K384" s="145"/>
    </row>
    <row r="385" spans="1:11">
      <c r="A385" s="73">
        <v>19</v>
      </c>
      <c r="C385" s="10" t="s">
        <v>38</v>
      </c>
      <c r="E385" s="73">
        <v>19</v>
      </c>
      <c r="F385" s="10"/>
      <c r="G385" s="103"/>
      <c r="H385" s="145"/>
      <c r="I385" s="103"/>
      <c r="J385" s="103"/>
      <c r="K385" s="145"/>
    </row>
    <row r="386" spans="1:11">
      <c r="A386" s="137">
        <v>20</v>
      </c>
      <c r="C386" s="10"/>
      <c r="E386" s="137">
        <v>20</v>
      </c>
      <c r="F386" s="70"/>
      <c r="G386" s="20"/>
      <c r="H386" s="149"/>
      <c r="I386" s="70"/>
      <c r="J386" s="20"/>
      <c r="K386" s="149"/>
    </row>
    <row r="387" spans="1:11">
      <c r="A387" s="137">
        <v>21</v>
      </c>
      <c r="C387" s="10"/>
      <c r="E387" s="137">
        <v>21</v>
      </c>
      <c r="F387" s="70"/>
      <c r="G387" s="20"/>
      <c r="H387" s="149"/>
      <c r="I387" s="70"/>
      <c r="J387" s="20"/>
      <c r="K387" s="149"/>
    </row>
    <row r="388" spans="1:11">
      <c r="A388" s="137">
        <v>22</v>
      </c>
      <c r="C388" s="10"/>
      <c r="E388" s="137">
        <v>22</v>
      </c>
      <c r="F388" s="70"/>
      <c r="G388" s="20"/>
      <c r="H388" s="149"/>
      <c r="I388" s="70"/>
      <c r="J388" s="20"/>
      <c r="K388" s="149"/>
    </row>
    <row r="389" spans="1:11">
      <c r="A389" s="137">
        <v>23</v>
      </c>
      <c r="C389" s="10"/>
      <c r="E389" s="137">
        <v>23</v>
      </c>
      <c r="F389" s="70"/>
      <c r="G389" s="20"/>
      <c r="H389" s="149"/>
      <c r="I389" s="70"/>
      <c r="J389" s="20"/>
      <c r="K389" s="149"/>
    </row>
    <row r="390" spans="1:11">
      <c r="A390" s="137">
        <v>24</v>
      </c>
      <c r="C390" s="10"/>
      <c r="E390" s="137">
        <v>24</v>
      </c>
      <c r="F390" s="70"/>
      <c r="G390" s="20"/>
      <c r="H390" s="149"/>
      <c r="I390" s="70"/>
      <c r="J390" s="20"/>
      <c r="K390" s="149"/>
    </row>
    <row r="391" spans="1:11">
      <c r="A391" s="73"/>
      <c r="C391" s="10"/>
      <c r="E391" s="73"/>
      <c r="F391" s="70" t="s">
        <v>6</v>
      </c>
      <c r="G391" s="20" t="s">
        <v>6</v>
      </c>
      <c r="H391" s="21"/>
      <c r="I391" s="70"/>
      <c r="J391" s="20"/>
      <c r="K391" s="21"/>
    </row>
    <row r="392" spans="1:11">
      <c r="A392" s="73">
        <v>25</v>
      </c>
      <c r="C392" s="9" t="s">
        <v>153</v>
      </c>
      <c r="E392" s="73">
        <v>25</v>
      </c>
      <c r="G392" s="96"/>
      <c r="H392" s="100">
        <f>SUM(H366:H390)</f>
        <v>10915253</v>
      </c>
      <c r="I392" s="100"/>
      <c r="J392" s="96"/>
      <c r="K392" s="100">
        <f>SUM(K366:K390)</f>
        <v>9803048</v>
      </c>
    </row>
    <row r="393" spans="1:11">
      <c r="A393" s="73"/>
      <c r="C393" s="9"/>
      <c r="E393" s="73"/>
      <c r="F393" s="70" t="s">
        <v>6</v>
      </c>
      <c r="G393" s="20" t="s">
        <v>6</v>
      </c>
      <c r="H393" s="21"/>
      <c r="I393" s="70"/>
      <c r="J393" s="20"/>
      <c r="K393" s="21"/>
    </row>
    <row r="394" spans="1:11" ht="13.5">
      <c r="A394" s="73">
        <v>26</v>
      </c>
      <c r="C394" s="9" t="s">
        <v>245</v>
      </c>
      <c r="E394" s="73">
        <v>26</v>
      </c>
      <c r="G394" s="96"/>
      <c r="H394" s="96">
        <v>-363140</v>
      </c>
      <c r="I394" s="100"/>
      <c r="J394" s="96"/>
      <c r="K394" s="96">
        <v>0</v>
      </c>
    </row>
    <row r="395" spans="1:11">
      <c r="A395" s="73">
        <v>27</v>
      </c>
      <c r="E395" s="73">
        <v>27</v>
      </c>
      <c r="G395" s="96"/>
      <c r="H395" s="96"/>
      <c r="I395" s="100"/>
      <c r="J395" s="96"/>
      <c r="K395" s="96"/>
    </row>
    <row r="396" spans="1:11">
      <c r="A396" s="73">
        <v>28</v>
      </c>
      <c r="E396" s="73">
        <v>28</v>
      </c>
      <c r="G396" s="100"/>
      <c r="H396" s="100"/>
      <c r="I396" s="100"/>
      <c r="J396" s="100"/>
      <c r="K396" s="100"/>
    </row>
    <row r="397" spans="1:11">
      <c r="A397" s="73">
        <v>29</v>
      </c>
      <c r="C397" s="137" t="s">
        <v>38</v>
      </c>
      <c r="E397" s="73">
        <v>29</v>
      </c>
      <c r="G397" s="100"/>
      <c r="H397" s="100"/>
      <c r="I397" s="100"/>
      <c r="J397" s="100"/>
      <c r="K397" s="100"/>
    </row>
    <row r="398" spans="1:11">
      <c r="A398" s="73"/>
      <c r="C398" s="74"/>
      <c r="E398" s="73"/>
      <c r="F398" s="70" t="s">
        <v>6</v>
      </c>
      <c r="G398" s="20" t="s">
        <v>6</v>
      </c>
      <c r="H398" s="21"/>
      <c r="I398" s="70"/>
      <c r="J398" s="20"/>
      <c r="K398" s="21"/>
    </row>
    <row r="399" spans="1:11">
      <c r="A399" s="73">
        <v>30</v>
      </c>
      <c r="C399" s="74" t="s">
        <v>154</v>
      </c>
      <c r="E399" s="73">
        <v>30</v>
      </c>
      <c r="G399" s="96"/>
      <c r="H399" s="100">
        <f>SUM(H392:H397)</f>
        <v>10552113</v>
      </c>
      <c r="I399" s="100"/>
      <c r="J399" s="96"/>
      <c r="K399" s="100">
        <f>SUM(K392:K397)</f>
        <v>9803048</v>
      </c>
    </row>
    <row r="400" spans="1:11">
      <c r="A400" s="76"/>
      <c r="C400" s="9"/>
      <c r="E400" s="35"/>
      <c r="F400" s="70" t="s">
        <v>6</v>
      </c>
      <c r="G400" s="20" t="s">
        <v>6</v>
      </c>
      <c r="H400" s="21" t="s">
        <v>6</v>
      </c>
      <c r="I400" s="70" t="s">
        <v>6</v>
      </c>
      <c r="J400" s="20" t="s">
        <v>6</v>
      </c>
      <c r="K400" s="21" t="s">
        <v>6</v>
      </c>
    </row>
    <row r="401" spans="1:11" ht="13.5">
      <c r="C401" s="137" t="s">
        <v>254</v>
      </c>
      <c r="F401" s="70"/>
      <c r="G401" s="20"/>
      <c r="H401" s="40"/>
      <c r="I401" s="70"/>
      <c r="J401" s="20"/>
      <c r="K401" s="40"/>
    </row>
    <row r="402" spans="1:11" ht="13.5">
      <c r="C402" s="137" t="s">
        <v>253</v>
      </c>
      <c r="F402" s="70"/>
      <c r="G402" s="20"/>
      <c r="H402" s="40"/>
      <c r="I402" s="70"/>
      <c r="J402" s="20"/>
      <c r="K402" s="40"/>
    </row>
    <row r="403" spans="1:11" ht="13.5">
      <c r="C403" s="137" t="s">
        <v>242</v>
      </c>
      <c r="F403" s="70"/>
      <c r="G403" s="20"/>
      <c r="H403" s="40"/>
      <c r="I403" s="70"/>
      <c r="J403" s="20"/>
      <c r="K403" s="40"/>
    </row>
    <row r="404" spans="1:11">
      <c r="C404" s="137" t="s">
        <v>155</v>
      </c>
      <c r="F404" s="70"/>
      <c r="G404" s="20"/>
      <c r="H404" s="40"/>
      <c r="I404" s="70"/>
      <c r="J404" s="20"/>
      <c r="K404" s="40"/>
    </row>
    <row r="405" spans="1:11" ht="13.5">
      <c r="C405" s="137" t="s">
        <v>243</v>
      </c>
      <c r="F405" s="70"/>
      <c r="G405" s="20"/>
      <c r="H405" s="40"/>
      <c r="I405" s="70"/>
      <c r="J405" s="20"/>
      <c r="K405" s="40"/>
    </row>
    <row r="406" spans="1:11">
      <c r="C406" s="137" t="s">
        <v>156</v>
      </c>
      <c r="F406" s="70"/>
      <c r="G406" s="20"/>
      <c r="H406" s="40"/>
      <c r="I406" s="70"/>
      <c r="J406" s="20"/>
      <c r="K406" s="40"/>
    </row>
    <row r="407" spans="1:11" ht="13.5">
      <c r="C407" s="137" t="s">
        <v>244</v>
      </c>
      <c r="F407" s="70"/>
      <c r="G407" s="20"/>
      <c r="H407" s="40"/>
      <c r="I407" s="70"/>
      <c r="J407" s="20"/>
      <c r="K407" s="40"/>
    </row>
    <row r="408" spans="1:11">
      <c r="A408" s="76"/>
      <c r="C408" s="137" t="s">
        <v>240</v>
      </c>
      <c r="E408" s="35"/>
      <c r="F408" s="70"/>
      <c r="G408" s="20"/>
      <c r="H408" s="21"/>
      <c r="I408" s="70"/>
      <c r="J408" s="20"/>
      <c r="K408" s="21"/>
    </row>
    <row r="409" spans="1:11" ht="13.5" customHeight="1"/>
    <row r="410" spans="1:11">
      <c r="A410" s="16" t="str">
        <f>$A$83</f>
        <v>Institution No.:  GFC</v>
      </c>
      <c r="B410" s="36"/>
      <c r="C410" s="36"/>
      <c r="D410" s="36"/>
      <c r="E410" s="37"/>
      <c r="F410" s="36"/>
      <c r="G410" s="38"/>
      <c r="H410" s="39"/>
      <c r="I410" s="36"/>
      <c r="J410" s="38"/>
      <c r="K410" s="15" t="s">
        <v>262</v>
      </c>
    </row>
    <row r="411" spans="1:11">
      <c r="A411" s="36"/>
      <c r="B411" s="36"/>
      <c r="C411" s="36"/>
      <c r="D411" s="58" t="s">
        <v>266</v>
      </c>
      <c r="E411" s="37"/>
      <c r="F411" s="36"/>
      <c r="G411" s="38"/>
      <c r="H411" s="39"/>
      <c r="I411" s="36"/>
      <c r="J411" s="38"/>
      <c r="K411" s="39"/>
    </row>
    <row r="412" spans="1:11" s="36" customFormat="1">
      <c r="A412" s="16" t="str">
        <f>$A$42</f>
        <v xml:space="preserve">NAME: </v>
      </c>
      <c r="B412" s="137"/>
      <c r="C412" s="137" t="str">
        <f>$D$20</f>
        <v>University of Colorado</v>
      </c>
      <c r="D412" s="137"/>
      <c r="E412" s="137"/>
      <c r="F412" s="72"/>
      <c r="G412" s="66"/>
      <c r="H412" s="40"/>
      <c r="I412" s="137"/>
      <c r="J412" s="14"/>
      <c r="K412" s="18" t="str">
        <f>$K$3</f>
        <v>Date: October 09, 2017</v>
      </c>
    </row>
    <row r="413" spans="1:11" ht="12.75" customHeight="1">
      <c r="A413" s="19" t="s">
        <v>6</v>
      </c>
      <c r="B413" s="19" t="s">
        <v>6</v>
      </c>
      <c r="C413" s="19" t="s">
        <v>6</v>
      </c>
      <c r="D413" s="19" t="s">
        <v>6</v>
      </c>
      <c r="E413" s="19" t="s">
        <v>6</v>
      </c>
      <c r="F413" s="19" t="s">
        <v>6</v>
      </c>
      <c r="G413" s="20" t="s">
        <v>6</v>
      </c>
      <c r="H413" s="21" t="s">
        <v>6</v>
      </c>
      <c r="I413" s="19" t="s">
        <v>6</v>
      </c>
      <c r="J413" s="20" t="s">
        <v>6</v>
      </c>
      <c r="K413" s="21" t="s">
        <v>6</v>
      </c>
    </row>
    <row r="414" spans="1:11">
      <c r="A414" s="22" t="s">
        <v>7</v>
      </c>
      <c r="E414" s="22" t="s">
        <v>7</v>
      </c>
      <c r="G414" s="24"/>
      <c r="H414" s="25" t="s">
        <v>257</v>
      </c>
      <c r="I414" s="23"/>
      <c r="J414" s="24"/>
      <c r="K414" s="25" t="s">
        <v>261</v>
      </c>
    </row>
    <row r="415" spans="1:11">
      <c r="A415" s="22" t="s">
        <v>9</v>
      </c>
      <c r="C415" s="26" t="s">
        <v>51</v>
      </c>
      <c r="E415" s="22" t="s">
        <v>9</v>
      </c>
      <c r="G415" s="14"/>
      <c r="H415" s="25" t="s">
        <v>12</v>
      </c>
      <c r="J415" s="14"/>
      <c r="K415" s="25" t="s">
        <v>13</v>
      </c>
    </row>
    <row r="416" spans="1:11">
      <c r="A416" s="19" t="s">
        <v>6</v>
      </c>
      <c r="B416" s="19" t="s">
        <v>6</v>
      </c>
      <c r="C416" s="19" t="s">
        <v>6</v>
      </c>
      <c r="D416" s="19" t="s">
        <v>6</v>
      </c>
      <c r="E416" s="19" t="s">
        <v>6</v>
      </c>
      <c r="F416" s="19" t="s">
        <v>6</v>
      </c>
      <c r="G416" s="20" t="s">
        <v>6</v>
      </c>
      <c r="H416" s="21" t="s">
        <v>6</v>
      </c>
      <c r="I416" s="19" t="s">
        <v>6</v>
      </c>
      <c r="J416" s="20" t="s">
        <v>6</v>
      </c>
      <c r="K416" s="21" t="s">
        <v>6</v>
      </c>
    </row>
    <row r="417" spans="1:11">
      <c r="A417" s="73"/>
      <c r="C417" s="31" t="s">
        <v>265</v>
      </c>
      <c r="E417" s="73"/>
      <c r="G417" s="96"/>
      <c r="H417" s="96"/>
      <c r="I417" s="100"/>
      <c r="J417" s="96"/>
      <c r="K417" s="96"/>
    </row>
    <row r="418" spans="1:11">
      <c r="A418" s="73">
        <v>1</v>
      </c>
      <c r="C418" s="9" t="s">
        <v>263</v>
      </c>
      <c r="E418" s="73">
        <v>1</v>
      </c>
      <c r="G418" s="96"/>
      <c r="H418" s="148"/>
      <c r="I418" s="100"/>
      <c r="J418" s="96"/>
      <c r="K418" s="148"/>
    </row>
    <row r="419" spans="1:11">
      <c r="A419" s="73">
        <v>2</v>
      </c>
      <c r="C419" s="10"/>
      <c r="E419" s="73">
        <v>2</v>
      </c>
      <c r="F419" s="10"/>
      <c r="G419" s="103"/>
      <c r="H419" s="145"/>
      <c r="I419" s="103"/>
      <c r="J419" s="103"/>
      <c r="K419" s="145"/>
    </row>
    <row r="420" spans="1:11">
      <c r="A420" s="73">
        <v>3</v>
      </c>
      <c r="C420" s="10"/>
      <c r="E420" s="73">
        <v>3</v>
      </c>
      <c r="F420" s="10"/>
      <c r="G420" s="103"/>
      <c r="H420" s="145"/>
      <c r="I420" s="103"/>
      <c r="J420" s="103"/>
      <c r="K420" s="145"/>
    </row>
    <row r="421" spans="1:11">
      <c r="A421" s="73">
        <v>4</v>
      </c>
      <c r="C421" s="10"/>
      <c r="E421" s="73">
        <v>4</v>
      </c>
      <c r="F421" s="10"/>
      <c r="G421" s="103"/>
      <c r="H421" s="145"/>
      <c r="I421" s="103"/>
      <c r="J421" s="103"/>
      <c r="K421" s="145"/>
    </row>
    <row r="422" spans="1:11">
      <c r="A422" s="73">
        <v>5</v>
      </c>
      <c r="C422" s="10"/>
      <c r="E422" s="73">
        <v>5</v>
      </c>
      <c r="F422" s="10"/>
      <c r="G422" s="103"/>
      <c r="H422" s="145"/>
      <c r="I422" s="103"/>
      <c r="J422" s="103"/>
      <c r="K422" s="145"/>
    </row>
    <row r="423" spans="1:11">
      <c r="A423" s="73">
        <v>6</v>
      </c>
      <c r="C423" s="10"/>
      <c r="E423" s="73">
        <v>6</v>
      </c>
      <c r="F423" s="10"/>
      <c r="G423" s="103"/>
      <c r="H423" s="145"/>
      <c r="I423" s="103"/>
      <c r="J423" s="103"/>
      <c r="K423" s="145"/>
    </row>
    <row r="424" spans="1:11">
      <c r="A424" s="73">
        <v>7</v>
      </c>
      <c r="C424" s="10"/>
      <c r="E424" s="73">
        <v>7</v>
      </c>
      <c r="F424" s="10"/>
      <c r="G424" s="103"/>
      <c r="H424" s="145"/>
      <c r="I424" s="103"/>
      <c r="J424" s="103"/>
      <c r="K424" s="145"/>
    </row>
    <row r="425" spans="1:11">
      <c r="A425" s="73">
        <v>8</v>
      </c>
      <c r="C425" s="10"/>
      <c r="E425" s="73">
        <v>8</v>
      </c>
      <c r="F425" s="70"/>
      <c r="G425" s="20"/>
      <c r="H425" s="149"/>
      <c r="I425" s="70"/>
      <c r="J425" s="20"/>
      <c r="K425" s="149"/>
    </row>
    <row r="426" spans="1:11">
      <c r="A426" s="73">
        <v>9</v>
      </c>
      <c r="E426" s="73">
        <v>9</v>
      </c>
      <c r="F426" s="70"/>
      <c r="G426" s="20"/>
      <c r="H426" s="149"/>
      <c r="I426" s="70"/>
      <c r="J426" s="20"/>
      <c r="K426" s="149"/>
    </row>
    <row r="427" spans="1:11">
      <c r="A427" s="73">
        <v>10</v>
      </c>
      <c r="C427" s="10"/>
      <c r="E427" s="73">
        <v>10</v>
      </c>
      <c r="F427" s="70"/>
      <c r="G427" s="20"/>
      <c r="H427" s="149"/>
      <c r="I427" s="70"/>
      <c r="J427" s="20"/>
      <c r="K427" s="149"/>
    </row>
    <row r="428" spans="1:11">
      <c r="A428" s="73">
        <v>11</v>
      </c>
      <c r="C428" s="10"/>
      <c r="E428" s="73">
        <v>11</v>
      </c>
      <c r="F428" s="70"/>
      <c r="G428" s="20"/>
      <c r="H428" s="149"/>
      <c r="I428" s="70"/>
      <c r="J428" s="20"/>
      <c r="K428" s="149"/>
    </row>
    <row r="429" spans="1:11">
      <c r="A429" s="73">
        <v>12</v>
      </c>
      <c r="C429" s="10"/>
      <c r="E429" s="73">
        <v>12</v>
      </c>
      <c r="F429" s="70"/>
      <c r="G429" s="20"/>
      <c r="H429" s="149"/>
      <c r="I429" s="70"/>
      <c r="J429" s="20"/>
      <c r="K429" s="149"/>
    </row>
    <row r="430" spans="1:11">
      <c r="A430" s="73">
        <v>13</v>
      </c>
      <c r="C430" s="10"/>
      <c r="E430" s="73">
        <v>13</v>
      </c>
      <c r="F430" s="70"/>
      <c r="G430" s="20"/>
      <c r="H430" s="149"/>
      <c r="I430" s="70"/>
      <c r="J430" s="20"/>
      <c r="K430" s="149"/>
    </row>
    <row r="431" spans="1:11">
      <c r="A431" s="73">
        <v>14</v>
      </c>
      <c r="C431" s="10"/>
      <c r="E431" s="73">
        <v>14</v>
      </c>
      <c r="F431" s="70"/>
      <c r="G431" s="20"/>
      <c r="H431" s="149"/>
      <c r="I431" s="70"/>
      <c r="J431" s="20"/>
      <c r="K431" s="149"/>
    </row>
    <row r="432" spans="1:11">
      <c r="A432" s="73">
        <v>15</v>
      </c>
      <c r="E432" s="73">
        <v>15</v>
      </c>
      <c r="F432" s="10"/>
      <c r="G432" s="103"/>
      <c r="H432" s="145"/>
      <c r="I432" s="103"/>
      <c r="J432" s="103"/>
      <c r="K432" s="145"/>
    </row>
    <row r="433" spans="1:11">
      <c r="A433" s="73"/>
      <c r="C433" s="10"/>
      <c r="E433" s="73"/>
      <c r="F433" s="10"/>
      <c r="G433" s="103"/>
      <c r="H433" s="145"/>
      <c r="I433" s="103"/>
      <c r="J433" s="103"/>
      <c r="K433" s="145"/>
    </row>
    <row r="434" spans="1:11">
      <c r="A434" s="73">
        <v>16</v>
      </c>
      <c r="C434" s="10"/>
      <c r="E434" s="73">
        <v>16</v>
      </c>
      <c r="F434" s="10"/>
      <c r="G434" s="103"/>
      <c r="H434" s="145"/>
      <c r="I434" s="103"/>
      <c r="J434" s="103"/>
      <c r="K434" s="145"/>
    </row>
    <row r="435" spans="1:11">
      <c r="A435" s="73">
        <v>17</v>
      </c>
      <c r="C435" s="10"/>
      <c r="E435" s="73">
        <v>17</v>
      </c>
      <c r="F435" s="10"/>
      <c r="G435" s="103"/>
      <c r="H435" s="145"/>
      <c r="I435" s="103"/>
      <c r="J435" s="103"/>
      <c r="K435" s="145"/>
    </row>
    <row r="436" spans="1:11">
      <c r="A436" s="73">
        <v>18</v>
      </c>
      <c r="C436" s="10"/>
      <c r="E436" s="73">
        <v>18</v>
      </c>
      <c r="F436" s="10"/>
      <c r="G436" s="103"/>
      <c r="H436" s="145"/>
      <c r="I436" s="103"/>
      <c r="J436" s="103"/>
      <c r="K436" s="145"/>
    </row>
    <row r="437" spans="1:11">
      <c r="A437" s="73">
        <v>19</v>
      </c>
      <c r="C437" s="10" t="s">
        <v>38</v>
      </c>
      <c r="E437" s="73">
        <v>19</v>
      </c>
      <c r="F437" s="10"/>
      <c r="G437" s="103"/>
      <c r="H437" s="145"/>
      <c r="I437" s="103"/>
      <c r="J437" s="103"/>
      <c r="K437" s="145"/>
    </row>
    <row r="438" spans="1:11">
      <c r="A438" s="137">
        <v>20</v>
      </c>
      <c r="C438" s="10"/>
      <c r="E438" s="137">
        <v>20</v>
      </c>
      <c r="F438" s="70"/>
      <c r="G438" s="20"/>
      <c r="H438" s="149"/>
      <c r="I438" s="70"/>
      <c r="J438" s="20"/>
      <c r="K438" s="149"/>
    </row>
    <row r="439" spans="1:11">
      <c r="A439" s="137">
        <v>21</v>
      </c>
      <c r="C439" s="10"/>
      <c r="E439" s="137">
        <v>21</v>
      </c>
      <c r="F439" s="70"/>
      <c r="G439" s="20"/>
      <c r="H439" s="149"/>
      <c r="I439" s="70"/>
      <c r="J439" s="20"/>
      <c r="K439" s="149"/>
    </row>
    <row r="440" spans="1:11">
      <c r="A440" s="137">
        <v>22</v>
      </c>
      <c r="C440" s="10"/>
      <c r="E440" s="137">
        <v>22</v>
      </c>
      <c r="F440" s="70"/>
      <c r="G440" s="20"/>
      <c r="H440" s="149"/>
      <c r="I440" s="70"/>
      <c r="J440" s="20"/>
      <c r="K440" s="149"/>
    </row>
    <row r="441" spans="1:11">
      <c r="A441" s="137">
        <v>23</v>
      </c>
      <c r="C441" s="10"/>
      <c r="E441" s="137">
        <v>23</v>
      </c>
      <c r="F441" s="70"/>
      <c r="G441" s="20"/>
      <c r="H441" s="149"/>
      <c r="I441" s="70"/>
      <c r="J441" s="20"/>
      <c r="K441" s="149"/>
    </row>
    <row r="442" spans="1:11">
      <c r="A442" s="137">
        <v>24</v>
      </c>
      <c r="C442" s="10"/>
      <c r="E442" s="137">
        <v>24</v>
      </c>
      <c r="F442" s="70"/>
      <c r="G442" s="20"/>
      <c r="H442" s="149"/>
      <c r="I442" s="70"/>
      <c r="J442" s="20"/>
      <c r="K442" s="149"/>
    </row>
    <row r="443" spans="1:11">
      <c r="A443" s="73"/>
      <c r="C443" s="10"/>
      <c r="E443" s="73"/>
      <c r="F443" s="70" t="s">
        <v>6</v>
      </c>
      <c r="G443" s="20" t="s">
        <v>6</v>
      </c>
      <c r="H443" s="21"/>
      <c r="I443" s="70"/>
      <c r="J443" s="20"/>
      <c r="K443" s="21"/>
    </row>
    <row r="444" spans="1:11">
      <c r="A444" s="73">
        <v>25</v>
      </c>
      <c r="C444" s="9"/>
      <c r="E444" s="73">
        <v>25</v>
      </c>
      <c r="G444" s="96"/>
      <c r="H444" s="100">
        <f>SUM(H418:H442)</f>
        <v>0</v>
      </c>
      <c r="I444" s="100"/>
      <c r="J444" s="96"/>
      <c r="K444" s="100">
        <f>SUM(K418:K442)</f>
        <v>0</v>
      </c>
    </row>
    <row r="445" spans="1:11">
      <c r="A445" s="73"/>
      <c r="C445" s="9"/>
      <c r="E445" s="73"/>
      <c r="F445" s="70" t="s">
        <v>6</v>
      </c>
      <c r="G445" s="20" t="s">
        <v>6</v>
      </c>
      <c r="H445" s="21"/>
      <c r="I445" s="70"/>
      <c r="J445" s="20"/>
      <c r="K445" s="21"/>
    </row>
    <row r="446" spans="1:11">
      <c r="A446" s="73">
        <v>26</v>
      </c>
      <c r="C446" s="9"/>
      <c r="E446" s="73">
        <v>26</v>
      </c>
      <c r="G446" s="96"/>
      <c r="H446" s="96">
        <v>0</v>
      </c>
      <c r="I446" s="100"/>
      <c r="J446" s="96"/>
      <c r="K446" s="96">
        <v>0</v>
      </c>
    </row>
    <row r="447" spans="1:11">
      <c r="A447" s="73">
        <v>27</v>
      </c>
      <c r="E447" s="73">
        <v>27</v>
      </c>
      <c r="G447" s="96"/>
      <c r="H447" s="96"/>
      <c r="I447" s="100"/>
      <c r="J447" s="96"/>
      <c r="K447" s="96"/>
    </row>
    <row r="448" spans="1:11">
      <c r="A448" s="73">
        <v>28</v>
      </c>
      <c r="E448" s="73">
        <v>28</v>
      </c>
      <c r="G448" s="100"/>
      <c r="H448" s="100"/>
      <c r="I448" s="100"/>
      <c r="J448" s="100"/>
      <c r="K448" s="100"/>
    </row>
    <row r="449" spans="1:11">
      <c r="A449" s="73">
        <v>29</v>
      </c>
      <c r="C449" s="137" t="s">
        <v>38</v>
      </c>
      <c r="E449" s="73">
        <v>29</v>
      </c>
      <c r="G449" s="100"/>
      <c r="H449" s="100"/>
      <c r="I449" s="100"/>
      <c r="J449" s="100"/>
      <c r="K449" s="100"/>
    </row>
    <row r="450" spans="1:11" s="36" customFormat="1">
      <c r="A450" s="73"/>
      <c r="B450" s="137"/>
      <c r="C450" s="74"/>
      <c r="D450" s="137"/>
      <c r="E450" s="73"/>
      <c r="F450" s="70" t="s">
        <v>6</v>
      </c>
      <c r="G450" s="20" t="s">
        <v>6</v>
      </c>
      <c r="H450" s="21"/>
      <c r="I450" s="70"/>
      <c r="J450" s="20"/>
      <c r="K450" s="21"/>
    </row>
    <row r="451" spans="1:11" s="36" customFormat="1">
      <c r="A451" s="73">
        <v>30</v>
      </c>
      <c r="B451" s="137"/>
      <c r="C451" s="74" t="s">
        <v>267</v>
      </c>
      <c r="D451" s="137"/>
      <c r="E451" s="73">
        <v>30</v>
      </c>
      <c r="F451" s="137"/>
      <c r="G451" s="96"/>
      <c r="H451" s="100"/>
      <c r="I451" s="100"/>
      <c r="J451" s="96"/>
      <c r="K451" s="100">
        <f>SUM(K444:K449)</f>
        <v>0</v>
      </c>
    </row>
    <row r="452" spans="1:11">
      <c r="A452" s="76"/>
      <c r="C452" s="9"/>
      <c r="E452" s="35"/>
      <c r="F452" s="70" t="s">
        <v>6</v>
      </c>
      <c r="G452" s="20" t="s">
        <v>6</v>
      </c>
      <c r="H452" s="21" t="s">
        <v>6</v>
      </c>
      <c r="I452" s="70" t="s">
        <v>6</v>
      </c>
      <c r="J452" s="20" t="s">
        <v>6</v>
      </c>
      <c r="K452" s="21" t="s">
        <v>6</v>
      </c>
    </row>
    <row r="453" spans="1:11">
      <c r="F453" s="70"/>
      <c r="G453" s="20"/>
      <c r="H453" s="40"/>
      <c r="I453" s="70"/>
      <c r="J453" s="20"/>
      <c r="K453" s="40"/>
    </row>
    <row r="454" spans="1:11">
      <c r="F454" s="70"/>
      <c r="G454" s="20"/>
      <c r="H454" s="40"/>
      <c r="I454" s="70"/>
      <c r="J454" s="20"/>
      <c r="K454" s="40"/>
    </row>
    <row r="455" spans="1:11">
      <c r="C455" s="137" t="s">
        <v>38</v>
      </c>
      <c r="F455" s="70"/>
      <c r="G455" s="20"/>
      <c r="H455" s="40"/>
      <c r="I455" s="70"/>
      <c r="J455" s="20"/>
      <c r="K455" s="40"/>
    </row>
    <row r="456" spans="1:11">
      <c r="F456" s="70"/>
      <c r="G456" s="20"/>
      <c r="H456" s="40"/>
      <c r="I456" s="70"/>
      <c r="J456" s="20"/>
      <c r="K456" s="40"/>
    </row>
    <row r="457" spans="1:11">
      <c r="C457" s="137" t="s">
        <v>38</v>
      </c>
      <c r="F457" s="70"/>
      <c r="G457" s="20"/>
      <c r="H457" s="40"/>
      <c r="I457" s="70"/>
      <c r="J457" s="20"/>
      <c r="K457" s="40"/>
    </row>
    <row r="458" spans="1:11">
      <c r="F458" s="70"/>
      <c r="G458" s="20"/>
      <c r="H458" s="40"/>
      <c r="I458" s="70"/>
      <c r="J458" s="20"/>
      <c r="K458" s="40"/>
    </row>
    <row r="459" spans="1:11">
      <c r="F459" s="70"/>
      <c r="G459" s="20"/>
      <c r="H459" s="40"/>
      <c r="I459" s="70"/>
      <c r="J459" s="20"/>
      <c r="K459" s="40"/>
    </row>
    <row r="460" spans="1:11">
      <c r="A460" s="76"/>
      <c r="E460" s="35"/>
      <c r="F460" s="70"/>
      <c r="G460" s="20"/>
      <c r="H460" s="21"/>
      <c r="I460" s="70"/>
      <c r="J460" s="20"/>
      <c r="K460" s="21"/>
    </row>
    <row r="463" spans="1:11">
      <c r="A463" s="16" t="str">
        <f>$A$83</f>
        <v>Institution No.:  GFC</v>
      </c>
      <c r="B463" s="36"/>
      <c r="C463" s="36"/>
      <c r="D463" s="36"/>
      <c r="E463" s="37"/>
      <c r="F463" s="36"/>
      <c r="G463" s="38"/>
      <c r="H463" s="39"/>
      <c r="I463" s="36"/>
      <c r="J463" s="38"/>
      <c r="K463" s="15" t="s">
        <v>157</v>
      </c>
    </row>
    <row r="464" spans="1:11">
      <c r="A464" s="222" t="s">
        <v>158</v>
      </c>
      <c r="B464" s="222"/>
      <c r="C464" s="222"/>
      <c r="D464" s="222"/>
      <c r="E464" s="222"/>
      <c r="F464" s="222"/>
      <c r="G464" s="222"/>
      <c r="H464" s="222"/>
      <c r="I464" s="222"/>
      <c r="J464" s="222"/>
      <c r="K464" s="222"/>
    </row>
    <row r="465" spans="1:11">
      <c r="A465" s="16" t="str">
        <f>$A$42</f>
        <v xml:space="preserve">NAME: </v>
      </c>
      <c r="C465" s="137" t="str">
        <f>$D$20</f>
        <v>University of Colorado</v>
      </c>
      <c r="H465" s="40"/>
      <c r="J465" s="14"/>
      <c r="K465" s="18" t="str">
        <f>$K$3</f>
        <v>Date: October 09, 2017</v>
      </c>
    </row>
    <row r="466" spans="1:11">
      <c r="A466" s="19" t="s">
        <v>6</v>
      </c>
      <c r="B466" s="19" t="s">
        <v>6</v>
      </c>
      <c r="C466" s="19" t="s">
        <v>6</v>
      </c>
      <c r="D466" s="19" t="s">
        <v>6</v>
      </c>
      <c r="E466" s="19" t="s">
        <v>6</v>
      </c>
      <c r="F466" s="19" t="s">
        <v>6</v>
      </c>
      <c r="G466" s="20" t="s">
        <v>6</v>
      </c>
      <c r="H466" s="21" t="s">
        <v>6</v>
      </c>
      <c r="I466" s="19" t="s">
        <v>6</v>
      </c>
      <c r="J466" s="20" t="s">
        <v>6</v>
      </c>
      <c r="K466" s="21" t="s">
        <v>6</v>
      </c>
    </row>
    <row r="467" spans="1:11">
      <c r="A467" s="22" t="s">
        <v>7</v>
      </c>
      <c r="E467" s="22" t="s">
        <v>7</v>
      </c>
      <c r="F467" s="23"/>
      <c r="G467" s="24"/>
      <c r="H467" s="25" t="str">
        <f>H362</f>
        <v>2016-17</v>
      </c>
      <c r="I467" s="23"/>
      <c r="J467" s="24"/>
      <c r="K467" s="25" t="str">
        <f>K362</f>
        <v>2017-18</v>
      </c>
    </row>
    <row r="468" spans="1:11">
      <c r="A468" s="22" t="s">
        <v>9</v>
      </c>
      <c r="C468" s="26" t="s">
        <v>51</v>
      </c>
      <c r="E468" s="22" t="s">
        <v>9</v>
      </c>
      <c r="F468" s="23"/>
      <c r="G468" s="24"/>
      <c r="H468" s="25" t="s">
        <v>12</v>
      </c>
      <c r="I468" s="23"/>
      <c r="J468" s="24"/>
      <c r="K468" s="25" t="s">
        <v>13</v>
      </c>
    </row>
    <row r="469" spans="1:11">
      <c r="A469" s="19" t="s">
        <v>6</v>
      </c>
      <c r="B469" s="19" t="s">
        <v>6</v>
      </c>
      <c r="C469" s="19" t="s">
        <v>6</v>
      </c>
      <c r="D469" s="19" t="s">
        <v>6</v>
      </c>
      <c r="E469" s="19" t="s">
        <v>6</v>
      </c>
      <c r="F469" s="19" t="s">
        <v>6</v>
      </c>
      <c r="G469" s="20" t="s">
        <v>6</v>
      </c>
      <c r="H469" s="21" t="s">
        <v>6</v>
      </c>
      <c r="I469" s="19" t="s">
        <v>6</v>
      </c>
      <c r="J469" s="20" t="s">
        <v>6</v>
      </c>
      <c r="K469" s="21" t="s">
        <v>6</v>
      </c>
    </row>
    <row r="470" spans="1:11">
      <c r="A470" s="78">
        <v>1</v>
      </c>
      <c r="C470" s="9" t="s">
        <v>159</v>
      </c>
      <c r="E470" s="78">
        <v>1</v>
      </c>
      <c r="F470" s="10"/>
      <c r="G470" s="11"/>
      <c r="H470" s="150"/>
      <c r="I470" s="10"/>
      <c r="J470" s="11"/>
      <c r="K470" s="152"/>
    </row>
    <row r="471" spans="1:11">
      <c r="A471" s="78">
        <f t="shared" ref="A471:A493" si="1">(A470+1)</f>
        <v>2</v>
      </c>
      <c r="C471" s="9" t="s">
        <v>160</v>
      </c>
      <c r="E471" s="78">
        <f t="shared" ref="E471:E493" si="2">(E470+1)</f>
        <v>2</v>
      </c>
      <c r="F471" s="10"/>
      <c r="G471" s="106"/>
      <c r="H471" s="151"/>
      <c r="I471" s="106"/>
      <c r="J471" s="106"/>
      <c r="K471" s="151"/>
    </row>
    <row r="472" spans="1:11">
      <c r="A472" s="78">
        <f t="shared" si="1"/>
        <v>3</v>
      </c>
      <c r="C472" s="9"/>
      <c r="E472" s="78">
        <f t="shared" si="2"/>
        <v>3</v>
      </c>
      <c r="F472" s="10"/>
      <c r="G472" s="106"/>
      <c r="H472" s="151"/>
      <c r="I472" s="106"/>
      <c r="J472" s="106"/>
      <c r="K472" s="151"/>
    </row>
    <row r="473" spans="1:11">
      <c r="A473" s="78">
        <f t="shared" si="1"/>
        <v>4</v>
      </c>
      <c r="C473" s="9"/>
      <c r="E473" s="78">
        <f t="shared" si="2"/>
        <v>4</v>
      </c>
      <c r="F473" s="10"/>
      <c r="G473" s="106"/>
      <c r="H473" s="151"/>
      <c r="I473" s="106"/>
      <c r="J473" s="106"/>
      <c r="K473" s="151"/>
    </row>
    <row r="474" spans="1:11">
      <c r="A474" s="78">
        <f>(A473+1)</f>
        <v>5</v>
      </c>
      <c r="C474" s="10"/>
      <c r="E474" s="78">
        <f>(E473+1)</f>
        <v>5</v>
      </c>
      <c r="F474" s="10"/>
      <c r="G474" s="106"/>
      <c r="H474" s="151"/>
      <c r="I474" s="106"/>
      <c r="J474" s="106"/>
      <c r="K474" s="151"/>
    </row>
    <row r="475" spans="1:11">
      <c r="A475" s="78">
        <f t="shared" si="1"/>
        <v>6</v>
      </c>
      <c r="C475" s="10"/>
      <c r="E475" s="78">
        <f t="shared" si="2"/>
        <v>6</v>
      </c>
      <c r="F475" s="10"/>
      <c r="G475" s="106"/>
      <c r="H475" s="151"/>
      <c r="I475" s="106"/>
      <c r="J475" s="106"/>
      <c r="K475" s="151"/>
    </row>
    <row r="476" spans="1:11" ht="12" customHeight="1">
      <c r="A476" s="78">
        <f>(A475+1)</f>
        <v>7</v>
      </c>
      <c r="C476" s="9"/>
      <c r="E476" s="78">
        <f>(E475+1)</f>
        <v>7</v>
      </c>
      <c r="F476" s="10"/>
      <c r="G476" s="106"/>
      <c r="H476" s="151"/>
      <c r="I476" s="106"/>
      <c r="J476" s="106"/>
      <c r="K476" s="151"/>
    </row>
    <row r="477" spans="1:11" s="82" customFormat="1" ht="12" customHeight="1">
      <c r="A477" s="78">
        <f>(A476+1)</f>
        <v>8</v>
      </c>
      <c r="B477" s="137"/>
      <c r="C477" s="10"/>
      <c r="D477" s="137"/>
      <c r="E477" s="78">
        <f>(E476+1)</f>
        <v>8</v>
      </c>
      <c r="F477" s="10"/>
      <c r="G477" s="106"/>
      <c r="H477" s="151"/>
      <c r="I477" s="106"/>
      <c r="J477" s="106"/>
      <c r="K477" s="151"/>
    </row>
    <row r="478" spans="1:11">
      <c r="A478" s="78">
        <f t="shared" si="1"/>
        <v>9</v>
      </c>
      <c r="C478" s="10"/>
      <c r="E478" s="78">
        <f t="shared" si="2"/>
        <v>9</v>
      </c>
      <c r="F478" s="10"/>
      <c r="G478" s="106"/>
      <c r="H478" s="151"/>
      <c r="I478" s="106"/>
      <c r="J478" s="106"/>
      <c r="K478" s="151"/>
    </row>
    <row r="479" spans="1:11">
      <c r="A479" s="78">
        <f t="shared" si="1"/>
        <v>10</v>
      </c>
      <c r="E479" s="78">
        <f t="shared" si="2"/>
        <v>10</v>
      </c>
      <c r="F479" s="10"/>
      <c r="G479" s="106"/>
      <c r="H479" s="151"/>
      <c r="I479" s="106"/>
      <c r="J479" s="106"/>
      <c r="K479" s="151"/>
    </row>
    <row r="480" spans="1:11">
      <c r="A480" s="78">
        <f t="shared" si="1"/>
        <v>11</v>
      </c>
      <c r="E480" s="78">
        <f t="shared" si="2"/>
        <v>11</v>
      </c>
      <c r="F480" s="10"/>
      <c r="G480" s="106"/>
      <c r="H480" s="151"/>
      <c r="I480" s="106"/>
      <c r="J480" s="106"/>
      <c r="K480" s="151"/>
    </row>
    <row r="481" spans="1:11">
      <c r="A481" s="78">
        <f t="shared" si="1"/>
        <v>12</v>
      </c>
      <c r="E481" s="78">
        <f t="shared" si="2"/>
        <v>12</v>
      </c>
      <c r="F481" s="10"/>
      <c r="G481" s="106"/>
      <c r="H481" s="151"/>
      <c r="I481" s="106"/>
      <c r="J481" s="106"/>
      <c r="K481" s="151"/>
    </row>
    <row r="482" spans="1:11">
      <c r="A482" s="78">
        <f t="shared" si="1"/>
        <v>13</v>
      </c>
      <c r="C482" s="10"/>
      <c r="E482" s="78">
        <f t="shared" si="2"/>
        <v>13</v>
      </c>
      <c r="F482" s="10"/>
      <c r="G482" s="106"/>
      <c r="H482" s="151"/>
      <c r="I482" s="106"/>
      <c r="J482" s="106"/>
      <c r="K482" s="151"/>
    </row>
    <row r="483" spans="1:11">
      <c r="A483" s="78">
        <f t="shared" si="1"/>
        <v>14</v>
      </c>
      <c r="C483" s="10" t="s">
        <v>161</v>
      </c>
      <c r="E483" s="78">
        <f t="shared" si="2"/>
        <v>14</v>
      </c>
      <c r="F483" s="10"/>
      <c r="G483" s="106"/>
      <c r="H483" s="151"/>
      <c r="I483" s="106"/>
      <c r="J483" s="106"/>
      <c r="K483" s="151"/>
    </row>
    <row r="484" spans="1:11">
      <c r="A484" s="78">
        <f t="shared" si="1"/>
        <v>15</v>
      </c>
      <c r="C484" s="10"/>
      <c r="E484" s="78">
        <f t="shared" si="2"/>
        <v>15</v>
      </c>
      <c r="F484" s="10"/>
      <c r="G484" s="106"/>
      <c r="H484" s="151"/>
      <c r="I484" s="106"/>
      <c r="J484" s="106"/>
      <c r="K484" s="151"/>
    </row>
    <row r="485" spans="1:11" ht="20.25" customHeight="1">
      <c r="A485" s="78">
        <f t="shared" si="1"/>
        <v>16</v>
      </c>
      <c r="C485" s="10"/>
      <c r="E485" s="78">
        <f t="shared" si="2"/>
        <v>16</v>
      </c>
      <c r="F485" s="10"/>
      <c r="G485" s="106"/>
      <c r="H485" s="151"/>
      <c r="I485" s="106"/>
      <c r="J485" s="106"/>
      <c r="K485" s="151"/>
    </row>
    <row r="486" spans="1:11">
      <c r="A486" s="78">
        <f t="shared" si="1"/>
        <v>17</v>
      </c>
      <c r="C486" s="10"/>
      <c r="E486" s="78">
        <f t="shared" si="2"/>
        <v>17</v>
      </c>
      <c r="F486" s="10"/>
      <c r="G486" s="106"/>
      <c r="H486" s="151"/>
      <c r="I486" s="106"/>
      <c r="J486" s="106"/>
      <c r="K486" s="151"/>
    </row>
    <row r="487" spans="1:11">
      <c r="A487" s="78">
        <f t="shared" si="1"/>
        <v>18</v>
      </c>
      <c r="C487" s="10"/>
      <c r="E487" s="78">
        <f t="shared" si="2"/>
        <v>18</v>
      </c>
      <c r="F487" s="10"/>
      <c r="G487" s="106"/>
      <c r="H487" s="151"/>
      <c r="I487" s="106"/>
      <c r="J487" s="106"/>
      <c r="K487" s="151"/>
    </row>
    <row r="488" spans="1:11">
      <c r="A488" s="78">
        <f t="shared" si="1"/>
        <v>19</v>
      </c>
      <c r="C488" s="10"/>
      <c r="E488" s="78">
        <f t="shared" si="2"/>
        <v>19</v>
      </c>
      <c r="F488" s="10"/>
      <c r="G488" s="106"/>
      <c r="H488" s="151"/>
      <c r="I488" s="106"/>
      <c r="J488" s="106"/>
      <c r="K488" s="151"/>
    </row>
    <row r="489" spans="1:11" s="36" customFormat="1">
      <c r="A489" s="78">
        <f t="shared" si="1"/>
        <v>20</v>
      </c>
      <c r="B489" s="137"/>
      <c r="C489" s="10"/>
      <c r="D489" s="137"/>
      <c r="E489" s="78">
        <f t="shared" si="2"/>
        <v>20</v>
      </c>
      <c r="F489" s="10"/>
      <c r="G489" s="106"/>
      <c r="H489" s="151"/>
      <c r="I489" s="106"/>
      <c r="J489" s="106"/>
      <c r="K489" s="151"/>
    </row>
    <row r="490" spans="1:11" s="36" customFormat="1">
      <c r="A490" s="78">
        <f t="shared" si="1"/>
        <v>21</v>
      </c>
      <c r="B490" s="137"/>
      <c r="C490" s="10"/>
      <c r="D490" s="137"/>
      <c r="E490" s="78">
        <f t="shared" si="2"/>
        <v>21</v>
      </c>
      <c r="F490" s="10"/>
      <c r="G490" s="106"/>
      <c r="H490" s="151"/>
      <c r="I490" s="106"/>
      <c r="J490" s="106"/>
      <c r="K490" s="151"/>
    </row>
    <row r="491" spans="1:11">
      <c r="A491" s="78">
        <f t="shared" si="1"/>
        <v>22</v>
      </c>
      <c r="C491" s="10"/>
      <c r="E491" s="78">
        <f t="shared" si="2"/>
        <v>22</v>
      </c>
      <c r="F491" s="10"/>
      <c r="G491" s="106"/>
      <c r="H491" s="151"/>
      <c r="I491" s="106"/>
      <c r="J491" s="106"/>
      <c r="K491" s="151"/>
    </row>
    <row r="492" spans="1:11">
      <c r="A492" s="78">
        <f t="shared" si="1"/>
        <v>23</v>
      </c>
      <c r="C492" s="10"/>
      <c r="E492" s="78">
        <f t="shared" si="2"/>
        <v>23</v>
      </c>
      <c r="F492" s="10"/>
      <c r="G492" s="106"/>
      <c r="H492" s="151"/>
      <c r="I492" s="106"/>
      <c r="J492" s="106"/>
      <c r="K492" s="151"/>
    </row>
    <row r="493" spans="1:11">
      <c r="A493" s="78">
        <f t="shared" si="1"/>
        <v>24</v>
      </c>
      <c r="C493" s="10"/>
      <c r="E493" s="78">
        <f t="shared" si="2"/>
        <v>24</v>
      </c>
      <c r="F493" s="10"/>
      <c r="G493" s="106"/>
      <c r="H493" s="151"/>
      <c r="I493" s="106"/>
      <c r="J493" s="106"/>
      <c r="K493" s="151"/>
    </row>
    <row r="494" spans="1:11">
      <c r="A494" s="79"/>
      <c r="E494" s="79"/>
      <c r="F494" s="70" t="s">
        <v>6</v>
      </c>
      <c r="G494" s="20" t="s">
        <v>6</v>
      </c>
      <c r="H494" s="21"/>
      <c r="I494" s="70"/>
      <c r="J494" s="20"/>
      <c r="K494" s="21"/>
    </row>
    <row r="495" spans="1:11">
      <c r="A495" s="78">
        <f>(A493+1)</f>
        <v>25</v>
      </c>
      <c r="C495" s="9" t="s">
        <v>162</v>
      </c>
      <c r="E495" s="78">
        <f>(E493+1)</f>
        <v>25</v>
      </c>
      <c r="G495" s="107"/>
      <c r="H495" s="108">
        <f>SUM(H470:H493)</f>
        <v>0</v>
      </c>
      <c r="I495" s="108"/>
      <c r="J495" s="107"/>
      <c r="K495" s="108">
        <f>SUM(K470:K493)</f>
        <v>0</v>
      </c>
    </row>
    <row r="496" spans="1:11">
      <c r="A496" s="78"/>
      <c r="C496" s="9"/>
      <c r="E496" s="78"/>
      <c r="F496" s="70" t="s">
        <v>6</v>
      </c>
      <c r="G496" s="20" t="s">
        <v>6</v>
      </c>
      <c r="H496" s="21"/>
      <c r="I496" s="70"/>
      <c r="J496" s="20"/>
      <c r="K496" s="21"/>
    </row>
    <row r="497" spans="1:11">
      <c r="E497" s="35"/>
    </row>
    <row r="498" spans="1:11">
      <c r="E498" s="35"/>
    </row>
    <row r="500" spans="1:11">
      <c r="E500" s="35"/>
      <c r="G500" s="14"/>
      <c r="H500" s="40"/>
      <c r="J500" s="14"/>
      <c r="K500" s="40"/>
    </row>
    <row r="501" spans="1:11">
      <c r="A501" s="16" t="str">
        <f>$A$83</f>
        <v>Institution No.:  GFC</v>
      </c>
      <c r="B501" s="36"/>
      <c r="C501" s="36"/>
      <c r="D501" s="36"/>
      <c r="E501" s="37"/>
      <c r="F501" s="36"/>
      <c r="G501" s="38"/>
      <c r="H501" s="39"/>
      <c r="I501" s="36"/>
      <c r="J501" s="38"/>
      <c r="K501" s="15" t="s">
        <v>163</v>
      </c>
    </row>
    <row r="502" spans="1:11">
      <c r="A502" s="229" t="s">
        <v>164</v>
      </c>
      <c r="B502" s="229"/>
      <c r="C502" s="229"/>
      <c r="D502" s="229"/>
      <c r="E502" s="229"/>
      <c r="F502" s="229"/>
      <c r="G502" s="229"/>
      <c r="H502" s="229"/>
      <c r="I502" s="229"/>
      <c r="J502" s="229"/>
      <c r="K502" s="229"/>
    </row>
    <row r="503" spans="1:11">
      <c r="A503" s="16" t="str">
        <f>$A$42</f>
        <v xml:space="preserve">NAME: </v>
      </c>
      <c r="C503" s="137" t="str">
        <f>$D$20</f>
        <v>University of Colorado</v>
      </c>
      <c r="G503" s="80"/>
      <c r="H503" s="40"/>
      <c r="J503" s="14"/>
      <c r="K503" s="18" t="str">
        <f>$K$3</f>
        <v>Date: October 09, 2017</v>
      </c>
    </row>
    <row r="504" spans="1:11" ht="12.75" customHeight="1">
      <c r="A504" s="19" t="s">
        <v>6</v>
      </c>
      <c r="B504" s="19" t="s">
        <v>6</v>
      </c>
      <c r="C504" s="19" t="s">
        <v>6</v>
      </c>
      <c r="D504" s="19" t="s">
        <v>6</v>
      </c>
      <c r="E504" s="19" t="s">
        <v>6</v>
      </c>
      <c r="F504" s="19" t="s">
        <v>6</v>
      </c>
      <c r="G504" s="20" t="s">
        <v>6</v>
      </c>
      <c r="H504" s="21" t="s">
        <v>6</v>
      </c>
      <c r="I504" s="19" t="s">
        <v>6</v>
      </c>
      <c r="J504" s="20" t="s">
        <v>6</v>
      </c>
      <c r="K504" s="21" t="s">
        <v>6</v>
      </c>
    </row>
    <row r="505" spans="1:11">
      <c r="A505" s="22" t="s">
        <v>7</v>
      </c>
      <c r="E505" s="22" t="s">
        <v>7</v>
      </c>
      <c r="F505" s="23"/>
      <c r="G505" s="24"/>
      <c r="H505" s="25" t="str">
        <f>H467</f>
        <v>2016-17</v>
      </c>
      <c r="I505" s="23"/>
      <c r="J505" s="24"/>
      <c r="K505" s="25" t="str">
        <f>K467</f>
        <v>2017-18</v>
      </c>
    </row>
    <row r="506" spans="1:11">
      <c r="A506" s="22" t="s">
        <v>9</v>
      </c>
      <c r="C506" s="26" t="s">
        <v>51</v>
      </c>
      <c r="E506" s="22" t="s">
        <v>9</v>
      </c>
      <c r="F506" s="23"/>
      <c r="G506" s="24" t="s">
        <v>11</v>
      </c>
      <c r="H506" s="25" t="s">
        <v>12</v>
      </c>
      <c r="I506" s="23"/>
      <c r="J506" s="24" t="s">
        <v>11</v>
      </c>
      <c r="K506" s="25" t="s">
        <v>13</v>
      </c>
    </row>
    <row r="507" spans="1:11">
      <c r="A507" s="19" t="s">
        <v>6</v>
      </c>
      <c r="B507" s="19" t="s">
        <v>6</v>
      </c>
      <c r="C507" s="19" t="s">
        <v>6</v>
      </c>
      <c r="D507" s="19" t="s">
        <v>6</v>
      </c>
      <c r="E507" s="19" t="s">
        <v>6</v>
      </c>
      <c r="F507" s="19" t="s">
        <v>6</v>
      </c>
      <c r="G507" s="20" t="s">
        <v>6</v>
      </c>
      <c r="H507" s="21" t="s">
        <v>6</v>
      </c>
      <c r="I507" s="19" t="s">
        <v>6</v>
      </c>
      <c r="J507" s="20" t="s">
        <v>6</v>
      </c>
      <c r="K507" s="21" t="s">
        <v>6</v>
      </c>
    </row>
    <row r="508" spans="1:11">
      <c r="A508" s="8">
        <v>1</v>
      </c>
      <c r="B508" s="19"/>
      <c r="C508" s="9" t="s">
        <v>165</v>
      </c>
      <c r="D508" s="19"/>
      <c r="E508" s="8">
        <v>1</v>
      </c>
      <c r="F508" s="19"/>
      <c r="G508" s="153">
        <v>503.25</v>
      </c>
      <c r="H508" s="153">
        <v>34511319</v>
      </c>
      <c r="I508" s="109"/>
      <c r="J508" s="153">
        <v>503.25</v>
      </c>
      <c r="K508" s="156">
        <v>37129474</v>
      </c>
    </row>
    <row r="509" spans="1:11">
      <c r="A509" s="8">
        <v>2</v>
      </c>
      <c r="B509" s="19"/>
      <c r="C509" s="9" t="s">
        <v>166</v>
      </c>
      <c r="D509" s="19"/>
      <c r="E509" s="8">
        <v>2</v>
      </c>
      <c r="F509" s="19"/>
      <c r="G509" s="20"/>
      <c r="H509" s="153">
        <v>10313857</v>
      </c>
      <c r="I509" s="19"/>
      <c r="J509" s="20"/>
      <c r="K509" s="185">
        <v>10391684</v>
      </c>
    </row>
    <row r="510" spans="1:11">
      <c r="A510" s="8">
        <v>3</v>
      </c>
      <c r="C510" s="9" t="s">
        <v>167</v>
      </c>
      <c r="E510" s="8">
        <v>3</v>
      </c>
      <c r="F510" s="10"/>
      <c r="G510" s="153">
        <v>106.75</v>
      </c>
      <c r="H510" s="156">
        <v>4810705</v>
      </c>
      <c r="I510" s="110"/>
      <c r="J510" s="153">
        <v>106.75</v>
      </c>
      <c r="K510" s="156">
        <v>4399304</v>
      </c>
    </row>
    <row r="511" spans="1:11">
      <c r="A511" s="8">
        <v>4</v>
      </c>
      <c r="C511" s="9" t="s">
        <v>168</v>
      </c>
      <c r="E511" s="8">
        <v>4</v>
      </c>
      <c r="F511" s="10"/>
      <c r="G511" s="109"/>
      <c r="H511" s="156">
        <v>998379</v>
      </c>
      <c r="I511" s="110"/>
      <c r="J511" s="109"/>
      <c r="K511" s="156">
        <v>1700648</v>
      </c>
    </row>
    <row r="512" spans="1:11">
      <c r="A512" s="8">
        <v>5</v>
      </c>
      <c r="C512" s="9" t="s">
        <v>169</v>
      </c>
      <c r="E512" s="8">
        <v>5</v>
      </c>
      <c r="F512" s="10"/>
      <c r="G512" s="109">
        <f>G508+G510</f>
        <v>610</v>
      </c>
      <c r="H512" s="110">
        <f>SUM(H508:H511)</f>
        <v>50634260</v>
      </c>
      <c r="I512" s="110"/>
      <c r="J512" s="109">
        <f>SUM(J508:J511)</f>
        <v>610</v>
      </c>
      <c r="K512" s="110">
        <f>SUM(K508:K511)</f>
        <v>53621110</v>
      </c>
    </row>
    <row r="513" spans="1:11">
      <c r="A513" s="8">
        <v>6</v>
      </c>
      <c r="C513" s="9" t="s">
        <v>170</v>
      </c>
      <c r="E513" s="8">
        <v>6</v>
      </c>
      <c r="F513" s="10"/>
      <c r="G513" s="153">
        <v>35.74</v>
      </c>
      <c r="H513" s="156">
        <v>2342783</v>
      </c>
      <c r="I513" s="110"/>
      <c r="J513" s="109">
        <v>37.86</v>
      </c>
      <c r="K513" s="110">
        <v>2374668</v>
      </c>
    </row>
    <row r="514" spans="1:11">
      <c r="A514" s="8">
        <v>7</v>
      </c>
      <c r="C514" s="9" t="s">
        <v>171</v>
      </c>
      <c r="E514" s="8">
        <v>7</v>
      </c>
      <c r="F514" s="10"/>
      <c r="G514" s="109"/>
      <c r="H514" s="156">
        <v>791404</v>
      </c>
      <c r="I514" s="110"/>
      <c r="J514" s="109"/>
      <c r="K514" s="110">
        <v>845140</v>
      </c>
    </row>
    <row r="515" spans="1:11" ht="12" customHeight="1">
      <c r="A515" s="8">
        <v>8</v>
      </c>
      <c r="C515" s="9" t="s">
        <v>172</v>
      </c>
      <c r="E515" s="8">
        <v>8</v>
      </c>
      <c r="F515" s="10"/>
      <c r="G515" s="109">
        <f>G512+G513+G514</f>
        <v>645.74</v>
      </c>
      <c r="H515" s="110">
        <f>H512+H513+H514</f>
        <v>53768447</v>
      </c>
      <c r="I515" s="109"/>
      <c r="J515" s="109">
        <f>J512+J513+J514</f>
        <v>647.86</v>
      </c>
      <c r="K515" s="110">
        <f>K512+K513+K514</f>
        <v>56840918</v>
      </c>
    </row>
    <row r="516" spans="1:11" s="82" customFormat="1" ht="12" customHeight="1">
      <c r="A516" s="8">
        <v>9</v>
      </c>
      <c r="B516" s="137"/>
      <c r="C516" s="137"/>
      <c r="D516" s="137"/>
      <c r="E516" s="8">
        <v>9</v>
      </c>
      <c r="F516" s="10"/>
      <c r="G516" s="109"/>
      <c r="H516" s="110"/>
      <c r="I516" s="108"/>
      <c r="J516" s="109"/>
      <c r="K516" s="110"/>
    </row>
    <row r="517" spans="1:11">
      <c r="A517" s="8">
        <v>10</v>
      </c>
      <c r="C517" s="9" t="s">
        <v>173</v>
      </c>
      <c r="E517" s="8">
        <v>10</v>
      </c>
      <c r="F517" s="10"/>
      <c r="G517" s="153"/>
      <c r="H517" s="156"/>
      <c r="I517" s="110"/>
      <c r="J517" s="153"/>
      <c r="K517" s="156">
        <v>0</v>
      </c>
    </row>
    <row r="518" spans="1:11">
      <c r="A518" s="8">
        <v>11</v>
      </c>
      <c r="C518" s="9" t="s">
        <v>174</v>
      </c>
      <c r="E518" s="8">
        <v>11</v>
      </c>
      <c r="F518" s="10"/>
      <c r="G518" s="153">
        <v>30.35</v>
      </c>
      <c r="H518" s="156">
        <v>1621629</v>
      </c>
      <c r="I518" s="110"/>
      <c r="J518" s="153">
        <v>31.3</v>
      </c>
      <c r="K518" s="156">
        <v>1726564</v>
      </c>
    </row>
    <row r="519" spans="1:11">
      <c r="A519" s="8">
        <v>12</v>
      </c>
      <c r="C519" s="9" t="s">
        <v>175</v>
      </c>
      <c r="E519" s="8">
        <v>12</v>
      </c>
      <c r="F519" s="10"/>
      <c r="G519" s="109"/>
      <c r="H519" s="156">
        <v>751698</v>
      </c>
      <c r="I519" s="110"/>
      <c r="J519" s="109"/>
      <c r="K519" s="156">
        <v>811002</v>
      </c>
    </row>
    <row r="520" spans="1:11">
      <c r="A520" s="8">
        <v>13</v>
      </c>
      <c r="C520" s="9" t="s">
        <v>176</v>
      </c>
      <c r="E520" s="8">
        <v>13</v>
      </c>
      <c r="F520" s="10"/>
      <c r="G520" s="109">
        <f>SUM(G517:G519)</f>
        <v>30.35</v>
      </c>
      <c r="H520" s="110">
        <f>SUM(H517:H519)</f>
        <v>2373327</v>
      </c>
      <c r="I520" s="107"/>
      <c r="J520" s="109">
        <f>SUM(J517:J519)</f>
        <v>31.3</v>
      </c>
      <c r="K520" s="110">
        <f>SUM(K517:K519)</f>
        <v>2537566</v>
      </c>
    </row>
    <row r="521" spans="1:11">
      <c r="A521" s="8">
        <v>14</v>
      </c>
      <c r="E521" s="8">
        <v>14</v>
      </c>
      <c r="F521" s="10"/>
      <c r="G521" s="111"/>
      <c r="H521" s="110"/>
      <c r="I521" s="108"/>
      <c r="J521" s="111"/>
      <c r="K521" s="110"/>
    </row>
    <row r="522" spans="1:11">
      <c r="A522" s="8">
        <v>15</v>
      </c>
      <c r="C522" s="9" t="s">
        <v>177</v>
      </c>
      <c r="E522" s="8">
        <v>15</v>
      </c>
      <c r="G522" s="112">
        <f>SUM(G515+G520)</f>
        <v>676.09</v>
      </c>
      <c r="H522" s="108">
        <f>SUM(H515+H520)</f>
        <v>56141774</v>
      </c>
      <c r="I522" s="108"/>
      <c r="J522" s="112">
        <f>SUM(J515+J520)</f>
        <v>679.16</v>
      </c>
      <c r="K522" s="108">
        <f>SUM(K515+K520)</f>
        <v>59378484</v>
      </c>
    </row>
    <row r="523" spans="1:11">
      <c r="A523" s="8">
        <v>16</v>
      </c>
      <c r="E523" s="8">
        <v>16</v>
      </c>
      <c r="G523" s="112"/>
      <c r="H523" s="108"/>
      <c r="I523" s="108"/>
      <c r="J523" s="112"/>
      <c r="K523" s="108"/>
    </row>
    <row r="524" spans="1:11">
      <c r="A524" s="8">
        <v>17</v>
      </c>
      <c r="C524" s="9" t="s">
        <v>178</v>
      </c>
      <c r="E524" s="8">
        <v>17</v>
      </c>
      <c r="F524" s="10"/>
      <c r="G524" s="109"/>
      <c r="H524" s="156">
        <v>1557531</v>
      </c>
      <c r="I524" s="110"/>
      <c r="J524" s="109"/>
      <c r="K524" s="156">
        <v>648517</v>
      </c>
    </row>
    <row r="525" spans="1:11">
      <c r="A525" s="8">
        <v>18</v>
      </c>
      <c r="E525" s="8">
        <v>18</v>
      </c>
      <c r="F525" s="10"/>
      <c r="G525" s="109"/>
      <c r="H525" s="110"/>
      <c r="I525" s="110"/>
      <c r="J525" s="109"/>
      <c r="K525" s="110"/>
    </row>
    <row r="526" spans="1:11" s="36" customFormat="1">
      <c r="A526" s="8">
        <v>19</v>
      </c>
      <c r="B526" s="137"/>
      <c r="C526" s="9" t="s">
        <v>179</v>
      </c>
      <c r="D526" s="137"/>
      <c r="E526" s="8">
        <v>19</v>
      </c>
      <c r="F526" s="10"/>
      <c r="G526" s="109"/>
      <c r="H526" s="156">
        <v>581690</v>
      </c>
      <c r="I526" s="110"/>
      <c r="J526" s="109"/>
      <c r="K526" s="156">
        <v>217692</v>
      </c>
    </row>
    <row r="527" spans="1:11" s="36" customFormat="1">
      <c r="A527" s="8">
        <v>20</v>
      </c>
      <c r="B527" s="137"/>
      <c r="C527" s="81" t="s">
        <v>180</v>
      </c>
      <c r="D527" s="137"/>
      <c r="E527" s="8">
        <v>20</v>
      </c>
      <c r="F527" s="10"/>
      <c r="G527" s="109"/>
      <c r="H527" s="156">
        <v>4144155</v>
      </c>
      <c r="I527" s="110"/>
      <c r="J527" s="109"/>
      <c r="K527" s="156">
        <v>7288310</v>
      </c>
    </row>
    <row r="528" spans="1:11">
      <c r="A528" s="8">
        <v>21</v>
      </c>
      <c r="C528" s="81"/>
      <c r="E528" s="8">
        <v>21</v>
      </c>
      <c r="F528" s="10"/>
      <c r="G528" s="109"/>
      <c r="H528" s="110"/>
      <c r="I528" s="110"/>
      <c r="J528" s="109"/>
      <c r="K528" s="110"/>
    </row>
    <row r="529" spans="1:13">
      <c r="A529" s="8">
        <v>22</v>
      </c>
      <c r="C529" s="9"/>
      <c r="E529" s="8">
        <v>22</v>
      </c>
      <c r="G529" s="109"/>
      <c r="H529" s="110"/>
      <c r="I529" s="110"/>
      <c r="J529" s="109"/>
      <c r="K529" s="110"/>
    </row>
    <row r="530" spans="1:13">
      <c r="A530" s="8">
        <v>23</v>
      </c>
      <c r="C530" s="9" t="s">
        <v>181</v>
      </c>
      <c r="E530" s="8">
        <v>23</v>
      </c>
      <c r="G530" s="109"/>
      <c r="H530" s="156">
        <v>0</v>
      </c>
      <c r="I530" s="110"/>
      <c r="J530" s="109"/>
      <c r="K530" s="156">
        <v>0</v>
      </c>
    </row>
    <row r="531" spans="1:13">
      <c r="A531" s="8">
        <v>24</v>
      </c>
      <c r="C531" s="9"/>
      <c r="E531" s="8">
        <v>24</v>
      </c>
      <c r="G531" s="109"/>
      <c r="H531" s="110"/>
      <c r="I531" s="110"/>
      <c r="J531" s="109"/>
      <c r="K531" s="110"/>
    </row>
    <row r="532" spans="1:13">
      <c r="A532" s="8"/>
      <c r="E532" s="8"/>
      <c r="F532" s="70" t="s">
        <v>6</v>
      </c>
      <c r="G532" s="83"/>
      <c r="H532" s="21"/>
      <c r="I532" s="70"/>
      <c r="J532" s="83"/>
      <c r="K532" s="21"/>
    </row>
    <row r="533" spans="1:13">
      <c r="A533" s="8">
        <v>25</v>
      </c>
      <c r="C533" s="9" t="s">
        <v>182</v>
      </c>
      <c r="E533" s="8">
        <v>25</v>
      </c>
      <c r="G533" s="109">
        <f>SUM(G522:G531)</f>
        <v>676.09</v>
      </c>
      <c r="H533" s="108">
        <f>SUM(H522:H531)+2</f>
        <v>62425152</v>
      </c>
      <c r="I533" s="113"/>
      <c r="J533" s="112">
        <f>SUM(J522:J531)</f>
        <v>679.16</v>
      </c>
      <c r="K533" s="108">
        <f>SUM(K522:K531)</f>
        <v>67533003</v>
      </c>
    </row>
    <row r="534" spans="1:13">
      <c r="F534" s="70" t="s">
        <v>6</v>
      </c>
      <c r="G534" s="20"/>
      <c r="H534" s="21"/>
      <c r="I534" s="70"/>
      <c r="J534" s="20"/>
      <c r="K534" s="21"/>
    </row>
    <row r="535" spans="1:13">
      <c r="F535" s="70"/>
      <c r="G535" s="20"/>
      <c r="H535" s="21"/>
      <c r="I535" s="70"/>
      <c r="J535" s="20"/>
      <c r="K535" s="21"/>
    </row>
    <row r="536" spans="1:13" ht="15.75">
      <c r="C536" s="84"/>
      <c r="D536" s="84"/>
      <c r="E536" s="84"/>
      <c r="F536" s="70"/>
      <c r="G536" s="20"/>
      <c r="H536" s="21"/>
      <c r="I536" s="70"/>
      <c r="J536" s="20"/>
      <c r="K536" s="21"/>
    </row>
    <row r="537" spans="1:13">
      <c r="C537" s="137" t="s">
        <v>49</v>
      </c>
      <c r="F537" s="70"/>
      <c r="G537" s="20"/>
      <c r="H537" s="21"/>
      <c r="I537" s="70"/>
      <c r="J537" s="20"/>
      <c r="K537" s="21"/>
    </row>
    <row r="538" spans="1:13">
      <c r="A538" s="9"/>
    </row>
    <row r="539" spans="1:13">
      <c r="E539" s="35"/>
      <c r="G539" s="14"/>
      <c r="H539" s="40"/>
      <c r="J539" s="14"/>
      <c r="K539" s="40"/>
    </row>
    <row r="540" spans="1:13">
      <c r="A540" s="16" t="str">
        <f>$A$83</f>
        <v>Institution No.:  GFC</v>
      </c>
      <c r="B540" s="36"/>
      <c r="C540" s="36"/>
      <c r="D540" s="36"/>
      <c r="E540" s="37"/>
      <c r="F540" s="36"/>
      <c r="G540" s="38"/>
      <c r="H540" s="39"/>
      <c r="I540" s="36"/>
      <c r="J540" s="38"/>
      <c r="K540" s="15" t="s">
        <v>183</v>
      </c>
    </row>
    <row r="541" spans="1:13">
      <c r="A541" s="229" t="s">
        <v>184</v>
      </c>
      <c r="B541" s="229"/>
      <c r="C541" s="229"/>
      <c r="D541" s="229"/>
      <c r="E541" s="229"/>
      <c r="F541" s="229"/>
      <c r="G541" s="229"/>
      <c r="H541" s="229"/>
      <c r="I541" s="229"/>
      <c r="J541" s="229"/>
      <c r="K541" s="229"/>
      <c r="M541" s="137" t="s">
        <v>38</v>
      </c>
    </row>
    <row r="542" spans="1:13">
      <c r="A542" s="16" t="str">
        <f>$A$42</f>
        <v xml:space="preserve">NAME: </v>
      </c>
      <c r="C542" s="137" t="str">
        <f>$D$20</f>
        <v>University of Colorado</v>
      </c>
      <c r="G542" s="80"/>
      <c r="H542" s="40"/>
      <c r="J542" s="14"/>
      <c r="K542" s="18" t="str">
        <f>$K$3</f>
        <v>Date: October 09, 2017</v>
      </c>
    </row>
    <row r="543" spans="1:13">
      <c r="A543" s="19" t="s">
        <v>6</v>
      </c>
      <c r="B543" s="19" t="s">
        <v>6</v>
      </c>
      <c r="C543" s="19" t="s">
        <v>6</v>
      </c>
      <c r="D543" s="19" t="s">
        <v>6</v>
      </c>
      <c r="E543" s="19" t="s">
        <v>6</v>
      </c>
      <c r="F543" s="19" t="s">
        <v>6</v>
      </c>
      <c r="G543" s="20" t="s">
        <v>6</v>
      </c>
      <c r="H543" s="21" t="s">
        <v>6</v>
      </c>
      <c r="I543" s="19" t="s">
        <v>6</v>
      </c>
      <c r="J543" s="20" t="s">
        <v>6</v>
      </c>
      <c r="K543" s="21" t="s">
        <v>6</v>
      </c>
    </row>
    <row r="544" spans="1:13">
      <c r="A544" s="22" t="s">
        <v>7</v>
      </c>
      <c r="E544" s="22" t="s">
        <v>7</v>
      </c>
      <c r="F544" s="23"/>
      <c r="G544" s="24"/>
      <c r="H544" s="25" t="str">
        <f>H505</f>
        <v>2016-17</v>
      </c>
      <c r="I544" s="23"/>
      <c r="J544" s="24"/>
      <c r="K544" s="25" t="str">
        <f>K505</f>
        <v>2017-18</v>
      </c>
    </row>
    <row r="545" spans="1:11">
      <c r="A545" s="22" t="s">
        <v>9</v>
      </c>
      <c r="C545" s="26" t="s">
        <v>51</v>
      </c>
      <c r="E545" s="22" t="s">
        <v>9</v>
      </c>
      <c r="F545" s="23"/>
      <c r="G545" s="24" t="s">
        <v>11</v>
      </c>
      <c r="H545" s="25" t="s">
        <v>12</v>
      </c>
      <c r="I545" s="23"/>
      <c r="J545" s="24" t="s">
        <v>11</v>
      </c>
      <c r="K545" s="25" t="s">
        <v>13</v>
      </c>
    </row>
    <row r="546" spans="1:11">
      <c r="A546" s="19" t="s">
        <v>6</v>
      </c>
      <c r="B546" s="19" t="s">
        <v>6</v>
      </c>
      <c r="C546" s="19" t="s">
        <v>6</v>
      </c>
      <c r="D546" s="19" t="s">
        <v>6</v>
      </c>
      <c r="E546" s="19" t="s">
        <v>6</v>
      </c>
      <c r="F546" s="19" t="s">
        <v>6</v>
      </c>
      <c r="G546" s="20" t="s">
        <v>6</v>
      </c>
      <c r="H546" s="21" t="s">
        <v>6</v>
      </c>
      <c r="I546" s="19" t="s">
        <v>6</v>
      </c>
      <c r="J546" s="20" t="s">
        <v>6</v>
      </c>
      <c r="K546" s="21" t="s">
        <v>6</v>
      </c>
    </row>
    <row r="547" spans="1:11">
      <c r="A547" s="8">
        <v>1</v>
      </c>
      <c r="B547" s="19"/>
      <c r="C547" s="9" t="s">
        <v>165</v>
      </c>
      <c r="D547" s="19"/>
      <c r="E547" s="8">
        <v>1</v>
      </c>
      <c r="F547" s="19"/>
      <c r="G547" s="153">
        <v>0</v>
      </c>
      <c r="H547" s="156">
        <v>79693</v>
      </c>
      <c r="I547" s="19"/>
      <c r="J547" s="153">
        <v>0</v>
      </c>
      <c r="K547" s="185">
        <v>50764</v>
      </c>
    </row>
    <row r="548" spans="1:11">
      <c r="A548" s="8">
        <v>2</v>
      </c>
      <c r="B548" s="19"/>
      <c r="C548" s="9" t="s">
        <v>166</v>
      </c>
      <c r="D548" s="19"/>
      <c r="E548" s="8">
        <v>2</v>
      </c>
      <c r="F548" s="19"/>
      <c r="G548" s="109"/>
      <c r="H548" s="156">
        <v>3939</v>
      </c>
      <c r="I548" s="109"/>
      <c r="J548" s="109"/>
      <c r="K548" s="185">
        <v>5003</v>
      </c>
    </row>
    <row r="549" spans="1:11">
      <c r="A549" s="8">
        <v>3</v>
      </c>
      <c r="C549" s="9" t="s">
        <v>167</v>
      </c>
      <c r="E549" s="8">
        <v>3</v>
      </c>
      <c r="F549" s="10"/>
      <c r="G549" s="153"/>
      <c r="H549" s="156">
        <v>73909</v>
      </c>
      <c r="I549" s="110"/>
      <c r="J549" s="153">
        <v>0</v>
      </c>
      <c r="K549" s="156"/>
    </row>
    <row r="550" spans="1:11">
      <c r="A550" s="8">
        <v>4</v>
      </c>
      <c r="C550" s="9" t="s">
        <v>168</v>
      </c>
      <c r="E550" s="8">
        <v>4</v>
      </c>
      <c r="F550" s="10"/>
      <c r="G550" s="109"/>
      <c r="H550" s="156">
        <v>20837</v>
      </c>
      <c r="I550" s="110"/>
      <c r="J550" s="109"/>
      <c r="K550" s="156">
        <v>21796</v>
      </c>
    </row>
    <row r="551" spans="1:11">
      <c r="A551" s="8">
        <v>5</v>
      </c>
      <c r="C551" s="9" t="s">
        <v>169</v>
      </c>
      <c r="E551" s="8">
        <v>5</v>
      </c>
      <c r="F551" s="10"/>
      <c r="G551" s="109">
        <f>SUM(G547:G550)</f>
        <v>0</v>
      </c>
      <c r="H551" s="110">
        <f>SUM(H547:H550)</f>
        <v>178378</v>
      </c>
      <c r="I551" s="110"/>
      <c r="J551" s="109">
        <f>SUM(J547:J550)</f>
        <v>0</v>
      </c>
      <c r="K551" s="110">
        <f>SUM(K547:K550)</f>
        <v>77563</v>
      </c>
    </row>
    <row r="552" spans="1:11">
      <c r="A552" s="8">
        <v>6</v>
      </c>
      <c r="C552" s="9" t="s">
        <v>170</v>
      </c>
      <c r="E552" s="8">
        <v>6</v>
      </c>
      <c r="F552" s="10"/>
      <c r="G552" s="109">
        <v>2.5</v>
      </c>
      <c r="H552" s="110">
        <v>229497</v>
      </c>
      <c r="I552" s="110"/>
      <c r="J552" s="109">
        <v>2.5</v>
      </c>
      <c r="K552" s="110">
        <v>146926</v>
      </c>
    </row>
    <row r="553" spans="1:11">
      <c r="A553" s="8">
        <v>7</v>
      </c>
      <c r="C553" s="9" t="s">
        <v>171</v>
      </c>
      <c r="E553" s="8">
        <v>7</v>
      </c>
      <c r="F553" s="10"/>
      <c r="G553" s="109"/>
      <c r="H553" s="110">
        <v>91785</v>
      </c>
      <c r="I553" s="110"/>
      <c r="J553" s="109"/>
      <c r="K553" s="110">
        <v>94882</v>
      </c>
    </row>
    <row r="554" spans="1:11">
      <c r="A554" s="8">
        <v>8</v>
      </c>
      <c r="C554" s="9" t="s">
        <v>185</v>
      </c>
      <c r="E554" s="8">
        <v>8</v>
      </c>
      <c r="F554" s="10"/>
      <c r="G554" s="109">
        <f>G551+G552+G553</f>
        <v>2.5</v>
      </c>
      <c r="H554" s="110">
        <f>H551+H552+H553</f>
        <v>499660</v>
      </c>
      <c r="I554" s="109"/>
      <c r="J554" s="109">
        <f>J551+J552+J553</f>
        <v>2.5</v>
      </c>
      <c r="K554" s="110">
        <f>K551+K552+K553</f>
        <v>319371</v>
      </c>
    </row>
    <row r="555" spans="1:11">
      <c r="A555" s="8">
        <v>9</v>
      </c>
      <c r="E555" s="8">
        <v>9</v>
      </c>
      <c r="F555" s="10"/>
      <c r="G555" s="109"/>
      <c r="H555" s="110"/>
      <c r="I555" s="108"/>
      <c r="J555" s="109"/>
      <c r="K555" s="110"/>
    </row>
    <row r="556" spans="1:11">
      <c r="A556" s="8">
        <v>10</v>
      </c>
      <c r="C556" s="9" t="s">
        <v>173</v>
      </c>
      <c r="E556" s="8">
        <v>10</v>
      </c>
      <c r="F556" s="10"/>
      <c r="G556" s="153">
        <v>0</v>
      </c>
      <c r="H556" s="156">
        <v>0</v>
      </c>
      <c r="I556" s="110"/>
      <c r="J556" s="153">
        <v>0</v>
      </c>
      <c r="K556" s="156">
        <v>0</v>
      </c>
    </row>
    <row r="557" spans="1:11">
      <c r="A557" s="8">
        <v>11</v>
      </c>
      <c r="C557" s="9" t="s">
        <v>174</v>
      </c>
      <c r="E557" s="8">
        <v>11</v>
      </c>
      <c r="F557" s="10"/>
      <c r="G557" s="153">
        <v>0</v>
      </c>
      <c r="H557" s="156">
        <v>0</v>
      </c>
      <c r="I557" s="110"/>
      <c r="J557" s="153">
        <v>0</v>
      </c>
      <c r="K557" s="156"/>
    </row>
    <row r="558" spans="1:11">
      <c r="A558" s="8">
        <v>12</v>
      </c>
      <c r="C558" s="9" t="s">
        <v>175</v>
      </c>
      <c r="E558" s="8">
        <v>12</v>
      </c>
      <c r="F558" s="10"/>
      <c r="G558" s="109"/>
      <c r="H558" s="156">
        <v>5368</v>
      </c>
      <c r="I558" s="110"/>
      <c r="J558" s="109"/>
      <c r="K558" s="156">
        <v>5615</v>
      </c>
    </row>
    <row r="559" spans="1:11">
      <c r="A559" s="8">
        <v>13</v>
      </c>
      <c r="C559" s="9" t="s">
        <v>186</v>
      </c>
      <c r="E559" s="8">
        <v>13</v>
      </c>
      <c r="F559" s="10"/>
      <c r="G559" s="109">
        <f>SUM(G556:G558)</f>
        <v>0</v>
      </c>
      <c r="H559" s="110">
        <f>SUM(H556:H558)</f>
        <v>5368</v>
      </c>
      <c r="I559" s="107"/>
      <c r="J559" s="109">
        <f>SUM(J556:J558)</f>
        <v>0</v>
      </c>
      <c r="K559" s="110">
        <f>SUM(K556:K558)</f>
        <v>5615</v>
      </c>
    </row>
    <row r="560" spans="1:11">
      <c r="A560" s="8">
        <v>14</v>
      </c>
      <c r="E560" s="8">
        <v>14</v>
      </c>
      <c r="F560" s="10"/>
      <c r="G560" s="111"/>
      <c r="H560" s="110"/>
      <c r="I560" s="108"/>
      <c r="J560" s="111"/>
      <c r="K560" s="110"/>
    </row>
    <row r="561" spans="1:11">
      <c r="A561" s="8">
        <v>15</v>
      </c>
      <c r="C561" s="9" t="s">
        <v>177</v>
      </c>
      <c r="E561" s="8">
        <v>15</v>
      </c>
      <c r="G561" s="112">
        <f>SUM(G554+G559)</f>
        <v>2.5</v>
      </c>
      <c r="H561" s="108">
        <f>SUM(H554+H559)</f>
        <v>505028</v>
      </c>
      <c r="I561" s="108"/>
      <c r="J561" s="112">
        <f>SUM(J554+J559)</f>
        <v>2.5</v>
      </c>
      <c r="K561" s="108">
        <f>SUM(K554+K559)</f>
        <v>324986</v>
      </c>
    </row>
    <row r="562" spans="1:11">
      <c r="A562" s="8">
        <v>16</v>
      </c>
      <c r="E562" s="8">
        <v>16</v>
      </c>
      <c r="G562" s="112"/>
      <c r="H562" s="108"/>
      <c r="I562" s="108"/>
      <c r="J562" s="112"/>
      <c r="K562" s="108"/>
    </row>
    <row r="563" spans="1:11" s="36" customFormat="1">
      <c r="A563" s="8">
        <v>17</v>
      </c>
      <c r="B563" s="137"/>
      <c r="C563" s="9" t="s">
        <v>178</v>
      </c>
      <c r="D563" s="137"/>
      <c r="E563" s="8">
        <v>17</v>
      </c>
      <c r="F563" s="10"/>
      <c r="G563" s="109"/>
      <c r="H563" s="156">
        <v>60787</v>
      </c>
      <c r="I563" s="110"/>
      <c r="J563" s="109"/>
      <c r="K563" s="156">
        <v>227</v>
      </c>
    </row>
    <row r="564" spans="1:11" s="36" customFormat="1">
      <c r="A564" s="8">
        <v>18</v>
      </c>
      <c r="B564" s="137"/>
      <c r="C564" s="137"/>
      <c r="D564" s="137"/>
      <c r="E564" s="8">
        <v>18</v>
      </c>
      <c r="F564" s="10"/>
      <c r="G564" s="109"/>
      <c r="H564" s="110"/>
      <c r="I564" s="110"/>
      <c r="J564" s="109"/>
      <c r="K564" s="110"/>
    </row>
    <row r="565" spans="1:11">
      <c r="A565" s="8">
        <v>19</v>
      </c>
      <c r="C565" s="9" t="s">
        <v>179</v>
      </c>
      <c r="E565" s="8">
        <v>19</v>
      </c>
      <c r="F565" s="10"/>
      <c r="G565" s="109"/>
      <c r="H565" s="156">
        <v>54802</v>
      </c>
      <c r="I565" s="110"/>
      <c r="J565" s="109"/>
      <c r="K565" s="156">
        <v>9955</v>
      </c>
    </row>
    <row r="566" spans="1:11">
      <c r="A566" s="8">
        <v>20</v>
      </c>
      <c r="C566" s="81" t="s">
        <v>180</v>
      </c>
      <c r="E566" s="8">
        <v>20</v>
      </c>
      <c r="F566" s="10"/>
      <c r="G566" s="109"/>
      <c r="H566" s="156">
        <v>92960</v>
      </c>
      <c r="I566" s="110"/>
      <c r="J566" s="109"/>
      <c r="K566" s="156">
        <v>179050</v>
      </c>
    </row>
    <row r="567" spans="1:11">
      <c r="A567" s="8">
        <v>21</v>
      </c>
      <c r="C567" s="81"/>
      <c r="E567" s="8">
        <v>21</v>
      </c>
      <c r="F567" s="10"/>
      <c r="G567" s="109"/>
      <c r="H567" s="110"/>
      <c r="I567" s="110"/>
      <c r="J567" s="109"/>
      <c r="K567" s="110"/>
    </row>
    <row r="568" spans="1:11">
      <c r="A568" s="8">
        <v>22</v>
      </c>
      <c r="C568" s="9"/>
      <c r="E568" s="8">
        <v>22</v>
      </c>
      <c r="G568" s="109"/>
      <c r="H568" s="110"/>
      <c r="I568" s="110"/>
      <c r="J568" s="109"/>
      <c r="K568" s="110"/>
    </row>
    <row r="569" spans="1:11">
      <c r="A569" s="8">
        <v>23</v>
      </c>
      <c r="C569" s="9" t="s">
        <v>181</v>
      </c>
      <c r="E569" s="8">
        <v>23</v>
      </c>
      <c r="G569" s="109"/>
      <c r="H569" s="156">
        <v>0</v>
      </c>
      <c r="I569" s="110"/>
      <c r="J569" s="109"/>
      <c r="K569" s="156">
        <v>0</v>
      </c>
    </row>
    <row r="570" spans="1:11">
      <c r="A570" s="8">
        <v>24</v>
      </c>
      <c r="C570" s="9"/>
      <c r="E570" s="8">
        <v>24</v>
      </c>
      <c r="G570" s="109"/>
      <c r="H570" s="110"/>
      <c r="I570" s="110"/>
      <c r="J570" s="109"/>
      <c r="K570" s="110"/>
    </row>
    <row r="571" spans="1:11">
      <c r="A571" s="8"/>
      <c r="E571" s="8"/>
      <c r="F571" s="70" t="s">
        <v>6</v>
      </c>
      <c r="G571" s="83"/>
      <c r="H571" s="21"/>
      <c r="I571" s="70"/>
      <c r="J571" s="83"/>
      <c r="K571" s="21"/>
    </row>
    <row r="572" spans="1:11">
      <c r="A572" s="8">
        <v>25</v>
      </c>
      <c r="C572" s="9" t="s">
        <v>187</v>
      </c>
      <c r="E572" s="8">
        <v>25</v>
      </c>
      <c r="G572" s="112">
        <f>SUM(G561:G570)</f>
        <v>2.5</v>
      </c>
      <c r="H572" s="108">
        <f>SUM(H561:H570)-1</f>
        <v>713576</v>
      </c>
      <c r="I572" s="113"/>
      <c r="J572" s="112">
        <f>SUM(J561:J570)</f>
        <v>2.5</v>
      </c>
      <c r="K572" s="108">
        <f>SUM(K561:K570)</f>
        <v>514218</v>
      </c>
    </row>
    <row r="573" spans="1:11">
      <c r="F573" s="70" t="s">
        <v>6</v>
      </c>
      <c r="G573" s="20"/>
      <c r="H573" s="21"/>
      <c r="I573" s="70"/>
      <c r="J573" s="20"/>
      <c r="K573" s="21"/>
    </row>
    <row r="574" spans="1:11">
      <c r="C574" s="137" t="s">
        <v>49</v>
      </c>
      <c r="F574" s="70"/>
      <c r="G574" s="20"/>
      <c r="H574" s="21"/>
      <c r="I574" s="70"/>
      <c r="J574" s="20"/>
      <c r="K574" s="21"/>
    </row>
    <row r="575" spans="1:11">
      <c r="A575" s="9"/>
    </row>
    <row r="576" spans="1:11">
      <c r="H576" s="40"/>
      <c r="K576" s="40"/>
    </row>
    <row r="577" spans="1:11">
      <c r="A577" s="16" t="str">
        <f>$A$83</f>
        <v>Institution No.:  GFC</v>
      </c>
      <c r="B577" s="36"/>
      <c r="C577" s="36"/>
      <c r="D577" s="36"/>
      <c r="E577" s="37"/>
      <c r="F577" s="36"/>
      <c r="G577" s="38"/>
      <c r="H577" s="39"/>
      <c r="I577" s="36"/>
      <c r="J577" s="38"/>
      <c r="K577" s="15" t="s">
        <v>188</v>
      </c>
    </row>
    <row r="578" spans="1:11">
      <c r="A578" s="229" t="s">
        <v>189</v>
      </c>
      <c r="B578" s="229"/>
      <c r="C578" s="229"/>
      <c r="D578" s="229"/>
      <c r="E578" s="229"/>
      <c r="F578" s="229"/>
      <c r="G578" s="229"/>
      <c r="H578" s="229"/>
      <c r="I578" s="229"/>
      <c r="J578" s="229"/>
      <c r="K578" s="229"/>
    </row>
    <row r="579" spans="1:11">
      <c r="A579" s="16" t="str">
        <f>$A$42</f>
        <v xml:space="preserve">NAME: </v>
      </c>
      <c r="C579" s="137" t="str">
        <f>$D$20</f>
        <v>University of Colorado</v>
      </c>
      <c r="G579" s="80"/>
      <c r="H579" s="67"/>
      <c r="J579" s="14"/>
      <c r="K579" s="18" t="str">
        <f>$K$3</f>
        <v>Date: October 09, 2017</v>
      </c>
    </row>
    <row r="580" spans="1:11">
      <c r="A580" s="19" t="s">
        <v>6</v>
      </c>
      <c r="B580" s="19" t="s">
        <v>6</v>
      </c>
      <c r="C580" s="19" t="s">
        <v>6</v>
      </c>
      <c r="D580" s="19" t="s">
        <v>6</v>
      </c>
      <c r="E580" s="19" t="s">
        <v>6</v>
      </c>
      <c r="F580" s="19" t="s">
        <v>6</v>
      </c>
      <c r="G580" s="20" t="s">
        <v>6</v>
      </c>
      <c r="H580" s="21" t="s">
        <v>6</v>
      </c>
      <c r="I580" s="19" t="s">
        <v>6</v>
      </c>
      <c r="J580" s="20" t="s">
        <v>6</v>
      </c>
      <c r="K580" s="21" t="s">
        <v>6</v>
      </c>
    </row>
    <row r="581" spans="1:11">
      <c r="A581" s="22" t="s">
        <v>7</v>
      </c>
      <c r="E581" s="22" t="s">
        <v>7</v>
      </c>
      <c r="F581" s="23"/>
      <c r="G581" s="24"/>
      <c r="H581" s="25" t="str">
        <f>H544</f>
        <v>2016-17</v>
      </c>
      <c r="I581" s="23"/>
      <c r="J581" s="24"/>
      <c r="K581" s="25" t="str">
        <f>K544</f>
        <v>2017-18</v>
      </c>
    </row>
    <row r="582" spans="1:11">
      <c r="A582" s="22" t="s">
        <v>9</v>
      </c>
      <c r="C582" s="26" t="s">
        <v>51</v>
      </c>
      <c r="E582" s="22" t="s">
        <v>9</v>
      </c>
      <c r="F582" s="23"/>
      <c r="G582" s="24" t="s">
        <v>11</v>
      </c>
      <c r="H582" s="25" t="s">
        <v>12</v>
      </c>
      <c r="I582" s="23"/>
      <c r="J582" s="24" t="s">
        <v>11</v>
      </c>
      <c r="K582" s="25" t="s">
        <v>13</v>
      </c>
    </row>
    <row r="583" spans="1:11">
      <c r="A583" s="19" t="s">
        <v>6</v>
      </c>
      <c r="B583" s="19" t="s">
        <v>6</v>
      </c>
      <c r="C583" s="19" t="s">
        <v>6</v>
      </c>
      <c r="D583" s="19" t="s">
        <v>6</v>
      </c>
      <c r="E583" s="19" t="s">
        <v>6</v>
      </c>
      <c r="F583" s="19" t="s">
        <v>6</v>
      </c>
      <c r="G583" s="20" t="s">
        <v>6</v>
      </c>
      <c r="H583" s="21" t="s">
        <v>6</v>
      </c>
      <c r="I583" s="19" t="s">
        <v>6</v>
      </c>
      <c r="J583" s="20" t="s">
        <v>6</v>
      </c>
      <c r="K583" s="21" t="s">
        <v>6</v>
      </c>
    </row>
    <row r="584" spans="1:11">
      <c r="A584" s="117">
        <v>1</v>
      </c>
      <c r="B584" s="118"/>
      <c r="C584" s="118" t="s">
        <v>227</v>
      </c>
      <c r="D584" s="118"/>
      <c r="E584" s="117">
        <v>1</v>
      </c>
      <c r="F584" s="119"/>
      <c r="G584" s="120"/>
      <c r="H584" s="121"/>
      <c r="I584" s="122"/>
      <c r="J584" s="123"/>
      <c r="K584" s="124"/>
    </row>
    <row r="585" spans="1:11">
      <c r="A585" s="117">
        <v>2</v>
      </c>
      <c r="B585" s="118"/>
      <c r="C585" s="118" t="s">
        <v>227</v>
      </c>
      <c r="D585" s="118"/>
      <c r="E585" s="117">
        <v>2</v>
      </c>
      <c r="F585" s="119"/>
      <c r="G585" s="120"/>
      <c r="H585" s="121"/>
      <c r="I585" s="122"/>
      <c r="J585" s="123"/>
      <c r="K585" s="121"/>
    </row>
    <row r="586" spans="1:11">
      <c r="A586" s="117">
        <v>3</v>
      </c>
      <c r="B586" s="118"/>
      <c r="C586" s="118" t="s">
        <v>227</v>
      </c>
      <c r="D586" s="118"/>
      <c r="E586" s="117">
        <v>3</v>
      </c>
      <c r="F586" s="119"/>
      <c r="G586" s="120"/>
      <c r="H586" s="121"/>
      <c r="I586" s="122"/>
      <c r="J586" s="123"/>
      <c r="K586" s="121"/>
    </row>
    <row r="587" spans="1:11">
      <c r="A587" s="117">
        <v>4</v>
      </c>
      <c r="B587" s="118"/>
      <c r="C587" s="118" t="s">
        <v>227</v>
      </c>
      <c r="D587" s="118"/>
      <c r="E587" s="117">
        <v>4</v>
      </c>
      <c r="F587" s="119"/>
      <c r="G587" s="120"/>
      <c r="H587" s="121"/>
      <c r="I587" s="125"/>
      <c r="J587" s="123"/>
      <c r="K587" s="121"/>
    </row>
    <row r="588" spans="1:11">
      <c r="A588" s="117">
        <v>5</v>
      </c>
      <c r="B588" s="118"/>
      <c r="C588" s="118" t="s">
        <v>227</v>
      </c>
      <c r="D588" s="118"/>
      <c r="E588" s="117">
        <v>5</v>
      </c>
      <c r="F588" s="119"/>
      <c r="G588" s="120"/>
      <c r="H588" s="121"/>
      <c r="I588" s="125"/>
      <c r="J588" s="123"/>
      <c r="K588" s="121"/>
    </row>
    <row r="589" spans="1:11">
      <c r="A589" s="8">
        <v>6</v>
      </c>
      <c r="C589" s="9" t="s">
        <v>190</v>
      </c>
      <c r="E589" s="8">
        <v>6</v>
      </c>
      <c r="F589" s="10"/>
      <c r="G589" s="144">
        <v>0.4</v>
      </c>
      <c r="H589" s="145">
        <v>23451</v>
      </c>
      <c r="I589" s="30"/>
      <c r="J589" s="144">
        <v>0.4</v>
      </c>
      <c r="K589" s="145">
        <v>24105</v>
      </c>
    </row>
    <row r="590" spans="1:11">
      <c r="A590" s="8">
        <v>7</v>
      </c>
      <c r="C590" s="9" t="s">
        <v>191</v>
      </c>
      <c r="E590" s="8">
        <v>7</v>
      </c>
      <c r="F590" s="10"/>
      <c r="G590" s="104"/>
      <c r="H590" s="145">
        <v>4349</v>
      </c>
      <c r="I590" s="85"/>
      <c r="J590" s="104"/>
      <c r="K590" s="145">
        <v>4588</v>
      </c>
    </row>
    <row r="591" spans="1:11">
      <c r="A591" s="8">
        <v>8</v>
      </c>
      <c r="C591" s="9" t="s">
        <v>192</v>
      </c>
      <c r="E591" s="8">
        <v>8</v>
      </c>
      <c r="F591" s="10"/>
      <c r="G591" s="104">
        <f>SUM(G589:G590)</f>
        <v>0.4</v>
      </c>
      <c r="H591" s="103">
        <f>SUM(H589:H590)</f>
        <v>27800</v>
      </c>
      <c r="I591" s="85"/>
      <c r="J591" s="104">
        <f>SUM(J589:J590)</f>
        <v>0.4</v>
      </c>
      <c r="K591" s="103">
        <f>SUM(K589:K590)</f>
        <v>28693</v>
      </c>
    </row>
    <row r="592" spans="1:11">
      <c r="A592" s="8">
        <v>9</v>
      </c>
      <c r="C592" s="9"/>
      <c r="E592" s="8">
        <v>9</v>
      </c>
      <c r="F592" s="10"/>
      <c r="G592" s="104"/>
      <c r="H592" s="103"/>
      <c r="I592" s="29"/>
      <c r="J592" s="104"/>
      <c r="K592" s="103"/>
    </row>
    <row r="593" spans="1:12">
      <c r="A593" s="8">
        <v>10</v>
      </c>
      <c r="C593" s="9"/>
      <c r="E593" s="8">
        <v>10</v>
      </c>
      <c r="F593" s="10"/>
      <c r="G593" s="104"/>
      <c r="H593" s="103"/>
      <c r="I593" s="30"/>
      <c r="J593" s="104"/>
      <c r="K593" s="103"/>
    </row>
    <row r="594" spans="1:12">
      <c r="A594" s="8">
        <v>11</v>
      </c>
      <c r="C594" s="9" t="s">
        <v>174</v>
      </c>
      <c r="E594" s="8">
        <v>11</v>
      </c>
      <c r="G594" s="143"/>
      <c r="H594" s="143"/>
      <c r="I594" s="29"/>
      <c r="J594" s="143"/>
      <c r="K594" s="146"/>
    </row>
    <row r="595" spans="1:12">
      <c r="A595" s="8">
        <v>12</v>
      </c>
      <c r="C595" s="9" t="s">
        <v>175</v>
      </c>
      <c r="E595" s="8">
        <v>12</v>
      </c>
      <c r="G595" s="99"/>
      <c r="H595" s="146"/>
      <c r="I595" s="30"/>
      <c r="J595" s="99"/>
      <c r="K595" s="146"/>
    </row>
    <row r="596" spans="1:12">
      <c r="A596" s="8">
        <v>13</v>
      </c>
      <c r="C596" s="9" t="s">
        <v>193</v>
      </c>
      <c r="E596" s="8">
        <v>13</v>
      </c>
      <c r="F596" s="10"/>
      <c r="G596" s="104">
        <f>SUM(G594:G595)</f>
        <v>0</v>
      </c>
      <c r="H596" s="114">
        <f>SUM(H594:H595)</f>
        <v>0</v>
      </c>
      <c r="I596" s="85"/>
      <c r="J596" s="114">
        <f>SUM(J594:J595)</f>
        <v>0</v>
      </c>
      <c r="K596" s="114">
        <f>SUM(K594:K595)</f>
        <v>0</v>
      </c>
    </row>
    <row r="597" spans="1:12">
      <c r="A597" s="8">
        <v>14</v>
      </c>
      <c r="E597" s="8">
        <v>14</v>
      </c>
      <c r="F597" s="10"/>
      <c r="G597" s="104"/>
      <c r="H597" s="103"/>
      <c r="I597" s="85"/>
      <c r="J597" s="104"/>
      <c r="K597" s="103"/>
    </row>
    <row r="598" spans="1:12">
      <c r="A598" s="8">
        <v>15</v>
      </c>
      <c r="C598" s="9" t="s">
        <v>177</v>
      </c>
      <c r="E598" s="8">
        <v>15</v>
      </c>
      <c r="F598" s="10"/>
      <c r="G598" s="104">
        <f>G591+G596</f>
        <v>0.4</v>
      </c>
      <c r="H598" s="103">
        <f>H591+H596</f>
        <v>27800</v>
      </c>
      <c r="I598" s="85"/>
      <c r="J598" s="104">
        <f>J591+J596</f>
        <v>0.4</v>
      </c>
      <c r="K598" s="103">
        <f>K591+K596</f>
        <v>28693</v>
      </c>
    </row>
    <row r="599" spans="1:12">
      <c r="A599" s="8">
        <v>16</v>
      </c>
      <c r="E599" s="8">
        <v>16</v>
      </c>
      <c r="F599" s="10"/>
      <c r="G599" s="104"/>
      <c r="H599" s="103"/>
      <c r="I599" s="85"/>
      <c r="J599" s="104"/>
      <c r="K599" s="103"/>
      <c r="L599" s="137" t="s">
        <v>38</v>
      </c>
    </row>
    <row r="600" spans="1:12" s="36" customFormat="1">
      <c r="A600" s="8">
        <v>17</v>
      </c>
      <c r="B600" s="137"/>
      <c r="C600" s="9" t="s">
        <v>178</v>
      </c>
      <c r="D600" s="137"/>
      <c r="E600" s="8">
        <v>17</v>
      </c>
      <c r="F600" s="10"/>
      <c r="G600" s="144"/>
      <c r="H600" s="145">
        <v>528</v>
      </c>
      <c r="I600" s="85"/>
      <c r="J600" s="144"/>
      <c r="K600" s="145"/>
    </row>
    <row r="601" spans="1:12" s="36" customFormat="1">
      <c r="A601" s="8">
        <v>18</v>
      </c>
      <c r="B601" s="137"/>
      <c r="C601" s="9"/>
      <c r="D601" s="137"/>
      <c r="E601" s="8">
        <v>18</v>
      </c>
      <c r="F601" s="10"/>
      <c r="G601" s="104"/>
      <c r="H601" s="103"/>
      <c r="I601" s="85"/>
      <c r="J601" s="104"/>
      <c r="K601" s="103"/>
    </row>
    <row r="602" spans="1:12">
      <c r="A602" s="8">
        <v>19</v>
      </c>
      <c r="C602" s="9" t="s">
        <v>179</v>
      </c>
      <c r="E602" s="8">
        <v>19</v>
      </c>
      <c r="F602" s="10"/>
      <c r="G602" s="144"/>
      <c r="H602" s="145">
        <v>331</v>
      </c>
      <c r="I602" s="85"/>
      <c r="J602" s="144"/>
      <c r="K602" s="145"/>
    </row>
    <row r="603" spans="1:12">
      <c r="A603" s="8">
        <v>20</v>
      </c>
      <c r="C603" s="9" t="s">
        <v>180</v>
      </c>
      <c r="E603" s="8">
        <v>20</v>
      </c>
      <c r="F603" s="10"/>
      <c r="G603" s="144"/>
      <c r="H603" s="145">
        <v>11102</v>
      </c>
      <c r="I603" s="85"/>
      <c r="J603" s="144"/>
      <c r="K603" s="145">
        <v>1015</v>
      </c>
    </row>
    <row r="604" spans="1:12">
      <c r="A604" s="8">
        <v>21</v>
      </c>
      <c r="C604" s="9"/>
      <c r="E604" s="8">
        <v>21</v>
      </c>
      <c r="F604" s="10"/>
      <c r="G604" s="104"/>
      <c r="H604" s="103"/>
      <c r="I604" s="85"/>
      <c r="J604" s="104"/>
      <c r="K604" s="103"/>
    </row>
    <row r="605" spans="1:12">
      <c r="A605" s="8">
        <v>22</v>
      </c>
      <c r="C605" s="9"/>
      <c r="E605" s="8">
        <v>22</v>
      </c>
      <c r="F605" s="10"/>
      <c r="G605" s="104"/>
      <c r="H605" s="103"/>
      <c r="I605" s="85"/>
      <c r="J605" s="104"/>
      <c r="K605" s="103"/>
    </row>
    <row r="606" spans="1:12">
      <c r="A606" s="8">
        <v>23</v>
      </c>
      <c r="C606" s="9" t="s">
        <v>194</v>
      </c>
      <c r="E606" s="8">
        <v>23</v>
      </c>
      <c r="F606" s="10"/>
      <c r="G606" s="144"/>
      <c r="H606" s="145"/>
      <c r="I606" s="85"/>
      <c r="J606" s="144"/>
      <c r="K606" s="145"/>
    </row>
    <row r="607" spans="1:12">
      <c r="A607" s="8">
        <v>24</v>
      </c>
      <c r="C607" s="9"/>
      <c r="E607" s="8">
        <v>24</v>
      </c>
      <c r="F607" s="10"/>
      <c r="G607" s="114"/>
      <c r="H607" s="103"/>
      <c r="I607" s="85"/>
      <c r="J607" s="104"/>
      <c r="K607" s="103"/>
    </row>
    <row r="608" spans="1:12">
      <c r="E608" s="35"/>
      <c r="F608" s="70" t="s">
        <v>6</v>
      </c>
      <c r="G608" s="21" t="s">
        <v>6</v>
      </c>
      <c r="H608" s="21" t="s">
        <v>6</v>
      </c>
      <c r="I608" s="70" t="s">
        <v>6</v>
      </c>
      <c r="J608" s="21" t="s">
        <v>6</v>
      </c>
      <c r="K608" s="21" t="s">
        <v>6</v>
      </c>
    </row>
    <row r="609" spans="1:11">
      <c r="A609" s="8">
        <v>25</v>
      </c>
      <c r="C609" s="9" t="s">
        <v>195</v>
      </c>
      <c r="E609" s="8">
        <v>25</v>
      </c>
      <c r="G609" s="99">
        <f>SUM(G598:G608)</f>
        <v>0.4</v>
      </c>
      <c r="H609" s="100">
        <f>SUM(H598:H608)</f>
        <v>39761</v>
      </c>
      <c r="I609" s="100"/>
      <c r="J609" s="99">
        <f>SUM(J598:J608)</f>
        <v>0.4</v>
      </c>
      <c r="K609" s="100">
        <f>SUM(K598:K608)</f>
        <v>29708</v>
      </c>
    </row>
    <row r="610" spans="1:11">
      <c r="E610" s="35"/>
      <c r="F610" s="70" t="s">
        <v>6</v>
      </c>
      <c r="G610" s="20" t="s">
        <v>6</v>
      </c>
      <c r="H610" s="21" t="s">
        <v>6</v>
      </c>
      <c r="I610" s="70" t="s">
        <v>6</v>
      </c>
      <c r="J610" s="20" t="s">
        <v>6</v>
      </c>
      <c r="K610" s="21" t="s">
        <v>6</v>
      </c>
    </row>
    <row r="611" spans="1:11">
      <c r="C611" s="137" t="s">
        <v>49</v>
      </c>
      <c r="E611" s="35"/>
      <c r="F611" s="70"/>
      <c r="G611" s="20"/>
      <c r="H611" s="21"/>
      <c r="I611" s="70"/>
      <c r="J611" s="20"/>
      <c r="K611" s="21"/>
    </row>
    <row r="612" spans="1:11">
      <c r="A612" s="9"/>
      <c r="H612" s="40"/>
      <c r="K612" s="40"/>
    </row>
    <row r="613" spans="1:11">
      <c r="H613" s="40"/>
      <c r="K613" s="40"/>
    </row>
    <row r="614" spans="1:11">
      <c r="A614" s="16" t="str">
        <f>$A$83</f>
        <v>Institution No.:  GFC</v>
      </c>
      <c r="B614" s="36"/>
      <c r="C614" s="36"/>
      <c r="D614" s="36"/>
      <c r="E614" s="37"/>
      <c r="F614" s="36"/>
      <c r="G614" s="38"/>
      <c r="H614" s="39"/>
      <c r="I614" s="36"/>
      <c r="J614" s="38"/>
      <c r="K614" s="15" t="s">
        <v>196</v>
      </c>
    </row>
    <row r="615" spans="1:11">
      <c r="A615" s="229" t="s">
        <v>197</v>
      </c>
      <c r="B615" s="229"/>
      <c r="C615" s="229"/>
      <c r="D615" s="229"/>
      <c r="E615" s="229"/>
      <c r="F615" s="229"/>
      <c r="G615" s="229"/>
      <c r="H615" s="229"/>
      <c r="I615" s="229"/>
      <c r="J615" s="229"/>
      <c r="K615" s="229"/>
    </row>
    <row r="616" spans="1:11">
      <c r="A616" s="16" t="str">
        <f>$A$42</f>
        <v xml:space="preserve">NAME: </v>
      </c>
      <c r="B616" s="16"/>
      <c r="C616" s="137" t="str">
        <f>$D$20</f>
        <v>University of Colorado</v>
      </c>
      <c r="G616" s="80"/>
      <c r="H616" s="67"/>
      <c r="J616" s="14"/>
      <c r="K616" s="18" t="str">
        <f>$K$3</f>
        <v>Date: October 09, 2017</v>
      </c>
    </row>
    <row r="617" spans="1:11">
      <c r="A617" s="19" t="s">
        <v>6</v>
      </c>
      <c r="B617" s="19" t="s">
        <v>6</v>
      </c>
      <c r="C617" s="19" t="s">
        <v>6</v>
      </c>
      <c r="D617" s="19" t="s">
        <v>6</v>
      </c>
      <c r="E617" s="19" t="s">
        <v>6</v>
      </c>
      <c r="F617" s="19" t="s">
        <v>6</v>
      </c>
      <c r="G617" s="20" t="s">
        <v>6</v>
      </c>
      <c r="H617" s="21" t="s">
        <v>6</v>
      </c>
      <c r="I617" s="19" t="s">
        <v>6</v>
      </c>
      <c r="J617" s="20" t="s">
        <v>6</v>
      </c>
      <c r="K617" s="21" t="s">
        <v>6</v>
      </c>
    </row>
    <row r="618" spans="1:11">
      <c r="A618" s="22" t="s">
        <v>7</v>
      </c>
      <c r="E618" s="22" t="s">
        <v>7</v>
      </c>
      <c r="F618" s="23"/>
      <c r="G618" s="24"/>
      <c r="H618" s="25" t="str">
        <f>+H581</f>
        <v>2016-17</v>
      </c>
      <c r="I618" s="23"/>
      <c r="J618" s="24"/>
      <c r="K618" s="25" t="str">
        <f>+K581</f>
        <v>2017-18</v>
      </c>
    </row>
    <row r="619" spans="1:11">
      <c r="A619" s="22" t="s">
        <v>9</v>
      </c>
      <c r="C619" s="26" t="s">
        <v>51</v>
      </c>
      <c r="E619" s="22" t="s">
        <v>9</v>
      </c>
      <c r="F619" s="23"/>
      <c r="G619" s="24" t="s">
        <v>11</v>
      </c>
      <c r="H619" s="25" t="s">
        <v>12</v>
      </c>
      <c r="I619" s="23"/>
      <c r="J619" s="24" t="s">
        <v>11</v>
      </c>
      <c r="K619" s="25" t="s">
        <v>13</v>
      </c>
    </row>
    <row r="620" spans="1:11">
      <c r="A620" s="19" t="s">
        <v>6</v>
      </c>
      <c r="B620" s="19" t="s">
        <v>6</v>
      </c>
      <c r="C620" s="19" t="s">
        <v>6</v>
      </c>
      <c r="D620" s="19" t="s">
        <v>6</v>
      </c>
      <c r="E620" s="19" t="s">
        <v>6</v>
      </c>
      <c r="F620" s="19" t="s">
        <v>6</v>
      </c>
      <c r="G620" s="20" t="s">
        <v>6</v>
      </c>
      <c r="H620" s="21" t="s">
        <v>6</v>
      </c>
      <c r="I620" s="19" t="s">
        <v>6</v>
      </c>
      <c r="J620" s="86" t="s">
        <v>6</v>
      </c>
      <c r="K620" s="21" t="s">
        <v>6</v>
      </c>
    </row>
    <row r="621" spans="1:11">
      <c r="A621" s="117">
        <v>1</v>
      </c>
      <c r="B621" s="118"/>
      <c r="C621" s="118" t="s">
        <v>227</v>
      </c>
      <c r="D621" s="118"/>
      <c r="E621" s="117">
        <v>1</v>
      </c>
      <c r="F621" s="119"/>
      <c r="G621" s="120"/>
      <c r="H621" s="121"/>
      <c r="I621" s="122"/>
      <c r="J621" s="123"/>
      <c r="K621" s="124"/>
    </row>
    <row r="622" spans="1:11">
      <c r="A622" s="117">
        <v>2</v>
      </c>
      <c r="B622" s="118"/>
      <c r="C622" s="118" t="s">
        <v>227</v>
      </c>
      <c r="D622" s="118"/>
      <c r="E622" s="117">
        <v>2</v>
      </c>
      <c r="F622" s="119"/>
      <c r="G622" s="120"/>
      <c r="H622" s="121"/>
      <c r="I622" s="122"/>
      <c r="J622" s="123"/>
      <c r="K622" s="121"/>
    </row>
    <row r="623" spans="1:11">
      <c r="A623" s="117">
        <v>3</v>
      </c>
      <c r="B623" s="118"/>
      <c r="C623" s="118" t="s">
        <v>227</v>
      </c>
      <c r="D623" s="118"/>
      <c r="E623" s="117">
        <v>3</v>
      </c>
      <c r="F623" s="119"/>
      <c r="G623" s="120"/>
      <c r="H623" s="121"/>
      <c r="I623" s="122"/>
      <c r="J623" s="123"/>
      <c r="K623" s="121"/>
    </row>
    <row r="624" spans="1:11">
      <c r="A624" s="117">
        <v>4</v>
      </c>
      <c r="B624" s="118"/>
      <c r="C624" s="118" t="s">
        <v>227</v>
      </c>
      <c r="D624" s="118"/>
      <c r="E624" s="117">
        <v>4</v>
      </c>
      <c r="F624" s="119"/>
      <c r="G624" s="120"/>
      <c r="H624" s="121"/>
      <c r="I624" s="125"/>
      <c r="J624" s="123"/>
      <c r="K624" s="121"/>
    </row>
    <row r="625" spans="1:11">
      <c r="A625" s="117">
        <v>5</v>
      </c>
      <c r="B625" s="118"/>
      <c r="C625" s="118" t="s">
        <v>227</v>
      </c>
      <c r="D625" s="118"/>
      <c r="E625" s="117">
        <v>5</v>
      </c>
      <c r="F625" s="119"/>
      <c r="G625" s="123"/>
      <c r="H625" s="121"/>
      <c r="I625" s="125"/>
      <c r="J625" s="123"/>
      <c r="K625" s="121"/>
    </row>
    <row r="626" spans="1:11">
      <c r="A626" s="8">
        <v>6</v>
      </c>
      <c r="C626" s="9" t="s">
        <v>190</v>
      </c>
      <c r="E626" s="8">
        <v>6</v>
      </c>
      <c r="F626" s="10"/>
      <c r="G626" s="144">
        <v>97.24</v>
      </c>
      <c r="H626" s="145">
        <v>7962259</v>
      </c>
      <c r="I626" s="30"/>
      <c r="J626" s="144">
        <v>104.58</v>
      </c>
      <c r="K626" s="145">
        <v>8782372</v>
      </c>
    </row>
    <row r="627" spans="1:11">
      <c r="A627" s="8">
        <v>7</v>
      </c>
      <c r="C627" s="9" t="s">
        <v>191</v>
      </c>
      <c r="E627" s="8">
        <v>7</v>
      </c>
      <c r="F627" s="10"/>
      <c r="G627" s="104"/>
      <c r="H627" s="145">
        <v>2342728</v>
      </c>
      <c r="I627" s="85"/>
      <c r="J627" s="104"/>
      <c r="K627" s="145">
        <v>2444321</v>
      </c>
    </row>
    <row r="628" spans="1:11">
      <c r="A628" s="8">
        <v>8</v>
      </c>
      <c r="C628" s="9" t="s">
        <v>192</v>
      </c>
      <c r="E628" s="8">
        <v>8</v>
      </c>
      <c r="F628" s="10"/>
      <c r="G628" s="104">
        <f>SUM(G626:G627)</f>
        <v>97.24</v>
      </c>
      <c r="H628" s="103">
        <f>SUM(H626:H627)</f>
        <v>10304987</v>
      </c>
      <c r="I628" s="85"/>
      <c r="J628" s="104">
        <f>SUM(J626:J627)</f>
        <v>104.58</v>
      </c>
      <c r="K628" s="103">
        <f>SUM(K626:K627)</f>
        <v>11226693</v>
      </c>
    </row>
    <row r="629" spans="1:11">
      <c r="A629" s="8">
        <v>9</v>
      </c>
      <c r="C629" s="9"/>
      <c r="E629" s="8">
        <v>9</v>
      </c>
      <c r="F629" s="10"/>
      <c r="G629" s="104"/>
      <c r="H629" s="103"/>
      <c r="I629" s="29"/>
      <c r="J629" s="104"/>
      <c r="K629" s="103"/>
    </row>
    <row r="630" spans="1:11">
      <c r="A630" s="8">
        <v>10</v>
      </c>
      <c r="C630" s="9"/>
      <c r="E630" s="8">
        <v>10</v>
      </c>
      <c r="F630" s="10"/>
      <c r="G630" s="104"/>
      <c r="H630" s="103"/>
      <c r="I630" s="30"/>
      <c r="J630" s="104"/>
      <c r="K630" s="103"/>
    </row>
    <row r="631" spans="1:11">
      <c r="A631" s="8">
        <v>11</v>
      </c>
      <c r="C631" s="9" t="s">
        <v>174</v>
      </c>
      <c r="E631" s="8">
        <v>11</v>
      </c>
      <c r="G631" s="143">
        <v>16.420000000000002</v>
      </c>
      <c r="H631" s="143">
        <v>860540</v>
      </c>
      <c r="I631" s="29"/>
      <c r="J631" s="143">
        <v>16.57</v>
      </c>
      <c r="K631" s="146">
        <v>991825</v>
      </c>
    </row>
    <row r="632" spans="1:11">
      <c r="A632" s="8">
        <v>12</v>
      </c>
      <c r="C632" s="9" t="s">
        <v>175</v>
      </c>
      <c r="E632" s="8">
        <v>12</v>
      </c>
      <c r="G632" s="99"/>
      <c r="H632" s="146">
        <v>422398</v>
      </c>
      <c r="I632" s="30"/>
      <c r="J632" s="99"/>
      <c r="K632" s="146">
        <v>468012</v>
      </c>
    </row>
    <row r="633" spans="1:11">
      <c r="A633" s="8">
        <v>13</v>
      </c>
      <c r="C633" s="9" t="s">
        <v>193</v>
      </c>
      <c r="E633" s="8">
        <v>13</v>
      </c>
      <c r="F633" s="10"/>
      <c r="G633" s="104">
        <f>SUM(G631:G632)</f>
        <v>16.420000000000002</v>
      </c>
      <c r="H633" s="103">
        <f>SUM(H631:H632)</f>
        <v>1282938</v>
      </c>
      <c r="I633" s="85"/>
      <c r="J633" s="104">
        <f>SUM(J631:J632)</f>
        <v>16.57</v>
      </c>
      <c r="K633" s="103">
        <f>SUM(K631:K632)</f>
        <v>1459837</v>
      </c>
    </row>
    <row r="634" spans="1:11">
      <c r="A634" s="8">
        <v>14</v>
      </c>
      <c r="E634" s="8">
        <v>14</v>
      </c>
      <c r="F634" s="10"/>
      <c r="G634" s="104"/>
      <c r="H634" s="103"/>
      <c r="I634" s="85"/>
      <c r="J634" s="104"/>
      <c r="K634" s="103"/>
    </row>
    <row r="635" spans="1:11">
      <c r="A635" s="8">
        <v>15</v>
      </c>
      <c r="C635" s="9" t="s">
        <v>177</v>
      </c>
      <c r="E635" s="8">
        <v>15</v>
      </c>
      <c r="F635" s="10"/>
      <c r="G635" s="104">
        <f>G628+G633</f>
        <v>113.66</v>
      </c>
      <c r="H635" s="103">
        <f>H628+H633</f>
        <v>11587925</v>
      </c>
      <c r="I635" s="85"/>
      <c r="J635" s="104">
        <f>J628+J633</f>
        <v>121.15</v>
      </c>
      <c r="K635" s="103">
        <f>K628+K633</f>
        <v>12686530</v>
      </c>
    </row>
    <row r="636" spans="1:11">
      <c r="A636" s="8">
        <v>16</v>
      </c>
      <c r="E636" s="8">
        <v>16</v>
      </c>
      <c r="F636" s="10"/>
      <c r="G636" s="104"/>
      <c r="H636" s="103"/>
      <c r="I636" s="85"/>
      <c r="J636" s="104"/>
      <c r="K636" s="103"/>
    </row>
    <row r="637" spans="1:11" s="36" customFormat="1">
      <c r="A637" s="8">
        <v>17</v>
      </c>
      <c r="B637" s="137"/>
      <c r="C637" s="9" t="s">
        <v>178</v>
      </c>
      <c r="D637" s="137"/>
      <c r="E637" s="8">
        <v>17</v>
      </c>
      <c r="F637" s="10"/>
      <c r="G637" s="157"/>
      <c r="H637" s="145">
        <v>351022</v>
      </c>
      <c r="I637" s="85"/>
      <c r="J637" s="144"/>
      <c r="K637" s="145">
        <v>326733</v>
      </c>
    </row>
    <row r="638" spans="1:11" s="36" customFormat="1">
      <c r="A638" s="8">
        <v>18</v>
      </c>
      <c r="B638" s="137"/>
      <c r="C638" s="9"/>
      <c r="D638" s="137"/>
      <c r="E638" s="8">
        <v>18</v>
      </c>
      <c r="F638" s="10"/>
      <c r="G638" s="114"/>
      <c r="H638" s="103"/>
      <c r="I638" s="85"/>
      <c r="J638" s="104"/>
      <c r="K638" s="103"/>
    </row>
    <row r="639" spans="1:11">
      <c r="A639" s="8">
        <v>19</v>
      </c>
      <c r="C639" s="9" t="s">
        <v>179</v>
      </c>
      <c r="E639" s="8">
        <v>19</v>
      </c>
      <c r="F639" s="10"/>
      <c r="G639" s="114"/>
      <c r="H639" s="145">
        <v>101265</v>
      </c>
      <c r="I639" s="85"/>
      <c r="J639" s="104"/>
      <c r="K639" s="145">
        <v>48990</v>
      </c>
    </row>
    <row r="640" spans="1:11">
      <c r="A640" s="8">
        <v>20</v>
      </c>
      <c r="C640" s="9" t="s">
        <v>180</v>
      </c>
      <c r="E640" s="8">
        <v>20</v>
      </c>
      <c r="F640" s="10"/>
      <c r="G640" s="114"/>
      <c r="H640" s="145">
        <v>2541175</v>
      </c>
      <c r="I640" s="85"/>
      <c r="J640" s="104"/>
      <c r="K640" s="145">
        <v>3893296</v>
      </c>
    </row>
    <row r="641" spans="1:11">
      <c r="A641" s="8">
        <v>21</v>
      </c>
      <c r="C641" s="9"/>
      <c r="E641" s="8">
        <v>21</v>
      </c>
      <c r="F641" s="10"/>
      <c r="G641" s="114"/>
      <c r="H641" s="103"/>
      <c r="I641" s="85"/>
      <c r="J641" s="104"/>
      <c r="K641" s="103"/>
    </row>
    <row r="642" spans="1:11">
      <c r="A642" s="8">
        <v>22</v>
      </c>
      <c r="C642" s="9"/>
      <c r="E642" s="8">
        <v>22</v>
      </c>
      <c r="F642" s="10"/>
      <c r="G642" s="114"/>
      <c r="H642" s="103"/>
      <c r="I642" s="85"/>
      <c r="J642" s="104"/>
      <c r="K642" s="103"/>
    </row>
    <row r="643" spans="1:11">
      <c r="A643" s="8">
        <v>23</v>
      </c>
      <c r="C643" s="9" t="s">
        <v>194</v>
      </c>
      <c r="E643" s="8">
        <v>23</v>
      </c>
      <c r="F643" s="10"/>
      <c r="G643" s="114"/>
      <c r="H643" s="145">
        <v>510923</v>
      </c>
      <c r="I643" s="85"/>
      <c r="J643" s="104"/>
      <c r="K643" s="145">
        <v>0</v>
      </c>
    </row>
    <row r="644" spans="1:11">
      <c r="A644" s="8">
        <v>24</v>
      </c>
      <c r="C644" s="9"/>
      <c r="E644" s="8">
        <v>24</v>
      </c>
      <c r="F644" s="10"/>
      <c r="G644" s="114"/>
      <c r="H644" s="103"/>
      <c r="I644" s="85"/>
      <c r="J644" s="104"/>
      <c r="K644" s="103"/>
    </row>
    <row r="645" spans="1:11">
      <c r="E645" s="35"/>
      <c r="F645" s="70" t="s">
        <v>6</v>
      </c>
      <c r="G645" s="21" t="s">
        <v>6</v>
      </c>
      <c r="H645" s="21" t="s">
        <v>6</v>
      </c>
      <c r="I645" s="70" t="s">
        <v>6</v>
      </c>
      <c r="J645" s="21" t="s">
        <v>6</v>
      </c>
      <c r="K645" s="21" t="s">
        <v>6</v>
      </c>
    </row>
    <row r="646" spans="1:11">
      <c r="A646" s="8">
        <v>25</v>
      </c>
      <c r="C646" s="9" t="s">
        <v>198</v>
      </c>
      <c r="E646" s="8">
        <v>25</v>
      </c>
      <c r="G646" s="99">
        <f>SUM(G635:G645)</f>
        <v>113.66</v>
      </c>
      <c r="H646" s="100">
        <f>SUM(H635:H645)</f>
        <v>15092310</v>
      </c>
      <c r="I646" s="100"/>
      <c r="J646" s="99">
        <f>SUM(J635:J645)</f>
        <v>121.15</v>
      </c>
      <c r="K646" s="100">
        <f>SUM(K635:K645)</f>
        <v>16955549</v>
      </c>
    </row>
    <row r="647" spans="1:11">
      <c r="A647" s="8"/>
      <c r="C647" s="9"/>
      <c r="E647" s="8"/>
      <c r="F647" s="70" t="s">
        <v>6</v>
      </c>
      <c r="G647" s="20" t="s">
        <v>6</v>
      </c>
      <c r="H647" s="21" t="s">
        <v>6</v>
      </c>
      <c r="I647" s="70" t="s">
        <v>6</v>
      </c>
      <c r="J647" s="20" t="s">
        <v>6</v>
      </c>
      <c r="K647" s="21" t="s">
        <v>6</v>
      </c>
    </row>
    <row r="648" spans="1:11">
      <c r="A648" s="8"/>
      <c r="C648" s="137" t="s">
        <v>49</v>
      </c>
      <c r="E648" s="8"/>
      <c r="G648" s="99"/>
      <c r="H648" s="99"/>
      <c r="I648" s="100"/>
      <c r="J648" s="99"/>
      <c r="K648" s="99"/>
    </row>
    <row r="649" spans="1:11">
      <c r="E649" s="35"/>
      <c r="F649" s="70"/>
      <c r="G649" s="20"/>
      <c r="H649" s="21"/>
      <c r="I649" s="70"/>
      <c r="J649" s="20"/>
      <c r="K649" s="21"/>
    </row>
    <row r="650" spans="1:11">
      <c r="A650" s="9"/>
      <c r="H650" s="40"/>
      <c r="K650" s="40"/>
    </row>
    <row r="651" spans="1:11">
      <c r="A651" s="16" t="str">
        <f>$A$83</f>
        <v>Institution No.:  GFC</v>
      </c>
      <c r="B651" s="36"/>
      <c r="C651" s="36"/>
      <c r="D651" s="36"/>
      <c r="E651" s="37"/>
      <c r="F651" s="36"/>
      <c r="G651" s="38"/>
      <c r="H651" s="39"/>
      <c r="I651" s="36"/>
      <c r="J651" s="38"/>
      <c r="K651" s="15" t="s">
        <v>199</v>
      </c>
    </row>
    <row r="652" spans="1:11">
      <c r="A652" s="229" t="s">
        <v>200</v>
      </c>
      <c r="B652" s="229"/>
      <c r="C652" s="229"/>
      <c r="D652" s="229"/>
      <c r="E652" s="229"/>
      <c r="F652" s="229"/>
      <c r="G652" s="229"/>
      <c r="H652" s="229"/>
      <c r="I652" s="229"/>
      <c r="J652" s="229"/>
      <c r="K652" s="229"/>
    </row>
    <row r="653" spans="1:11">
      <c r="A653" s="16" t="str">
        <f>$A$42</f>
        <v xml:space="preserve">NAME: </v>
      </c>
      <c r="C653" s="137" t="str">
        <f>$D$20</f>
        <v>University of Colorado</v>
      </c>
      <c r="G653" s="80"/>
      <c r="H653" s="67"/>
      <c r="J653" s="14"/>
      <c r="K653" s="18" t="str">
        <f>$K$3</f>
        <v>Date: October 09, 2017</v>
      </c>
    </row>
    <row r="654" spans="1:11">
      <c r="A654" s="19" t="s">
        <v>6</v>
      </c>
      <c r="B654" s="19" t="s">
        <v>6</v>
      </c>
      <c r="C654" s="19" t="s">
        <v>6</v>
      </c>
      <c r="D654" s="19" t="s">
        <v>6</v>
      </c>
      <c r="E654" s="19" t="s">
        <v>6</v>
      </c>
      <c r="F654" s="19" t="s">
        <v>6</v>
      </c>
      <c r="G654" s="20" t="s">
        <v>6</v>
      </c>
      <c r="H654" s="21" t="s">
        <v>6</v>
      </c>
      <c r="I654" s="19" t="s">
        <v>6</v>
      </c>
      <c r="J654" s="20" t="s">
        <v>6</v>
      </c>
      <c r="K654" s="21" t="s">
        <v>6</v>
      </c>
    </row>
    <row r="655" spans="1:11">
      <c r="A655" s="22" t="s">
        <v>7</v>
      </c>
      <c r="E655" s="22" t="s">
        <v>7</v>
      </c>
      <c r="F655" s="23"/>
      <c r="G655" s="24"/>
      <c r="H655" s="25" t="str">
        <f>+H618</f>
        <v>2016-17</v>
      </c>
      <c r="I655" s="23"/>
      <c r="J655" s="24"/>
      <c r="K655" s="25" t="str">
        <f>+K618</f>
        <v>2017-18</v>
      </c>
    </row>
    <row r="656" spans="1:11">
      <c r="A656" s="22" t="s">
        <v>9</v>
      </c>
      <c r="C656" s="26" t="s">
        <v>51</v>
      </c>
      <c r="E656" s="22" t="s">
        <v>9</v>
      </c>
      <c r="F656" s="23"/>
      <c r="G656" s="24" t="s">
        <v>11</v>
      </c>
      <c r="H656" s="25" t="s">
        <v>12</v>
      </c>
      <c r="I656" s="23"/>
      <c r="J656" s="24" t="s">
        <v>11</v>
      </c>
      <c r="K656" s="25" t="s">
        <v>13</v>
      </c>
    </row>
    <row r="657" spans="1:11">
      <c r="A657" s="19" t="s">
        <v>6</v>
      </c>
      <c r="B657" s="19" t="s">
        <v>6</v>
      </c>
      <c r="C657" s="19" t="s">
        <v>6</v>
      </c>
      <c r="D657" s="19" t="s">
        <v>6</v>
      </c>
      <c r="E657" s="19" t="s">
        <v>6</v>
      </c>
      <c r="F657" s="19" t="s">
        <v>6</v>
      </c>
      <c r="G657" s="20" t="s">
        <v>6</v>
      </c>
      <c r="H657" s="21" t="s">
        <v>6</v>
      </c>
      <c r="I657" s="19" t="s">
        <v>6</v>
      </c>
      <c r="J657" s="20" t="s">
        <v>6</v>
      </c>
      <c r="K657" s="21" t="s">
        <v>6</v>
      </c>
    </row>
    <row r="658" spans="1:11">
      <c r="A658" s="117">
        <v>1</v>
      </c>
      <c r="B658" s="118"/>
      <c r="C658" s="118" t="s">
        <v>227</v>
      </c>
      <c r="D658" s="118"/>
      <c r="E658" s="117">
        <v>1</v>
      </c>
      <c r="F658" s="119"/>
      <c r="G658" s="120"/>
      <c r="H658" s="121"/>
      <c r="I658" s="122"/>
      <c r="J658" s="123"/>
      <c r="K658" s="124"/>
    </row>
    <row r="659" spans="1:11">
      <c r="A659" s="117">
        <v>2</v>
      </c>
      <c r="B659" s="118"/>
      <c r="C659" s="118" t="s">
        <v>227</v>
      </c>
      <c r="D659" s="118"/>
      <c r="E659" s="117">
        <v>2</v>
      </c>
      <c r="F659" s="119"/>
      <c r="G659" s="120"/>
      <c r="H659" s="121"/>
      <c r="I659" s="122"/>
      <c r="J659" s="123"/>
      <c r="K659" s="121"/>
    </row>
    <row r="660" spans="1:11">
      <c r="A660" s="117">
        <v>3</v>
      </c>
      <c r="B660" s="118"/>
      <c r="C660" s="118" t="s">
        <v>227</v>
      </c>
      <c r="D660" s="118"/>
      <c r="E660" s="117">
        <v>3</v>
      </c>
      <c r="F660" s="119"/>
      <c r="G660" s="120"/>
      <c r="H660" s="121"/>
      <c r="I660" s="122"/>
      <c r="J660" s="123"/>
      <c r="K660" s="121"/>
    </row>
    <row r="661" spans="1:11">
      <c r="A661" s="117">
        <v>4</v>
      </c>
      <c r="B661" s="118"/>
      <c r="C661" s="118" t="s">
        <v>227</v>
      </c>
      <c r="D661" s="118"/>
      <c r="E661" s="117">
        <v>4</v>
      </c>
      <c r="F661" s="119"/>
      <c r="G661" s="120"/>
      <c r="H661" s="121"/>
      <c r="I661" s="125"/>
      <c r="J661" s="123"/>
      <c r="K661" s="121"/>
    </row>
    <row r="662" spans="1:11">
      <c r="A662" s="117">
        <v>5</v>
      </c>
      <c r="B662" s="118"/>
      <c r="C662" s="118" t="s">
        <v>227</v>
      </c>
      <c r="D662" s="118"/>
      <c r="E662" s="117">
        <v>5</v>
      </c>
      <c r="F662" s="119"/>
      <c r="G662" s="120"/>
      <c r="H662" s="121"/>
      <c r="I662" s="125"/>
      <c r="J662" s="123"/>
      <c r="K662" s="121"/>
    </row>
    <row r="663" spans="1:11">
      <c r="A663" s="8">
        <v>6</v>
      </c>
      <c r="C663" s="9" t="s">
        <v>190</v>
      </c>
      <c r="E663" s="8">
        <v>6</v>
      </c>
      <c r="F663" s="10"/>
      <c r="G663" s="144">
        <v>81.239999999999995</v>
      </c>
      <c r="H663" s="145">
        <v>4638999</v>
      </c>
      <c r="I663" s="30"/>
      <c r="J663" s="144">
        <v>78.11</v>
      </c>
      <c r="K663" s="145">
        <v>5374807</v>
      </c>
    </row>
    <row r="664" spans="1:11">
      <c r="A664" s="8">
        <v>7</v>
      </c>
      <c r="C664" s="9" t="s">
        <v>191</v>
      </c>
      <c r="E664" s="8">
        <v>7</v>
      </c>
      <c r="F664" s="10"/>
      <c r="G664" s="114"/>
      <c r="H664" s="145">
        <v>1676449</v>
      </c>
      <c r="I664" s="85"/>
      <c r="J664" s="104"/>
      <c r="K664" s="145">
        <v>1827365</v>
      </c>
    </row>
    <row r="665" spans="1:11">
      <c r="A665" s="8">
        <v>8</v>
      </c>
      <c r="C665" s="9" t="s">
        <v>192</v>
      </c>
      <c r="E665" s="8">
        <v>8</v>
      </c>
      <c r="F665" s="10"/>
      <c r="G665" s="104">
        <f>SUM(G663:G664)</f>
        <v>81.239999999999995</v>
      </c>
      <c r="H665" s="103">
        <f>SUM(H663:H664)</f>
        <v>6315448</v>
      </c>
      <c r="I665" s="85"/>
      <c r="J665" s="104">
        <f>SUM(J663:J664)</f>
        <v>78.11</v>
      </c>
      <c r="K665" s="103">
        <f>SUM(K663:K664)</f>
        <v>7202172</v>
      </c>
    </row>
    <row r="666" spans="1:11">
      <c r="A666" s="8">
        <v>9</v>
      </c>
      <c r="C666" s="9"/>
      <c r="E666" s="8">
        <v>9</v>
      </c>
      <c r="F666" s="10"/>
      <c r="G666" s="114"/>
      <c r="H666" s="103"/>
      <c r="I666" s="29"/>
      <c r="J666" s="104"/>
      <c r="K666" s="103"/>
    </row>
    <row r="667" spans="1:11">
      <c r="A667" s="8">
        <v>10</v>
      </c>
      <c r="C667" s="9"/>
      <c r="E667" s="8">
        <v>10</v>
      </c>
      <c r="F667" s="10"/>
      <c r="G667" s="114"/>
      <c r="H667" s="103"/>
      <c r="I667" s="30"/>
      <c r="J667" s="104"/>
      <c r="K667" s="103"/>
    </row>
    <row r="668" spans="1:11">
      <c r="A668" s="8">
        <v>11</v>
      </c>
      <c r="C668" s="9" t="s">
        <v>174</v>
      </c>
      <c r="E668" s="8">
        <v>11</v>
      </c>
      <c r="G668" s="143">
        <v>26.97</v>
      </c>
      <c r="H668" s="146">
        <v>858009</v>
      </c>
      <c r="I668" s="29"/>
      <c r="J668" s="143">
        <v>16.670000000000002</v>
      </c>
      <c r="K668" s="146">
        <v>795753</v>
      </c>
    </row>
    <row r="669" spans="1:11">
      <c r="A669" s="8">
        <v>12</v>
      </c>
      <c r="C669" s="9" t="s">
        <v>175</v>
      </c>
      <c r="E669" s="8">
        <v>12</v>
      </c>
      <c r="G669" s="115"/>
      <c r="H669" s="146">
        <v>457088</v>
      </c>
      <c r="I669" s="30"/>
      <c r="J669" s="99"/>
      <c r="K669" s="146">
        <v>489893</v>
      </c>
    </row>
    <row r="670" spans="1:11">
      <c r="A670" s="8">
        <v>13</v>
      </c>
      <c r="C670" s="9" t="s">
        <v>193</v>
      </c>
      <c r="E670" s="8">
        <v>13</v>
      </c>
      <c r="F670" s="10"/>
      <c r="G670" s="104">
        <f>SUM(G668:G669)</f>
        <v>26.97</v>
      </c>
      <c r="H670" s="103">
        <f>SUM(H668:H669)</f>
        <v>1315097</v>
      </c>
      <c r="I670" s="85"/>
      <c r="J670" s="104">
        <f>SUM(J668:J669)</f>
        <v>16.670000000000002</v>
      </c>
      <c r="K670" s="103">
        <f>SUM(K668:K669)</f>
        <v>1285646</v>
      </c>
    </row>
    <row r="671" spans="1:11">
      <c r="A671" s="8">
        <v>14</v>
      </c>
      <c r="E671" s="8">
        <v>14</v>
      </c>
      <c r="F671" s="10"/>
      <c r="G671" s="104"/>
      <c r="H671" s="103"/>
      <c r="I671" s="85"/>
      <c r="J671" s="104"/>
      <c r="K671" s="103"/>
    </row>
    <row r="672" spans="1:11">
      <c r="A672" s="8">
        <v>15</v>
      </c>
      <c r="C672" s="9" t="s">
        <v>177</v>
      </c>
      <c r="E672" s="8">
        <v>15</v>
      </c>
      <c r="F672" s="10"/>
      <c r="G672" s="104">
        <f>G665+G670</f>
        <v>108.21</v>
      </c>
      <c r="H672" s="103">
        <f>H665+H670</f>
        <v>7630545</v>
      </c>
      <c r="I672" s="85"/>
      <c r="J672" s="104">
        <f>J665+J670</f>
        <v>94.78</v>
      </c>
      <c r="K672" s="103">
        <f>K665+K670</f>
        <v>8487818</v>
      </c>
    </row>
    <row r="673" spans="1:11">
      <c r="A673" s="8">
        <v>16</v>
      </c>
      <c r="E673" s="8">
        <v>16</v>
      </c>
      <c r="F673" s="10"/>
      <c r="G673" s="114"/>
      <c r="H673" s="103"/>
      <c r="I673" s="85"/>
      <c r="J673" s="104"/>
      <c r="K673" s="103"/>
    </row>
    <row r="674" spans="1:11" s="36" customFormat="1">
      <c r="A674" s="8">
        <v>17</v>
      </c>
      <c r="B674" s="137"/>
      <c r="C674" s="9" t="s">
        <v>178</v>
      </c>
      <c r="D674" s="137"/>
      <c r="E674" s="8">
        <v>17</v>
      </c>
      <c r="F674" s="10"/>
      <c r="G674" s="114"/>
      <c r="H674" s="145">
        <v>823279</v>
      </c>
      <c r="I674" s="85"/>
      <c r="J674" s="104"/>
      <c r="K674" s="145">
        <v>757380</v>
      </c>
    </row>
    <row r="675" spans="1:11" s="36" customFormat="1">
      <c r="A675" s="8">
        <v>18</v>
      </c>
      <c r="B675" s="137"/>
      <c r="C675" s="9"/>
      <c r="D675" s="137"/>
      <c r="E675" s="8">
        <v>18</v>
      </c>
      <c r="F675" s="10"/>
      <c r="G675" s="114"/>
      <c r="H675" s="103"/>
      <c r="I675" s="85"/>
      <c r="J675" s="104"/>
      <c r="K675" s="103"/>
    </row>
    <row r="676" spans="1:11">
      <c r="A676" s="8">
        <v>19</v>
      </c>
      <c r="C676" s="9" t="s">
        <v>179</v>
      </c>
      <c r="E676" s="8">
        <v>19</v>
      </c>
      <c r="F676" s="10"/>
      <c r="G676" s="114"/>
      <c r="H676" s="145">
        <v>218415</v>
      </c>
      <c r="I676" s="85"/>
      <c r="J676" s="104"/>
      <c r="K676" s="145">
        <v>75443</v>
      </c>
    </row>
    <row r="677" spans="1:11">
      <c r="A677" s="8">
        <v>20</v>
      </c>
      <c r="C677" s="9" t="s">
        <v>180</v>
      </c>
      <c r="E677" s="8">
        <v>20</v>
      </c>
      <c r="F677" s="10"/>
      <c r="G677" s="114"/>
      <c r="H677" s="145">
        <v>2265442</v>
      </c>
      <c r="I677" s="85"/>
      <c r="J677" s="104"/>
      <c r="K677" s="145">
        <v>2643458</v>
      </c>
    </row>
    <row r="678" spans="1:11">
      <c r="A678" s="8">
        <v>21</v>
      </c>
      <c r="C678" s="9"/>
      <c r="E678" s="8">
        <v>21</v>
      </c>
      <c r="F678" s="10"/>
      <c r="G678" s="114"/>
      <c r="H678" s="103"/>
      <c r="I678" s="85"/>
      <c r="J678" s="104"/>
      <c r="K678" s="103"/>
    </row>
    <row r="679" spans="1:11">
      <c r="A679" s="8">
        <v>22</v>
      </c>
      <c r="C679" s="9"/>
      <c r="E679" s="8">
        <v>22</v>
      </c>
      <c r="F679" s="10"/>
      <c r="G679" s="114"/>
      <c r="H679" s="103"/>
      <c r="I679" s="85"/>
      <c r="J679" s="104"/>
      <c r="K679" s="103"/>
    </row>
    <row r="680" spans="1:11">
      <c r="A680" s="8">
        <v>23</v>
      </c>
      <c r="C680" s="9" t="s">
        <v>194</v>
      </c>
      <c r="E680" s="8">
        <v>23</v>
      </c>
      <c r="F680" s="10"/>
      <c r="G680" s="114"/>
      <c r="H680" s="145"/>
      <c r="I680" s="85"/>
      <c r="J680" s="104"/>
      <c r="K680" s="145"/>
    </row>
    <row r="681" spans="1:11">
      <c r="A681" s="8">
        <v>24</v>
      </c>
      <c r="C681" s="9"/>
      <c r="E681" s="8">
        <v>24</v>
      </c>
      <c r="F681" s="10"/>
      <c r="G681" s="114"/>
      <c r="H681" s="103"/>
      <c r="I681" s="85"/>
      <c r="J681" s="104"/>
      <c r="K681" s="103"/>
    </row>
    <row r="682" spans="1:11">
      <c r="E682" s="35"/>
      <c r="F682" s="70" t="s">
        <v>6</v>
      </c>
      <c r="G682" s="21" t="s">
        <v>6</v>
      </c>
      <c r="H682" s="21" t="s">
        <v>6</v>
      </c>
      <c r="I682" s="70" t="s">
        <v>6</v>
      </c>
      <c r="J682" s="21" t="s">
        <v>6</v>
      </c>
      <c r="K682" s="21" t="s">
        <v>6</v>
      </c>
    </row>
    <row r="683" spans="1:11">
      <c r="A683" s="8">
        <v>25</v>
      </c>
      <c r="C683" s="9" t="s">
        <v>201</v>
      </c>
      <c r="E683" s="8">
        <v>25</v>
      </c>
      <c r="G683" s="99">
        <f>SUM(G672:G682)</f>
        <v>108.21</v>
      </c>
      <c r="H683" s="100">
        <f>SUM(H672:H682)</f>
        <v>10937681</v>
      </c>
      <c r="I683" s="100"/>
      <c r="J683" s="99">
        <f>SUM(J672:J682)</f>
        <v>94.78</v>
      </c>
      <c r="K683" s="100">
        <f>SUM(K672:K682)</f>
        <v>11964099</v>
      </c>
    </row>
    <row r="684" spans="1:11">
      <c r="E684" s="35"/>
      <c r="F684" s="70" t="s">
        <v>6</v>
      </c>
      <c r="G684" s="20" t="s">
        <v>6</v>
      </c>
      <c r="H684" s="21" t="s">
        <v>6</v>
      </c>
      <c r="I684" s="70" t="s">
        <v>6</v>
      </c>
      <c r="J684" s="20" t="s">
        <v>6</v>
      </c>
      <c r="K684" s="21" t="s">
        <v>6</v>
      </c>
    </row>
    <row r="685" spans="1:11">
      <c r="C685" s="137" t="s">
        <v>49</v>
      </c>
      <c r="E685" s="35"/>
      <c r="F685" s="70"/>
      <c r="G685" s="20"/>
      <c r="H685" s="21"/>
      <c r="I685" s="70"/>
      <c r="J685" s="20"/>
      <c r="K685" s="21"/>
    </row>
    <row r="687" spans="1:11">
      <c r="A687" s="9"/>
    </row>
    <row r="688" spans="1:11">
      <c r="A688" s="16" t="str">
        <f>$A$83</f>
        <v>Institution No.:  GFC</v>
      </c>
      <c r="B688" s="36"/>
      <c r="C688" s="36"/>
      <c r="D688" s="36"/>
      <c r="E688" s="37"/>
      <c r="F688" s="36"/>
      <c r="G688" s="38"/>
      <c r="H688" s="39"/>
      <c r="I688" s="36"/>
      <c r="J688" s="38"/>
      <c r="K688" s="15" t="s">
        <v>202</v>
      </c>
    </row>
    <row r="689" spans="1:11">
      <c r="A689" s="229" t="s">
        <v>203</v>
      </c>
      <c r="B689" s="229"/>
      <c r="C689" s="229"/>
      <c r="D689" s="229"/>
      <c r="E689" s="229"/>
      <c r="F689" s="229"/>
      <c r="G689" s="229"/>
      <c r="H689" s="229"/>
      <c r="I689" s="229"/>
      <c r="J689" s="229"/>
      <c r="K689" s="229"/>
    </row>
    <row r="690" spans="1:11">
      <c r="A690" s="16" t="str">
        <f>$A$42</f>
        <v xml:space="preserve">NAME: </v>
      </c>
      <c r="C690" s="137" t="str">
        <f>$D$20</f>
        <v>University of Colorado</v>
      </c>
      <c r="F690" s="72"/>
      <c r="G690" s="66"/>
      <c r="H690" s="40"/>
      <c r="J690" s="14"/>
      <c r="K690" s="18" t="str">
        <f>$K$3</f>
        <v>Date: October 09, 2017</v>
      </c>
    </row>
    <row r="691" spans="1:11">
      <c r="A691" s="19" t="s">
        <v>6</v>
      </c>
      <c r="B691" s="19" t="s">
        <v>6</v>
      </c>
      <c r="C691" s="19" t="s">
        <v>6</v>
      </c>
      <c r="D691" s="19" t="s">
        <v>6</v>
      </c>
      <c r="E691" s="19" t="s">
        <v>6</v>
      </c>
      <c r="F691" s="19" t="s">
        <v>6</v>
      </c>
      <c r="G691" s="20" t="s">
        <v>6</v>
      </c>
      <c r="H691" s="21" t="s">
        <v>6</v>
      </c>
      <c r="I691" s="19" t="s">
        <v>6</v>
      </c>
      <c r="J691" s="20" t="s">
        <v>6</v>
      </c>
      <c r="K691" s="21" t="s">
        <v>6</v>
      </c>
    </row>
    <row r="692" spans="1:11">
      <c r="A692" s="22" t="s">
        <v>7</v>
      </c>
      <c r="E692" s="22" t="s">
        <v>7</v>
      </c>
      <c r="F692" s="23"/>
      <c r="G692" s="24"/>
      <c r="H692" s="25" t="str">
        <f>H655</f>
        <v>2016-17</v>
      </c>
      <c r="I692" s="23"/>
      <c r="J692" s="24"/>
      <c r="K692" s="25" t="str">
        <f>K655</f>
        <v>2017-18</v>
      </c>
    </row>
    <row r="693" spans="1:11">
      <c r="A693" s="22" t="s">
        <v>9</v>
      </c>
      <c r="C693" s="26" t="s">
        <v>51</v>
      </c>
      <c r="E693" s="22" t="s">
        <v>9</v>
      </c>
      <c r="F693" s="23"/>
      <c r="G693" s="24" t="s">
        <v>11</v>
      </c>
      <c r="H693" s="25" t="s">
        <v>12</v>
      </c>
      <c r="I693" s="23"/>
      <c r="J693" s="24" t="s">
        <v>11</v>
      </c>
      <c r="K693" s="25" t="s">
        <v>13</v>
      </c>
    </row>
    <row r="694" spans="1:11">
      <c r="A694" s="19" t="s">
        <v>6</v>
      </c>
      <c r="B694" s="19" t="s">
        <v>6</v>
      </c>
      <c r="C694" s="19" t="s">
        <v>6</v>
      </c>
      <c r="D694" s="19" t="s">
        <v>6</v>
      </c>
      <c r="E694" s="19" t="s">
        <v>6</v>
      </c>
      <c r="F694" s="19" t="s">
        <v>6</v>
      </c>
      <c r="G694" s="20" t="s">
        <v>6</v>
      </c>
      <c r="H694" s="21" t="s">
        <v>6</v>
      </c>
      <c r="I694" s="19" t="s">
        <v>6</v>
      </c>
      <c r="J694" s="20" t="s">
        <v>6</v>
      </c>
      <c r="K694" s="21" t="s">
        <v>6</v>
      </c>
    </row>
    <row r="695" spans="1:11">
      <c r="A695" s="117">
        <v>1</v>
      </c>
      <c r="B695" s="118"/>
      <c r="C695" s="118" t="s">
        <v>227</v>
      </c>
      <c r="D695" s="118"/>
      <c r="E695" s="117">
        <v>1</v>
      </c>
      <c r="F695" s="119"/>
      <c r="G695" s="120"/>
      <c r="H695" s="121"/>
      <c r="I695" s="122"/>
      <c r="J695" s="123"/>
      <c r="K695" s="124"/>
    </row>
    <row r="696" spans="1:11">
      <c r="A696" s="117">
        <v>2</v>
      </c>
      <c r="B696" s="118"/>
      <c r="C696" s="118" t="s">
        <v>227</v>
      </c>
      <c r="D696" s="118"/>
      <c r="E696" s="117">
        <v>2</v>
      </c>
      <c r="F696" s="119"/>
      <c r="G696" s="120"/>
      <c r="H696" s="121"/>
      <c r="I696" s="122"/>
      <c r="J696" s="123"/>
      <c r="K696" s="121"/>
    </row>
    <row r="697" spans="1:11">
      <c r="A697" s="117">
        <v>3</v>
      </c>
      <c r="B697" s="118"/>
      <c r="C697" s="118" t="s">
        <v>227</v>
      </c>
      <c r="D697" s="118"/>
      <c r="E697" s="117">
        <v>3</v>
      </c>
      <c r="F697" s="119"/>
      <c r="G697" s="120"/>
      <c r="H697" s="121"/>
      <c r="I697" s="122"/>
      <c r="J697" s="123"/>
      <c r="K697" s="121"/>
    </row>
    <row r="698" spans="1:11">
      <c r="A698" s="117">
        <v>4</v>
      </c>
      <c r="B698" s="118"/>
      <c r="C698" s="118" t="s">
        <v>227</v>
      </c>
      <c r="D698" s="118"/>
      <c r="E698" s="117">
        <v>4</v>
      </c>
      <c r="F698" s="119"/>
      <c r="G698" s="120"/>
      <c r="H698" s="121"/>
      <c r="I698" s="125"/>
      <c r="J698" s="123"/>
      <c r="K698" s="121"/>
    </row>
    <row r="699" spans="1:11">
      <c r="A699" s="117">
        <v>5</v>
      </c>
      <c r="B699" s="118"/>
      <c r="C699" s="118" t="s">
        <v>227</v>
      </c>
      <c r="D699" s="118"/>
      <c r="E699" s="117">
        <v>5</v>
      </c>
      <c r="F699" s="119"/>
      <c r="G699" s="123"/>
      <c r="H699" s="121"/>
      <c r="I699" s="125"/>
      <c r="J699" s="123"/>
      <c r="K699" s="121"/>
    </row>
    <row r="700" spans="1:11">
      <c r="A700" s="8">
        <v>6</v>
      </c>
      <c r="C700" s="9" t="s">
        <v>190</v>
      </c>
      <c r="E700" s="8">
        <v>6</v>
      </c>
      <c r="F700" s="10"/>
      <c r="G700" s="144">
        <v>87.33</v>
      </c>
      <c r="H700" s="145">
        <v>10479268</v>
      </c>
      <c r="I700" s="30"/>
      <c r="J700" s="144">
        <v>92.56</v>
      </c>
      <c r="K700" s="145">
        <v>11696883</v>
      </c>
    </row>
    <row r="701" spans="1:11">
      <c r="A701" s="8">
        <v>7</v>
      </c>
      <c r="C701" s="9" t="s">
        <v>191</v>
      </c>
      <c r="E701" s="8">
        <v>7</v>
      </c>
      <c r="F701" s="10"/>
      <c r="G701" s="104"/>
      <c r="H701" s="145">
        <v>4177907</v>
      </c>
      <c r="I701" s="85"/>
      <c r="J701" s="104"/>
      <c r="K701" s="145">
        <v>3571638</v>
      </c>
    </row>
    <row r="702" spans="1:11">
      <c r="A702" s="8">
        <v>8</v>
      </c>
      <c r="C702" s="9" t="s">
        <v>192</v>
      </c>
      <c r="E702" s="8">
        <v>8</v>
      </c>
      <c r="F702" s="10"/>
      <c r="G702" s="104">
        <f>SUM(G700:G701)</f>
        <v>87.33</v>
      </c>
      <c r="H702" s="103">
        <f>SUM(H700:H701)</f>
        <v>14657175</v>
      </c>
      <c r="I702" s="85"/>
      <c r="J702" s="104">
        <f>SUM(J700:J701)</f>
        <v>92.56</v>
      </c>
      <c r="K702" s="103">
        <f>SUM(K700:K701)</f>
        <v>15268521</v>
      </c>
    </row>
    <row r="703" spans="1:11">
      <c r="A703" s="8">
        <v>9</v>
      </c>
      <c r="C703" s="9"/>
      <c r="E703" s="8">
        <v>9</v>
      </c>
      <c r="F703" s="10"/>
      <c r="G703" s="114"/>
      <c r="H703" s="103"/>
      <c r="I703" s="29"/>
      <c r="J703" s="104"/>
      <c r="K703" s="103"/>
    </row>
    <row r="704" spans="1:11">
      <c r="A704" s="8">
        <v>10</v>
      </c>
      <c r="C704" s="9"/>
      <c r="E704" s="8">
        <v>10</v>
      </c>
      <c r="F704" s="10"/>
      <c r="G704" s="114"/>
      <c r="H704" s="103"/>
      <c r="I704" s="30"/>
      <c r="J704" s="104"/>
      <c r="K704" s="103"/>
    </row>
    <row r="705" spans="1:11">
      <c r="A705" s="8">
        <v>11</v>
      </c>
      <c r="C705" s="9" t="s">
        <v>174</v>
      </c>
      <c r="E705" s="8">
        <v>11</v>
      </c>
      <c r="G705" s="143">
        <v>16.75</v>
      </c>
      <c r="H705" s="146">
        <v>835047</v>
      </c>
      <c r="I705" s="29"/>
      <c r="J705" s="143">
        <v>16.5</v>
      </c>
      <c r="K705" s="146">
        <v>1192076</v>
      </c>
    </row>
    <row r="706" spans="1:11">
      <c r="A706" s="8">
        <v>12</v>
      </c>
      <c r="C706" s="9" t="s">
        <v>175</v>
      </c>
      <c r="E706" s="8">
        <v>12</v>
      </c>
      <c r="G706" s="115"/>
      <c r="H706" s="146">
        <v>506689</v>
      </c>
      <c r="I706" s="30"/>
      <c r="J706" s="99"/>
      <c r="K706" s="146">
        <v>526998</v>
      </c>
    </row>
    <row r="707" spans="1:11">
      <c r="A707" s="8">
        <v>13</v>
      </c>
      <c r="C707" s="9" t="s">
        <v>193</v>
      </c>
      <c r="E707" s="8">
        <v>13</v>
      </c>
      <c r="F707" s="10"/>
      <c r="G707" s="104">
        <f>SUM(G705:G706)</f>
        <v>16.75</v>
      </c>
      <c r="H707" s="103">
        <f>SUM(H705:H706)</f>
        <v>1341736</v>
      </c>
      <c r="I707" s="85"/>
      <c r="J707" s="104">
        <f>SUM(J705:J706)</f>
        <v>16.5</v>
      </c>
      <c r="K707" s="103">
        <f>SUM(K705:K706)</f>
        <v>1719074</v>
      </c>
    </row>
    <row r="708" spans="1:11">
      <c r="A708" s="8">
        <v>14</v>
      </c>
      <c r="E708" s="8">
        <v>14</v>
      </c>
      <c r="F708" s="10"/>
      <c r="G708" s="104"/>
      <c r="H708" s="103"/>
      <c r="I708" s="85"/>
      <c r="J708" s="104"/>
      <c r="K708" s="103"/>
    </row>
    <row r="709" spans="1:11">
      <c r="A709" s="8">
        <v>15</v>
      </c>
      <c r="C709" s="9" t="s">
        <v>177</v>
      </c>
      <c r="E709" s="8">
        <v>15</v>
      </c>
      <c r="F709" s="10"/>
      <c r="G709" s="104">
        <f>G702+G707</f>
        <v>104.08</v>
      </c>
      <c r="H709" s="103">
        <f>H702+H707</f>
        <v>15998911</v>
      </c>
      <c r="I709" s="85"/>
      <c r="J709" s="104">
        <f>J702+J707</f>
        <v>109.06</v>
      </c>
      <c r="K709" s="103">
        <f>K702+K707</f>
        <v>16987595</v>
      </c>
    </row>
    <row r="710" spans="1:11">
      <c r="A710" s="8">
        <v>16</v>
      </c>
      <c r="E710" s="8">
        <v>16</v>
      </c>
      <c r="F710" s="10"/>
      <c r="G710" s="114"/>
      <c r="H710" s="103"/>
      <c r="I710" s="85"/>
      <c r="J710" s="104"/>
      <c r="K710" s="103"/>
    </row>
    <row r="711" spans="1:11" s="36" customFormat="1">
      <c r="A711" s="8">
        <v>17</v>
      </c>
      <c r="B711" s="137"/>
      <c r="C711" s="9" t="s">
        <v>178</v>
      </c>
      <c r="D711" s="137"/>
      <c r="E711" s="8">
        <v>17</v>
      </c>
      <c r="F711" s="10"/>
      <c r="G711" s="114"/>
      <c r="H711" s="145">
        <v>373243</v>
      </c>
      <c r="I711" s="85"/>
      <c r="J711" s="104"/>
      <c r="K711" s="145">
        <v>396184</v>
      </c>
    </row>
    <row r="712" spans="1:11" s="36" customFormat="1">
      <c r="A712" s="8">
        <v>18</v>
      </c>
      <c r="B712" s="137"/>
      <c r="C712" s="9"/>
      <c r="D712" s="137"/>
      <c r="E712" s="8">
        <v>18</v>
      </c>
      <c r="F712" s="10"/>
      <c r="G712" s="114"/>
      <c r="H712" s="103"/>
      <c r="I712" s="85"/>
      <c r="J712" s="104"/>
      <c r="K712" s="103"/>
    </row>
    <row r="713" spans="1:11">
      <c r="A713" s="8">
        <v>19</v>
      </c>
      <c r="C713" s="9" t="s">
        <v>179</v>
      </c>
      <c r="E713" s="8">
        <v>19</v>
      </c>
      <c r="F713" s="10"/>
      <c r="G713" s="114"/>
      <c r="H713" s="145">
        <v>252525</v>
      </c>
      <c r="I713" s="85"/>
      <c r="J713" s="104"/>
      <c r="K713" s="145">
        <v>157020</v>
      </c>
    </row>
    <row r="714" spans="1:11">
      <c r="A714" s="8">
        <v>20</v>
      </c>
      <c r="C714" s="9" t="s">
        <v>180</v>
      </c>
      <c r="E714" s="8">
        <v>20</v>
      </c>
      <c r="F714" s="10"/>
      <c r="G714" s="114"/>
      <c r="H714" s="145">
        <v>3600031</v>
      </c>
      <c r="I714" s="85"/>
      <c r="J714" s="104"/>
      <c r="K714" s="145">
        <v>10999899</v>
      </c>
    </row>
    <row r="715" spans="1:11">
      <c r="A715" s="8">
        <v>21</v>
      </c>
      <c r="C715" s="9"/>
      <c r="E715" s="8">
        <v>21</v>
      </c>
      <c r="F715" s="10"/>
      <c r="G715" s="114"/>
      <c r="H715" s="103"/>
      <c r="I715" s="85"/>
      <c r="J715" s="104"/>
      <c r="K715" s="103"/>
    </row>
    <row r="716" spans="1:11">
      <c r="A716" s="8">
        <v>22</v>
      </c>
      <c r="C716" s="9"/>
      <c r="E716" s="8">
        <v>22</v>
      </c>
      <c r="F716" s="10"/>
      <c r="G716" s="114"/>
      <c r="H716" s="103"/>
      <c r="I716" s="85"/>
      <c r="J716" s="104"/>
      <c r="K716" s="103"/>
    </row>
    <row r="717" spans="1:11">
      <c r="A717" s="8">
        <v>23</v>
      </c>
      <c r="C717" s="9" t="s">
        <v>194</v>
      </c>
      <c r="E717" s="8">
        <v>23</v>
      </c>
      <c r="F717" s="10"/>
      <c r="G717" s="114"/>
      <c r="H717" s="145">
        <v>0</v>
      </c>
      <c r="I717" s="85"/>
      <c r="J717" s="104"/>
      <c r="K717" s="145"/>
    </row>
    <row r="718" spans="1:11">
      <c r="A718" s="8">
        <v>24</v>
      </c>
      <c r="C718" s="9"/>
      <c r="E718" s="8">
        <v>24</v>
      </c>
      <c r="F718" s="10"/>
      <c r="G718" s="114"/>
      <c r="H718" s="103"/>
      <c r="I718" s="85"/>
      <c r="J718" s="104"/>
      <c r="K718" s="103"/>
    </row>
    <row r="719" spans="1:11">
      <c r="E719" s="35"/>
      <c r="F719" s="70" t="s">
        <v>6</v>
      </c>
      <c r="G719" s="21" t="s">
        <v>6</v>
      </c>
      <c r="H719" s="21" t="s">
        <v>6</v>
      </c>
      <c r="I719" s="70" t="s">
        <v>6</v>
      </c>
      <c r="J719" s="21" t="s">
        <v>6</v>
      </c>
      <c r="K719" s="21" t="s">
        <v>6</v>
      </c>
    </row>
    <row r="720" spans="1:11">
      <c r="A720" s="8">
        <v>25</v>
      </c>
      <c r="C720" s="9" t="s">
        <v>204</v>
      </c>
      <c r="E720" s="8">
        <v>25</v>
      </c>
      <c r="G720" s="99">
        <f>SUM(G709:G719)</f>
        <v>104.08</v>
      </c>
      <c r="H720" s="100">
        <f>SUM(H709:H719)-1</f>
        <v>20224709</v>
      </c>
      <c r="I720" s="100"/>
      <c r="J720" s="99">
        <f>SUM(J709:J719)</f>
        <v>109.06</v>
      </c>
      <c r="K720" s="100">
        <f>SUM(K709:K719)</f>
        <v>28540698</v>
      </c>
    </row>
    <row r="721" spans="1:11">
      <c r="E721" s="35"/>
      <c r="F721" s="70" t="s">
        <v>6</v>
      </c>
      <c r="G721" s="20" t="s">
        <v>6</v>
      </c>
      <c r="H721" s="21" t="s">
        <v>6</v>
      </c>
      <c r="I721" s="70" t="s">
        <v>6</v>
      </c>
      <c r="J721" s="20" t="s">
        <v>6</v>
      </c>
      <c r="K721" s="21" t="s">
        <v>6</v>
      </c>
    </row>
    <row r="722" spans="1:11">
      <c r="C722" s="137" t="s">
        <v>49</v>
      </c>
    </row>
    <row r="725" spans="1:11">
      <c r="A725" s="16" t="str">
        <f>$A$83</f>
        <v>Institution No.:  GFC</v>
      </c>
      <c r="B725" s="36"/>
      <c r="C725" s="36"/>
      <c r="D725" s="36"/>
      <c r="E725" s="37"/>
      <c r="F725" s="36"/>
      <c r="G725" s="38"/>
      <c r="H725" s="39"/>
      <c r="I725" s="36"/>
      <c r="J725" s="38"/>
      <c r="K725" s="15" t="s">
        <v>205</v>
      </c>
    </row>
    <row r="726" spans="1:11">
      <c r="A726" s="229" t="s">
        <v>206</v>
      </c>
      <c r="B726" s="229"/>
      <c r="C726" s="229"/>
      <c r="D726" s="229"/>
      <c r="E726" s="229"/>
      <c r="F726" s="229"/>
      <c r="G726" s="229"/>
      <c r="H726" s="229"/>
      <c r="I726" s="229"/>
      <c r="J726" s="229"/>
      <c r="K726" s="229"/>
    </row>
    <row r="727" spans="1:11">
      <c r="A727" s="16" t="str">
        <f>$A$42</f>
        <v xml:space="preserve">NAME: </v>
      </c>
      <c r="C727" s="137" t="str">
        <f>$D$20</f>
        <v>University of Colorado</v>
      </c>
      <c r="F727" s="72"/>
      <c r="G727" s="66"/>
      <c r="H727" s="67"/>
      <c r="J727" s="14"/>
      <c r="K727" s="18" t="str">
        <f>$K$3</f>
        <v>Date: October 09, 2017</v>
      </c>
    </row>
    <row r="728" spans="1:11">
      <c r="A728" s="19" t="s">
        <v>6</v>
      </c>
      <c r="B728" s="19" t="s">
        <v>6</v>
      </c>
      <c r="C728" s="19" t="s">
        <v>6</v>
      </c>
      <c r="D728" s="19" t="s">
        <v>6</v>
      </c>
      <c r="E728" s="19" t="s">
        <v>6</v>
      </c>
      <c r="F728" s="19" t="s">
        <v>6</v>
      </c>
      <c r="G728" s="20" t="s">
        <v>6</v>
      </c>
      <c r="H728" s="21" t="s">
        <v>6</v>
      </c>
      <c r="I728" s="19" t="s">
        <v>6</v>
      </c>
      <c r="J728" s="20" t="s">
        <v>6</v>
      </c>
      <c r="K728" s="21" t="s">
        <v>6</v>
      </c>
    </row>
    <row r="729" spans="1:11">
      <c r="A729" s="22" t="s">
        <v>7</v>
      </c>
      <c r="E729" s="22" t="s">
        <v>7</v>
      </c>
      <c r="F729" s="23"/>
      <c r="G729" s="24"/>
      <c r="H729" s="25" t="str">
        <f>H692</f>
        <v>2016-17</v>
      </c>
      <c r="I729" s="23"/>
      <c r="J729" s="24"/>
      <c r="K729" s="25" t="str">
        <f>K692</f>
        <v>2017-18</v>
      </c>
    </row>
    <row r="730" spans="1:11">
      <c r="A730" s="22" t="s">
        <v>9</v>
      </c>
      <c r="C730" s="26" t="s">
        <v>51</v>
      </c>
      <c r="E730" s="22" t="s">
        <v>9</v>
      </c>
      <c r="F730" s="23"/>
      <c r="G730" s="24" t="s">
        <v>11</v>
      </c>
      <c r="H730" s="25" t="s">
        <v>12</v>
      </c>
      <c r="I730" s="23"/>
      <c r="J730" s="24" t="s">
        <v>11</v>
      </c>
      <c r="K730" s="25" t="s">
        <v>13</v>
      </c>
    </row>
    <row r="731" spans="1:11">
      <c r="A731" s="19" t="s">
        <v>6</v>
      </c>
      <c r="B731" s="19" t="s">
        <v>6</v>
      </c>
      <c r="C731" s="19" t="s">
        <v>6</v>
      </c>
      <c r="D731" s="19" t="s">
        <v>6</v>
      </c>
      <c r="E731" s="19" t="s">
        <v>6</v>
      </c>
      <c r="F731" s="19" t="s">
        <v>6</v>
      </c>
      <c r="G731" s="20"/>
      <c r="H731" s="21"/>
      <c r="I731" s="19"/>
      <c r="J731" s="20"/>
      <c r="K731" s="21"/>
    </row>
    <row r="732" spans="1:11">
      <c r="A732" s="117">
        <v>1</v>
      </c>
      <c r="B732" s="118"/>
      <c r="C732" s="118" t="s">
        <v>227</v>
      </c>
      <c r="D732" s="118"/>
      <c r="E732" s="117">
        <v>1</v>
      </c>
      <c r="F732" s="119"/>
      <c r="G732" s="120"/>
      <c r="H732" s="121"/>
      <c r="I732" s="122"/>
      <c r="J732" s="123"/>
      <c r="K732" s="124"/>
    </row>
    <row r="733" spans="1:11">
      <c r="A733" s="117">
        <v>2</v>
      </c>
      <c r="B733" s="118"/>
      <c r="C733" s="118" t="s">
        <v>227</v>
      </c>
      <c r="D733" s="118"/>
      <c r="E733" s="117">
        <v>2</v>
      </c>
      <c r="F733" s="119"/>
      <c r="G733" s="120"/>
      <c r="H733" s="121"/>
      <c r="I733" s="122"/>
      <c r="J733" s="123"/>
      <c r="K733" s="121"/>
    </row>
    <row r="734" spans="1:11">
      <c r="A734" s="117">
        <v>3</v>
      </c>
      <c r="B734" s="118"/>
      <c r="C734" s="118" t="s">
        <v>227</v>
      </c>
      <c r="D734" s="118"/>
      <c r="E734" s="117">
        <v>3</v>
      </c>
      <c r="F734" s="119"/>
      <c r="G734" s="120"/>
      <c r="H734" s="121"/>
      <c r="I734" s="122"/>
      <c r="J734" s="123"/>
      <c r="K734" s="121"/>
    </row>
    <row r="735" spans="1:11">
      <c r="A735" s="117">
        <v>4</v>
      </c>
      <c r="B735" s="118"/>
      <c r="C735" s="118" t="s">
        <v>227</v>
      </c>
      <c r="D735" s="118"/>
      <c r="E735" s="117">
        <v>4</v>
      </c>
      <c r="F735" s="119"/>
      <c r="G735" s="120"/>
      <c r="H735" s="121"/>
      <c r="I735" s="125"/>
      <c r="J735" s="123"/>
      <c r="K735" s="121"/>
    </row>
    <row r="736" spans="1:11">
      <c r="A736" s="117">
        <v>5</v>
      </c>
      <c r="B736" s="118"/>
      <c r="C736" s="118" t="s">
        <v>227</v>
      </c>
      <c r="D736" s="118"/>
      <c r="E736" s="117">
        <v>5</v>
      </c>
      <c r="F736" s="119"/>
      <c r="G736" s="120"/>
      <c r="H736" s="121"/>
      <c r="I736" s="125"/>
      <c r="J736" s="123"/>
      <c r="K736" s="121"/>
    </row>
    <row r="737" spans="1:11">
      <c r="A737" s="8">
        <v>6</v>
      </c>
      <c r="C737" s="9" t="s">
        <v>190</v>
      </c>
      <c r="E737" s="8">
        <v>6</v>
      </c>
      <c r="F737" s="10"/>
      <c r="G737" s="144">
        <v>18.7</v>
      </c>
      <c r="H737" s="145">
        <v>1361739</v>
      </c>
      <c r="I737" s="30"/>
      <c r="J737" s="144">
        <v>20.2</v>
      </c>
      <c r="K737" s="145">
        <v>1509291</v>
      </c>
    </row>
    <row r="738" spans="1:11">
      <c r="A738" s="8">
        <v>7</v>
      </c>
      <c r="C738" s="9" t="s">
        <v>191</v>
      </c>
      <c r="E738" s="8">
        <v>7</v>
      </c>
      <c r="F738" s="10"/>
      <c r="G738" s="114"/>
      <c r="H738" s="145">
        <v>440000</v>
      </c>
      <c r="I738" s="85"/>
      <c r="J738" s="104"/>
      <c r="K738" s="145">
        <v>368973</v>
      </c>
    </row>
    <row r="739" spans="1:11">
      <c r="A739" s="8">
        <v>8</v>
      </c>
      <c r="C739" s="9" t="s">
        <v>192</v>
      </c>
      <c r="E739" s="8">
        <v>8</v>
      </c>
      <c r="F739" s="10"/>
      <c r="G739" s="104">
        <f>SUM(G737:G738)</f>
        <v>18.7</v>
      </c>
      <c r="H739" s="103">
        <f>SUM(H737:H738)</f>
        <v>1801739</v>
      </c>
      <c r="I739" s="85"/>
      <c r="J739" s="104">
        <f>SUM(J737:J738)</f>
        <v>20.2</v>
      </c>
      <c r="K739" s="103">
        <f>SUM(K737:K738)</f>
        <v>1878264</v>
      </c>
    </row>
    <row r="740" spans="1:11">
      <c r="A740" s="8">
        <v>9</v>
      </c>
      <c r="C740" s="9"/>
      <c r="E740" s="8">
        <v>9</v>
      </c>
      <c r="F740" s="10"/>
      <c r="G740" s="114"/>
      <c r="H740" s="103"/>
      <c r="I740" s="29"/>
      <c r="J740" s="104"/>
      <c r="K740" s="103"/>
    </row>
    <row r="741" spans="1:11">
      <c r="A741" s="8">
        <v>10</v>
      </c>
      <c r="C741" s="9"/>
      <c r="E741" s="8">
        <v>10</v>
      </c>
      <c r="F741" s="10"/>
      <c r="G741" s="114"/>
      <c r="H741" s="103"/>
      <c r="I741" s="30"/>
      <c r="J741" s="104"/>
      <c r="K741" s="103"/>
    </row>
    <row r="742" spans="1:11">
      <c r="A742" s="8">
        <v>11</v>
      </c>
      <c r="C742" s="9" t="s">
        <v>174</v>
      </c>
      <c r="E742" s="8">
        <v>11</v>
      </c>
      <c r="G742" s="143">
        <v>70.09</v>
      </c>
      <c r="H742" s="146">
        <v>2613341</v>
      </c>
      <c r="I742" s="29"/>
      <c r="J742" s="143">
        <v>74.09</v>
      </c>
      <c r="K742" s="146">
        <v>3156196</v>
      </c>
    </row>
    <row r="743" spans="1:11">
      <c r="A743" s="8">
        <v>12</v>
      </c>
      <c r="C743" s="9" t="s">
        <v>175</v>
      </c>
      <c r="E743" s="8">
        <v>12</v>
      </c>
      <c r="G743" s="115"/>
      <c r="H743" s="146">
        <v>1181792</v>
      </c>
      <c r="I743" s="30"/>
      <c r="J743" s="99"/>
      <c r="K743" s="146">
        <v>1614879</v>
      </c>
    </row>
    <row r="744" spans="1:11">
      <c r="A744" s="8">
        <v>13</v>
      </c>
      <c r="C744" s="9" t="s">
        <v>193</v>
      </c>
      <c r="E744" s="8">
        <v>13</v>
      </c>
      <c r="F744" s="10"/>
      <c r="G744" s="104">
        <f>SUM(G742:G743)</f>
        <v>70.09</v>
      </c>
      <c r="H744" s="103">
        <f>SUM(H742:H743)</f>
        <v>3795133</v>
      </c>
      <c r="I744" s="85"/>
      <c r="J744" s="104">
        <f>SUM(J742:J743)</f>
        <v>74.09</v>
      </c>
      <c r="K744" s="103">
        <f>SUM(K742:K743)</f>
        <v>4771075</v>
      </c>
    </row>
    <row r="745" spans="1:11">
      <c r="A745" s="8">
        <v>14</v>
      </c>
      <c r="E745" s="8">
        <v>14</v>
      </c>
      <c r="F745" s="10"/>
      <c r="G745" s="114"/>
      <c r="H745" s="103"/>
      <c r="I745" s="85"/>
      <c r="J745" s="104"/>
      <c r="K745" s="103"/>
    </row>
    <row r="746" spans="1:11" ht="24.75" customHeight="1">
      <c r="A746" s="8">
        <v>15</v>
      </c>
      <c r="C746" s="9" t="s">
        <v>177</v>
      </c>
      <c r="E746" s="8">
        <v>15</v>
      </c>
      <c r="F746" s="10"/>
      <c r="G746" s="104">
        <f>G739+G744</f>
        <v>88.79</v>
      </c>
      <c r="H746" s="103">
        <f>H739+H744</f>
        <v>5596872</v>
      </c>
      <c r="I746" s="85"/>
      <c r="J746" s="104">
        <f>J739+J744</f>
        <v>94.29</v>
      </c>
      <c r="K746" s="103">
        <f>K739+K744</f>
        <v>6649339</v>
      </c>
    </row>
    <row r="747" spans="1:11" s="82" customFormat="1">
      <c r="A747" s="8">
        <v>16</v>
      </c>
      <c r="B747" s="137"/>
      <c r="C747" s="137"/>
      <c r="D747" s="137"/>
      <c r="E747" s="8">
        <v>16</v>
      </c>
      <c r="F747" s="10"/>
      <c r="G747" s="114"/>
      <c r="H747" s="103"/>
      <c r="I747" s="85"/>
      <c r="J747" s="104"/>
      <c r="K747" s="103"/>
    </row>
    <row r="748" spans="1:11">
      <c r="A748" s="8">
        <v>17</v>
      </c>
      <c r="C748" s="9" t="s">
        <v>178</v>
      </c>
      <c r="E748" s="8">
        <v>17</v>
      </c>
      <c r="F748" s="10"/>
      <c r="G748" s="114"/>
      <c r="H748" s="145">
        <v>210866</v>
      </c>
      <c r="I748" s="85"/>
      <c r="J748" s="104"/>
      <c r="K748" s="145">
        <v>238357</v>
      </c>
    </row>
    <row r="749" spans="1:11">
      <c r="A749" s="8">
        <v>18</v>
      </c>
      <c r="C749" s="9"/>
      <c r="E749" s="8">
        <v>18</v>
      </c>
      <c r="F749" s="10"/>
      <c r="G749" s="114"/>
      <c r="H749" s="103"/>
      <c r="I749" s="85"/>
      <c r="J749" s="104"/>
      <c r="K749" s="103"/>
    </row>
    <row r="750" spans="1:11" s="36" customFormat="1">
      <c r="A750" s="8">
        <v>19</v>
      </c>
      <c r="B750" s="137"/>
      <c r="C750" s="9" t="s">
        <v>179</v>
      </c>
      <c r="D750" s="137"/>
      <c r="E750" s="8">
        <v>19</v>
      </c>
      <c r="F750" s="10"/>
      <c r="G750" s="114"/>
      <c r="H750" s="145">
        <v>20771</v>
      </c>
      <c r="I750" s="85"/>
      <c r="J750" s="104"/>
      <c r="K750" s="145">
        <v>7995</v>
      </c>
    </row>
    <row r="751" spans="1:11" s="36" customFormat="1">
      <c r="A751" s="8">
        <v>20</v>
      </c>
      <c r="B751" s="137"/>
      <c r="C751" s="9" t="s">
        <v>180</v>
      </c>
      <c r="D751" s="137"/>
      <c r="E751" s="8">
        <v>20</v>
      </c>
      <c r="F751" s="10"/>
      <c r="G751" s="114"/>
      <c r="H751" s="145">
        <v>2859462</v>
      </c>
      <c r="I751" s="85"/>
      <c r="J751" s="104"/>
      <c r="K751" s="145">
        <v>2531564</v>
      </c>
    </row>
    <row r="752" spans="1:11">
      <c r="A752" s="8">
        <v>21</v>
      </c>
      <c r="C752" s="9" t="s">
        <v>225</v>
      </c>
      <c r="E752" s="8">
        <v>21</v>
      </c>
      <c r="F752" s="10"/>
      <c r="G752" s="114"/>
      <c r="H752" s="145">
        <v>1844519</v>
      </c>
      <c r="I752" s="85"/>
      <c r="J752" s="104"/>
      <c r="K752" s="145">
        <v>2951643</v>
      </c>
    </row>
    <row r="753" spans="1:11">
      <c r="A753" s="8">
        <v>22</v>
      </c>
      <c r="C753" s="9"/>
      <c r="E753" s="8">
        <v>22</v>
      </c>
      <c r="F753" s="10"/>
      <c r="G753" s="114"/>
      <c r="H753" s="103"/>
      <c r="I753" s="85"/>
      <c r="J753" s="104"/>
      <c r="K753" s="103"/>
    </row>
    <row r="754" spans="1:11">
      <c r="A754" s="8">
        <v>23</v>
      </c>
      <c r="C754" s="9" t="s">
        <v>194</v>
      </c>
      <c r="E754" s="8">
        <v>23</v>
      </c>
      <c r="F754" s="10"/>
      <c r="G754" s="114"/>
      <c r="H754" s="145">
        <v>0</v>
      </c>
      <c r="I754" s="85"/>
      <c r="J754" s="104"/>
      <c r="K754" s="145"/>
    </row>
    <row r="755" spans="1:11">
      <c r="A755" s="8">
        <v>24</v>
      </c>
      <c r="C755" s="9"/>
      <c r="E755" s="8">
        <v>24</v>
      </c>
      <c r="F755" s="10"/>
      <c r="G755" s="114"/>
      <c r="H755" s="103"/>
      <c r="I755" s="85"/>
      <c r="J755" s="104"/>
      <c r="K755" s="103"/>
    </row>
    <row r="756" spans="1:11">
      <c r="E756" s="35"/>
      <c r="F756" s="70" t="s">
        <v>6</v>
      </c>
      <c r="G756" s="21" t="s">
        <v>6</v>
      </c>
      <c r="H756" s="21" t="s">
        <v>6</v>
      </c>
      <c r="I756" s="70" t="s">
        <v>6</v>
      </c>
      <c r="J756" s="21" t="s">
        <v>6</v>
      </c>
      <c r="K756" s="21" t="s">
        <v>6</v>
      </c>
    </row>
    <row r="757" spans="1:11">
      <c r="A757" s="8">
        <v>25</v>
      </c>
      <c r="C757" s="9" t="s">
        <v>207</v>
      </c>
      <c r="E757" s="8">
        <v>25</v>
      </c>
      <c r="G757" s="99">
        <f>SUM(G746:G756)</f>
        <v>88.79</v>
      </c>
      <c r="H757" s="100">
        <f>SUM(H746:H756)-2</f>
        <v>10532488</v>
      </c>
      <c r="I757" s="100"/>
      <c r="J757" s="99">
        <f>SUM(J746:J756)</f>
        <v>94.29</v>
      </c>
      <c r="K757" s="100">
        <f>SUM(K746:K756)</f>
        <v>12378898</v>
      </c>
    </row>
    <row r="758" spans="1:11">
      <c r="E758" s="35"/>
      <c r="F758" s="70" t="s">
        <v>6</v>
      </c>
      <c r="G758" s="20" t="s">
        <v>6</v>
      </c>
      <c r="H758" s="21" t="s">
        <v>6</v>
      </c>
      <c r="I758" s="70" t="s">
        <v>6</v>
      </c>
      <c r="J758" s="20" t="s">
        <v>6</v>
      </c>
      <c r="K758" s="21" t="s">
        <v>6</v>
      </c>
    </row>
    <row r="759" spans="1:11">
      <c r="C759" s="137" t="s">
        <v>49</v>
      </c>
      <c r="E759" s="35"/>
      <c r="F759" s="70"/>
      <c r="G759" s="20"/>
      <c r="H759" s="21"/>
      <c r="I759" s="70"/>
      <c r="J759" s="20"/>
      <c r="K759" s="21"/>
    </row>
    <row r="761" spans="1:11">
      <c r="A761" s="9"/>
    </row>
    <row r="762" spans="1:11">
      <c r="A762" s="16" t="str">
        <f>$A$83</f>
        <v>Institution No.:  GFC</v>
      </c>
      <c r="B762" s="36"/>
      <c r="C762" s="36"/>
      <c r="D762" s="36"/>
      <c r="E762" s="37"/>
      <c r="F762" s="36"/>
      <c r="G762" s="38"/>
      <c r="H762" s="39"/>
      <c r="I762" s="36"/>
      <c r="J762" s="38"/>
      <c r="K762" s="15" t="s">
        <v>208</v>
      </c>
    </row>
    <row r="763" spans="1:11">
      <c r="A763" s="229" t="s">
        <v>209</v>
      </c>
      <c r="B763" s="229"/>
      <c r="C763" s="229"/>
      <c r="D763" s="229"/>
      <c r="E763" s="229"/>
      <c r="F763" s="229"/>
      <c r="G763" s="229"/>
      <c r="H763" s="229"/>
      <c r="I763" s="229"/>
      <c r="J763" s="229"/>
      <c r="K763" s="229"/>
    </row>
    <row r="764" spans="1:11">
      <c r="A764" s="16" t="str">
        <f>$A$42</f>
        <v xml:space="preserve">NAME: </v>
      </c>
      <c r="C764" s="137" t="str">
        <f>$D$20</f>
        <v>University of Colorado</v>
      </c>
      <c r="F764" s="72"/>
      <c r="G764" s="66"/>
      <c r="H764" s="67"/>
      <c r="J764" s="14"/>
      <c r="K764" s="18" t="str">
        <f>$K$3</f>
        <v>Date: October 09, 2017</v>
      </c>
    </row>
    <row r="765" spans="1:11">
      <c r="A765" s="19" t="s">
        <v>6</v>
      </c>
      <c r="B765" s="19" t="s">
        <v>6</v>
      </c>
      <c r="C765" s="19" t="s">
        <v>6</v>
      </c>
      <c r="D765" s="19" t="s">
        <v>6</v>
      </c>
      <c r="E765" s="19" t="s">
        <v>6</v>
      </c>
      <c r="F765" s="19" t="s">
        <v>6</v>
      </c>
      <c r="G765" s="20" t="s">
        <v>6</v>
      </c>
      <c r="H765" s="21" t="s">
        <v>6</v>
      </c>
      <c r="I765" s="19" t="s">
        <v>6</v>
      </c>
      <c r="J765" s="20" t="s">
        <v>6</v>
      </c>
      <c r="K765" s="21" t="s">
        <v>6</v>
      </c>
    </row>
    <row r="766" spans="1:11">
      <c r="A766" s="22" t="s">
        <v>7</v>
      </c>
      <c r="E766" s="22" t="s">
        <v>7</v>
      </c>
      <c r="F766" s="23"/>
      <c r="G766" s="24"/>
      <c r="H766" s="25" t="str">
        <f>+H729</f>
        <v>2016-17</v>
      </c>
      <c r="I766" s="23"/>
      <c r="J766" s="24"/>
      <c r="K766" s="25" t="str">
        <f>+K729</f>
        <v>2017-18</v>
      </c>
    </row>
    <row r="767" spans="1:11">
      <c r="A767" s="22" t="s">
        <v>9</v>
      </c>
      <c r="C767" s="26" t="s">
        <v>51</v>
      </c>
      <c r="E767" s="22" t="s">
        <v>9</v>
      </c>
      <c r="G767" s="14"/>
      <c r="H767" s="25" t="s">
        <v>12</v>
      </c>
      <c r="J767" s="14"/>
      <c r="K767" s="25" t="s">
        <v>13</v>
      </c>
    </row>
    <row r="768" spans="1:11">
      <c r="A768" s="19" t="s">
        <v>6</v>
      </c>
      <c r="B768" s="19" t="s">
        <v>6</v>
      </c>
      <c r="C768" s="19" t="s">
        <v>6</v>
      </c>
      <c r="D768" s="19" t="s">
        <v>6</v>
      </c>
      <c r="E768" s="19" t="s">
        <v>6</v>
      </c>
      <c r="F768" s="19" t="s">
        <v>6</v>
      </c>
      <c r="G768" s="20" t="s">
        <v>6</v>
      </c>
      <c r="H768" s="21" t="s">
        <v>6</v>
      </c>
      <c r="I768" s="19" t="s">
        <v>6</v>
      </c>
      <c r="J768" s="20" t="s">
        <v>6</v>
      </c>
      <c r="K768" s="21" t="s">
        <v>6</v>
      </c>
    </row>
    <row r="769" spans="1:16">
      <c r="A769" s="8">
        <v>1</v>
      </c>
      <c r="C769" s="9" t="s">
        <v>210</v>
      </c>
      <c r="E769" s="8">
        <v>1</v>
      </c>
      <c r="F769" s="10"/>
      <c r="G769" s="110"/>
      <c r="H769" s="156">
        <v>8199161</v>
      </c>
      <c r="I769" s="110"/>
      <c r="J769" s="110"/>
      <c r="K769" s="156">
        <v>9093381</v>
      </c>
    </row>
    <row r="770" spans="1:16">
      <c r="A770" s="8">
        <f t="shared" ref="A770:A787" si="3">(A769+1)</f>
        <v>2</v>
      </c>
      <c r="C770" s="10"/>
      <c r="E770" s="8">
        <f t="shared" ref="E770:E787" si="4">(E769+1)</f>
        <v>2</v>
      </c>
      <c r="F770" s="10"/>
      <c r="G770" s="11"/>
      <c r="H770" s="12"/>
      <c r="I770" s="10"/>
      <c r="J770" s="11"/>
      <c r="K770" s="12"/>
    </row>
    <row r="771" spans="1:16">
      <c r="A771" s="8">
        <f t="shared" si="3"/>
        <v>3</v>
      </c>
      <c r="C771" s="10"/>
      <c r="E771" s="8">
        <f t="shared" si="4"/>
        <v>3</v>
      </c>
      <c r="F771" s="10"/>
      <c r="G771" s="11"/>
      <c r="H771" s="12"/>
      <c r="I771" s="10"/>
      <c r="J771" s="11"/>
      <c r="K771" s="12"/>
      <c r="P771" s="137" t="s">
        <v>38</v>
      </c>
    </row>
    <row r="772" spans="1:16">
      <c r="A772" s="8">
        <f t="shared" si="3"/>
        <v>4</v>
      </c>
      <c r="C772" s="10"/>
      <c r="E772" s="8">
        <f t="shared" si="4"/>
        <v>4</v>
      </c>
      <c r="F772" s="10"/>
      <c r="G772" s="11"/>
      <c r="H772" s="12"/>
      <c r="I772" s="10"/>
      <c r="J772" s="11"/>
      <c r="K772" s="12"/>
    </row>
    <row r="773" spans="1:16">
      <c r="A773" s="8">
        <f t="shared" si="3"/>
        <v>5</v>
      </c>
      <c r="C773" s="10"/>
      <c r="E773" s="8">
        <f t="shared" si="4"/>
        <v>5</v>
      </c>
      <c r="F773" s="10"/>
      <c r="G773" s="11"/>
      <c r="H773" s="12"/>
      <c r="I773" s="10"/>
      <c r="J773" s="11"/>
      <c r="K773" s="12"/>
    </row>
    <row r="774" spans="1:16">
      <c r="A774" s="8">
        <f t="shared" si="3"/>
        <v>6</v>
      </c>
      <c r="C774" s="10"/>
      <c r="E774" s="8">
        <f t="shared" si="4"/>
        <v>6</v>
      </c>
      <c r="F774" s="10"/>
      <c r="G774" s="11"/>
      <c r="H774" s="12"/>
      <c r="I774" s="10"/>
      <c r="J774" s="11"/>
      <c r="K774" s="12"/>
    </row>
    <row r="775" spans="1:16">
      <c r="A775" s="8">
        <f t="shared" si="3"/>
        <v>7</v>
      </c>
      <c r="C775" s="10"/>
      <c r="E775" s="8">
        <f t="shared" si="4"/>
        <v>7</v>
      </c>
      <c r="F775" s="10"/>
      <c r="G775" s="11"/>
      <c r="H775" s="12"/>
      <c r="I775" s="10"/>
      <c r="J775" s="11"/>
      <c r="K775" s="12"/>
    </row>
    <row r="776" spans="1:16">
      <c r="A776" s="8">
        <f t="shared" si="3"/>
        <v>8</v>
      </c>
      <c r="C776" s="10"/>
      <c r="E776" s="8">
        <f t="shared" si="4"/>
        <v>8</v>
      </c>
      <c r="F776" s="10"/>
      <c r="G776" s="11"/>
      <c r="H776" s="12"/>
      <c r="I776" s="10"/>
      <c r="J776" s="11"/>
      <c r="K776" s="12"/>
    </row>
    <row r="777" spans="1:16">
      <c r="A777" s="8">
        <f t="shared" si="3"/>
        <v>9</v>
      </c>
      <c r="C777" s="10"/>
      <c r="E777" s="8">
        <f t="shared" si="4"/>
        <v>9</v>
      </c>
      <c r="F777" s="10"/>
      <c r="G777" s="11"/>
      <c r="H777" s="12"/>
      <c r="I777" s="10"/>
      <c r="J777" s="11"/>
      <c r="K777" s="12"/>
    </row>
    <row r="778" spans="1:16">
      <c r="A778" s="8">
        <f t="shared" si="3"/>
        <v>10</v>
      </c>
      <c r="C778" s="10"/>
      <c r="E778" s="8">
        <f t="shared" si="4"/>
        <v>10</v>
      </c>
      <c r="F778" s="10"/>
      <c r="G778" s="11"/>
      <c r="H778" s="12"/>
      <c r="I778" s="10"/>
      <c r="J778" s="11"/>
      <c r="K778" s="12"/>
    </row>
    <row r="779" spans="1:16">
      <c r="A779" s="8">
        <f t="shared" si="3"/>
        <v>11</v>
      </c>
      <c r="C779" s="10"/>
      <c r="E779" s="8">
        <f t="shared" si="4"/>
        <v>11</v>
      </c>
      <c r="G779" s="11"/>
      <c r="H779" s="12"/>
      <c r="I779" s="10"/>
      <c r="J779" s="11"/>
      <c r="K779" s="12"/>
    </row>
    <row r="780" spans="1:16">
      <c r="A780" s="8">
        <f t="shared" si="3"/>
        <v>12</v>
      </c>
      <c r="C780" s="10"/>
      <c r="E780" s="8">
        <f t="shared" si="4"/>
        <v>12</v>
      </c>
      <c r="G780" s="11"/>
      <c r="H780" s="12"/>
      <c r="I780" s="10"/>
      <c r="J780" s="11"/>
      <c r="K780" s="12"/>
    </row>
    <row r="781" spans="1:16">
      <c r="A781" s="8">
        <f t="shared" si="3"/>
        <v>13</v>
      </c>
      <c r="C781" s="10"/>
      <c r="E781" s="8">
        <f t="shared" si="4"/>
        <v>13</v>
      </c>
      <c r="F781" s="10"/>
      <c r="G781" s="11"/>
      <c r="H781" s="12"/>
      <c r="I781" s="10"/>
      <c r="J781" s="11"/>
      <c r="K781" s="12"/>
    </row>
    <row r="782" spans="1:16">
      <c r="A782" s="8">
        <f t="shared" si="3"/>
        <v>14</v>
      </c>
      <c r="C782" s="10"/>
      <c r="E782" s="8">
        <f t="shared" si="4"/>
        <v>14</v>
      </c>
      <c r="F782" s="10"/>
      <c r="G782" s="11"/>
      <c r="H782" s="12"/>
      <c r="I782" s="10"/>
      <c r="J782" s="11"/>
      <c r="K782" s="12"/>
    </row>
    <row r="783" spans="1:16">
      <c r="A783" s="8">
        <f t="shared" si="3"/>
        <v>15</v>
      </c>
      <c r="C783" s="10"/>
      <c r="E783" s="8">
        <f t="shared" si="4"/>
        <v>15</v>
      </c>
      <c r="F783" s="10"/>
      <c r="G783" s="11"/>
      <c r="H783" s="12"/>
      <c r="I783" s="10"/>
      <c r="J783" s="11"/>
      <c r="K783" s="12"/>
    </row>
    <row r="784" spans="1:16">
      <c r="A784" s="8">
        <f t="shared" si="3"/>
        <v>16</v>
      </c>
      <c r="C784" s="10"/>
      <c r="E784" s="8">
        <f t="shared" si="4"/>
        <v>16</v>
      </c>
      <c r="F784" s="10"/>
      <c r="G784" s="11"/>
      <c r="H784" s="12"/>
      <c r="I784" s="10"/>
      <c r="J784" s="11"/>
      <c r="K784" s="12"/>
    </row>
    <row r="785" spans="1:11">
      <c r="A785" s="8">
        <f t="shared" si="3"/>
        <v>17</v>
      </c>
      <c r="C785" s="10"/>
      <c r="E785" s="8">
        <f t="shared" si="4"/>
        <v>17</v>
      </c>
      <c r="F785" s="10"/>
      <c r="G785" s="11"/>
      <c r="H785" s="12"/>
      <c r="I785" s="10"/>
      <c r="J785" s="11"/>
      <c r="K785" s="12"/>
    </row>
    <row r="786" spans="1:11">
      <c r="A786" s="8">
        <f t="shared" si="3"/>
        <v>18</v>
      </c>
      <c r="C786" s="10"/>
      <c r="E786" s="8">
        <f t="shared" si="4"/>
        <v>18</v>
      </c>
      <c r="F786" s="10"/>
      <c r="G786" s="11"/>
      <c r="H786" s="12"/>
      <c r="I786" s="10"/>
      <c r="J786" s="11"/>
      <c r="K786" s="12"/>
    </row>
    <row r="787" spans="1:11">
      <c r="A787" s="8">
        <f t="shared" si="3"/>
        <v>19</v>
      </c>
      <c r="C787" s="10"/>
      <c r="E787" s="8">
        <f t="shared" si="4"/>
        <v>19</v>
      </c>
      <c r="F787" s="10"/>
      <c r="G787" s="11"/>
      <c r="H787" s="12"/>
      <c r="I787" s="10"/>
      <c r="J787" s="11"/>
      <c r="K787" s="12"/>
    </row>
    <row r="788" spans="1:11">
      <c r="A788" s="8">
        <v>20</v>
      </c>
      <c r="E788" s="8">
        <v>20</v>
      </c>
      <c r="F788" s="70"/>
      <c r="G788" s="20"/>
      <c r="H788" s="21"/>
      <c r="I788" s="70"/>
      <c r="J788" s="20"/>
      <c r="K788" s="21"/>
    </row>
    <row r="789" spans="1:11">
      <c r="A789" s="8">
        <v>21</v>
      </c>
      <c r="E789" s="8">
        <v>21</v>
      </c>
      <c r="F789" s="70"/>
      <c r="G789" s="20"/>
      <c r="H789" s="40"/>
      <c r="I789" s="70"/>
      <c r="J789" s="20"/>
      <c r="K789" s="40"/>
    </row>
    <row r="790" spans="1:11">
      <c r="A790" s="8">
        <v>22</v>
      </c>
      <c r="E790" s="8">
        <v>22</v>
      </c>
      <c r="G790" s="14"/>
      <c r="H790" s="40"/>
      <c r="J790" s="14"/>
      <c r="K790" s="40"/>
    </row>
    <row r="791" spans="1:11">
      <c r="A791" s="8">
        <v>23</v>
      </c>
      <c r="D791" s="87"/>
      <c r="E791" s="8">
        <v>23</v>
      </c>
      <c r="H791" s="40"/>
      <c r="K791" s="40"/>
    </row>
    <row r="792" spans="1:11">
      <c r="A792" s="8">
        <v>24</v>
      </c>
      <c r="D792" s="87"/>
      <c r="E792" s="8">
        <v>24</v>
      </c>
      <c r="H792" s="40"/>
      <c r="K792" s="40"/>
    </row>
    <row r="793" spans="1:11">
      <c r="F793" s="70" t="s">
        <v>6</v>
      </c>
      <c r="G793" s="20" t="s">
        <v>6</v>
      </c>
      <c r="H793" s="21"/>
      <c r="I793" s="70"/>
      <c r="J793" s="20"/>
      <c r="K793" s="21"/>
    </row>
    <row r="794" spans="1:11">
      <c r="A794" s="8">
        <v>25</v>
      </c>
      <c r="C794" s="9" t="s">
        <v>211</v>
      </c>
      <c r="E794" s="8">
        <v>25</v>
      </c>
      <c r="G794" s="107"/>
      <c r="H794" s="108">
        <f>SUM(H769:H792)</f>
        <v>8199161</v>
      </c>
      <c r="I794" s="108"/>
      <c r="J794" s="107"/>
      <c r="K794" s="108">
        <f>SUM(K769:K792)</f>
        <v>9093381</v>
      </c>
    </row>
    <row r="795" spans="1:11">
      <c r="D795" s="87"/>
      <c r="F795" s="70" t="s">
        <v>6</v>
      </c>
      <c r="G795" s="20" t="s">
        <v>6</v>
      </c>
      <c r="H795" s="21"/>
      <c r="I795" s="70"/>
      <c r="J795" s="20"/>
      <c r="K795" s="21"/>
    </row>
    <row r="796" spans="1:11">
      <c r="F796" s="70"/>
      <c r="G796" s="20"/>
      <c r="H796" s="21"/>
      <c r="I796" s="70"/>
      <c r="J796" s="20"/>
      <c r="K796" s="21"/>
    </row>
    <row r="797" spans="1:11">
      <c r="C797" s="221" t="s">
        <v>236</v>
      </c>
      <c r="D797" s="221"/>
      <c r="E797" s="221"/>
      <c r="F797" s="221"/>
      <c r="G797" s="221"/>
      <c r="H797" s="221"/>
      <c r="I797" s="221"/>
      <c r="J797" s="221"/>
      <c r="K797" s="56"/>
    </row>
    <row r="798" spans="1:11">
      <c r="G798" s="14"/>
      <c r="H798" s="40"/>
      <c r="J798" s="14"/>
      <c r="K798" s="40"/>
    </row>
    <row r="799" spans="1:11">
      <c r="A799" s="9"/>
    </row>
    <row r="800" spans="1:11">
      <c r="A800" s="16" t="str">
        <f>$A$83</f>
        <v>Institution No.:  GFC</v>
      </c>
      <c r="B800" s="36"/>
      <c r="C800" s="36"/>
      <c r="D800" s="36"/>
      <c r="E800" s="37"/>
      <c r="F800" s="36"/>
      <c r="G800" s="38"/>
      <c r="H800" s="39"/>
      <c r="I800" s="36"/>
      <c r="J800" s="38"/>
      <c r="K800" s="15" t="s">
        <v>212</v>
      </c>
    </row>
    <row r="801" spans="1:11">
      <c r="A801" s="229" t="s">
        <v>213</v>
      </c>
      <c r="B801" s="229"/>
      <c r="C801" s="229"/>
      <c r="D801" s="229"/>
      <c r="E801" s="229"/>
      <c r="F801" s="229"/>
      <c r="G801" s="229"/>
      <c r="H801" s="229"/>
      <c r="I801" s="229"/>
      <c r="J801" s="229"/>
      <c r="K801" s="229"/>
    </row>
    <row r="802" spans="1:11">
      <c r="A802" s="16" t="str">
        <f>$A$42</f>
        <v xml:space="preserve">NAME: </v>
      </c>
      <c r="C802" s="137" t="str">
        <f>$D$20</f>
        <v>University of Colorado</v>
      </c>
      <c r="G802" s="80"/>
      <c r="H802" s="40"/>
      <c r="J802" s="14"/>
      <c r="K802" s="18" t="str">
        <f>$K$3</f>
        <v>Date: October 09, 2017</v>
      </c>
    </row>
    <row r="803" spans="1:11">
      <c r="A803" s="19" t="s">
        <v>6</v>
      </c>
      <c r="B803" s="19" t="s">
        <v>6</v>
      </c>
      <c r="C803" s="19" t="s">
        <v>6</v>
      </c>
      <c r="D803" s="19" t="s">
        <v>6</v>
      </c>
      <c r="E803" s="19" t="s">
        <v>6</v>
      </c>
      <c r="F803" s="19" t="s">
        <v>6</v>
      </c>
      <c r="G803" s="20" t="s">
        <v>6</v>
      </c>
      <c r="H803" s="21" t="s">
        <v>6</v>
      </c>
      <c r="I803" s="19" t="s">
        <v>6</v>
      </c>
      <c r="J803" s="20" t="s">
        <v>6</v>
      </c>
      <c r="K803" s="21" t="s">
        <v>6</v>
      </c>
    </row>
    <row r="804" spans="1:11">
      <c r="A804" s="22" t="s">
        <v>7</v>
      </c>
      <c r="E804" s="22" t="s">
        <v>7</v>
      </c>
      <c r="F804" s="23"/>
      <c r="G804" s="24"/>
      <c r="H804" s="25" t="str">
        <f>H766</f>
        <v>2016-17</v>
      </c>
      <c r="I804" s="23"/>
      <c r="J804" s="24"/>
      <c r="K804" s="25" t="str">
        <f>K766</f>
        <v>2017-18</v>
      </c>
    </row>
    <row r="805" spans="1:11">
      <c r="A805" s="22" t="s">
        <v>9</v>
      </c>
      <c r="C805" s="26" t="s">
        <v>51</v>
      </c>
      <c r="E805" s="22" t="s">
        <v>9</v>
      </c>
      <c r="F805" s="23"/>
      <c r="G805" s="24" t="s">
        <v>11</v>
      </c>
      <c r="H805" s="25" t="s">
        <v>12</v>
      </c>
      <c r="I805" s="23"/>
      <c r="J805" s="24" t="s">
        <v>11</v>
      </c>
      <c r="K805" s="25" t="s">
        <v>13</v>
      </c>
    </row>
    <row r="806" spans="1:11">
      <c r="A806" s="19" t="s">
        <v>6</v>
      </c>
      <c r="B806" s="19" t="s">
        <v>6</v>
      </c>
      <c r="C806" s="19" t="s">
        <v>6</v>
      </c>
      <c r="D806" s="19" t="s">
        <v>6</v>
      </c>
      <c r="E806" s="19" t="s">
        <v>6</v>
      </c>
      <c r="F806" s="19" t="s">
        <v>6</v>
      </c>
      <c r="G806" s="20" t="s">
        <v>6</v>
      </c>
      <c r="H806" s="21" t="s">
        <v>6</v>
      </c>
      <c r="I806" s="19" t="s">
        <v>6</v>
      </c>
      <c r="J806" s="20" t="s">
        <v>6</v>
      </c>
      <c r="K806" s="21" t="s">
        <v>6</v>
      </c>
    </row>
    <row r="807" spans="1:11">
      <c r="A807" s="117">
        <v>1</v>
      </c>
      <c r="B807" s="126"/>
      <c r="C807" s="118" t="s">
        <v>227</v>
      </c>
      <c r="D807" s="126"/>
      <c r="E807" s="117">
        <v>1</v>
      </c>
      <c r="F807" s="126"/>
      <c r="G807" s="127"/>
      <c r="H807" s="128"/>
      <c r="I807" s="126"/>
      <c r="J807" s="127"/>
      <c r="K807" s="128"/>
    </row>
    <row r="808" spans="1:11">
      <c r="A808" s="117">
        <v>2</v>
      </c>
      <c r="B808" s="126"/>
      <c r="C808" s="118" t="s">
        <v>227</v>
      </c>
      <c r="D808" s="126"/>
      <c r="E808" s="117">
        <v>2</v>
      </c>
      <c r="F808" s="126"/>
      <c r="G808" s="127"/>
      <c r="H808" s="128"/>
      <c r="I808" s="126"/>
      <c r="J808" s="127"/>
      <c r="K808" s="128"/>
    </row>
    <row r="809" spans="1:11">
      <c r="A809" s="117">
        <v>3</v>
      </c>
      <c r="B809" s="118"/>
      <c r="C809" s="118" t="s">
        <v>227</v>
      </c>
      <c r="D809" s="118"/>
      <c r="E809" s="117">
        <v>3</v>
      </c>
      <c r="F809" s="119"/>
      <c r="G809" s="129"/>
      <c r="H809" s="124"/>
      <c r="I809" s="124"/>
      <c r="J809" s="129"/>
      <c r="K809" s="124"/>
    </row>
    <row r="810" spans="1:11">
      <c r="A810" s="117">
        <v>4</v>
      </c>
      <c r="B810" s="118"/>
      <c r="C810" s="118" t="s">
        <v>227</v>
      </c>
      <c r="D810" s="118"/>
      <c r="E810" s="117">
        <v>4</v>
      </c>
      <c r="F810" s="119"/>
      <c r="G810" s="129"/>
      <c r="H810" s="124"/>
      <c r="I810" s="124"/>
      <c r="J810" s="129"/>
      <c r="K810" s="124"/>
    </row>
    <row r="811" spans="1:11">
      <c r="A811" s="117">
        <v>5</v>
      </c>
      <c r="B811" s="118"/>
      <c r="C811" s="118" t="s">
        <v>227</v>
      </c>
      <c r="D811" s="118"/>
      <c r="E811" s="118">
        <v>5</v>
      </c>
      <c r="F811" s="118"/>
      <c r="G811" s="130"/>
      <c r="H811" s="131"/>
      <c r="I811" s="118"/>
      <c r="J811" s="130"/>
      <c r="K811" s="131"/>
    </row>
    <row r="812" spans="1:11">
      <c r="A812" s="8">
        <v>6</v>
      </c>
      <c r="C812" s="9" t="s">
        <v>170</v>
      </c>
      <c r="E812" s="8">
        <v>6</v>
      </c>
      <c r="F812" s="10"/>
      <c r="G812" s="153"/>
      <c r="H812" s="153"/>
      <c r="I812" s="110"/>
      <c r="J812" s="153"/>
      <c r="K812" s="153"/>
    </row>
    <row r="813" spans="1:11">
      <c r="A813" s="8">
        <v>7</v>
      </c>
      <c r="C813" s="9" t="s">
        <v>171</v>
      </c>
      <c r="E813" s="8">
        <v>7</v>
      </c>
      <c r="F813" s="10"/>
      <c r="G813" s="109"/>
      <c r="H813" s="156"/>
      <c r="I813" s="110"/>
      <c r="J813" s="109"/>
      <c r="K813" s="156"/>
    </row>
    <row r="814" spans="1:11">
      <c r="A814" s="8">
        <v>8</v>
      </c>
      <c r="C814" s="9" t="s">
        <v>214</v>
      </c>
      <c r="E814" s="8">
        <v>8</v>
      </c>
      <c r="F814" s="10"/>
      <c r="G814" s="153"/>
      <c r="H814" s="156"/>
      <c r="I814" s="110"/>
      <c r="J814" s="153"/>
      <c r="K814" s="156"/>
    </row>
    <row r="815" spans="1:11">
      <c r="A815" s="8">
        <v>9</v>
      </c>
      <c r="C815" s="9" t="s">
        <v>185</v>
      </c>
      <c r="E815" s="8">
        <v>9</v>
      </c>
      <c r="F815" s="10"/>
      <c r="G815" s="109">
        <f>SUM(G812:G814)</f>
        <v>0</v>
      </c>
      <c r="H815" s="109">
        <f>SUM(H812:H814)</f>
        <v>0</v>
      </c>
      <c r="I815" s="109"/>
      <c r="J815" s="109">
        <f>SUM(J812:J814)</f>
        <v>0</v>
      </c>
      <c r="K815" s="109">
        <f>SUM(K812:K814)</f>
        <v>0</v>
      </c>
    </row>
    <row r="816" spans="1:11">
      <c r="A816" s="8">
        <v>10</v>
      </c>
      <c r="C816" s="9"/>
      <c r="E816" s="8">
        <v>10</v>
      </c>
      <c r="F816" s="10"/>
      <c r="G816" s="109"/>
      <c r="H816" s="110"/>
      <c r="I816" s="110"/>
      <c r="J816" s="109"/>
      <c r="K816" s="110"/>
    </row>
    <row r="817" spans="1:11">
      <c r="A817" s="8">
        <v>11</v>
      </c>
      <c r="C817" s="9" t="s">
        <v>174</v>
      </c>
      <c r="E817" s="8">
        <v>11</v>
      </c>
      <c r="F817" s="10"/>
      <c r="G817" s="153"/>
      <c r="H817" s="156"/>
      <c r="I817" s="110"/>
      <c r="J817" s="153"/>
      <c r="K817" s="156"/>
    </row>
    <row r="818" spans="1:11">
      <c r="A818" s="8">
        <v>12</v>
      </c>
      <c r="C818" s="9" t="s">
        <v>175</v>
      </c>
      <c r="E818" s="8">
        <v>12</v>
      </c>
      <c r="F818" s="10"/>
      <c r="G818" s="109"/>
      <c r="H818" s="156"/>
      <c r="I818" s="110"/>
      <c r="J818" s="109"/>
      <c r="K818" s="156"/>
    </row>
    <row r="819" spans="1:11">
      <c r="A819" s="8">
        <v>13</v>
      </c>
      <c r="C819" s="9" t="s">
        <v>186</v>
      </c>
      <c r="E819" s="8">
        <v>13</v>
      </c>
      <c r="F819" s="10"/>
      <c r="G819" s="109">
        <f>SUM(G817:G818)</f>
        <v>0</v>
      </c>
      <c r="H819" s="109">
        <f>SUM(H817:H818)</f>
        <v>0</v>
      </c>
      <c r="I819" s="107"/>
      <c r="J819" s="109">
        <f>SUM(J817:J818)</f>
        <v>0</v>
      </c>
      <c r="K819" s="109">
        <f>SUM(K817:K818)</f>
        <v>0</v>
      </c>
    </row>
    <row r="820" spans="1:11">
      <c r="A820" s="8">
        <v>14</v>
      </c>
      <c r="E820" s="8">
        <v>14</v>
      </c>
      <c r="F820" s="10"/>
      <c r="G820" s="111"/>
      <c r="H820" s="110"/>
      <c r="I820" s="108"/>
      <c r="J820" s="111"/>
      <c r="K820" s="110"/>
    </row>
    <row r="821" spans="1:11">
      <c r="A821" s="8">
        <v>15</v>
      </c>
      <c r="C821" s="9" t="s">
        <v>177</v>
      </c>
      <c r="E821" s="8">
        <v>15</v>
      </c>
      <c r="G821" s="112">
        <f>SUM(G815+G819)</f>
        <v>0</v>
      </c>
      <c r="H821" s="108">
        <f>SUM(H815+H819)</f>
        <v>0</v>
      </c>
      <c r="I821" s="108"/>
      <c r="J821" s="112">
        <f>SUM(J815+J819)</f>
        <v>0</v>
      </c>
      <c r="K821" s="108">
        <f>SUM(K815+K819)</f>
        <v>0</v>
      </c>
    </row>
    <row r="822" spans="1:11">
      <c r="A822" s="8">
        <v>16</v>
      </c>
      <c r="E822" s="8">
        <v>16</v>
      </c>
      <c r="G822" s="112"/>
      <c r="H822" s="108"/>
      <c r="I822" s="108"/>
      <c r="J822" s="112"/>
      <c r="K822" s="108"/>
    </row>
    <row r="823" spans="1:11">
      <c r="A823" s="8">
        <v>17</v>
      </c>
      <c r="C823" s="9" t="s">
        <v>178</v>
      </c>
      <c r="E823" s="8">
        <v>17</v>
      </c>
      <c r="F823" s="10"/>
      <c r="G823" s="109"/>
      <c r="H823" s="156"/>
      <c r="I823" s="110"/>
      <c r="J823" s="109"/>
      <c r="K823" s="156"/>
    </row>
    <row r="824" spans="1:11">
      <c r="A824" s="8">
        <v>18</v>
      </c>
      <c r="E824" s="8">
        <v>18</v>
      </c>
      <c r="F824" s="10"/>
      <c r="G824" s="109"/>
      <c r="H824" s="110"/>
      <c r="I824" s="110"/>
      <c r="J824" s="109"/>
      <c r="K824" s="110"/>
    </row>
    <row r="825" spans="1:11">
      <c r="A825" s="8">
        <v>19</v>
      </c>
      <c r="C825" s="9" t="s">
        <v>179</v>
      </c>
      <c r="E825" s="8">
        <v>19</v>
      </c>
      <c r="F825" s="10"/>
      <c r="G825" s="109"/>
      <c r="H825" s="156"/>
      <c r="I825" s="110"/>
      <c r="J825" s="109"/>
      <c r="K825" s="156"/>
    </row>
    <row r="826" spans="1:11">
      <c r="A826" s="8">
        <v>20</v>
      </c>
      <c r="C826" s="81" t="s">
        <v>180</v>
      </c>
      <c r="E826" s="8">
        <v>20</v>
      </c>
      <c r="F826" s="10"/>
      <c r="G826" s="109"/>
      <c r="H826" s="156"/>
      <c r="I826" s="110"/>
      <c r="J826" s="109"/>
      <c r="K826" s="156"/>
    </row>
    <row r="827" spans="1:11">
      <c r="A827" s="8">
        <v>21</v>
      </c>
      <c r="C827" s="81"/>
      <c r="E827" s="8">
        <v>21</v>
      </c>
      <c r="F827" s="10"/>
      <c r="G827" s="109"/>
      <c r="H827" s="110"/>
      <c r="I827" s="110"/>
      <c r="J827" s="109"/>
      <c r="K827" s="110"/>
    </row>
    <row r="828" spans="1:11">
      <c r="A828" s="8">
        <v>22</v>
      </c>
      <c r="C828" s="9"/>
      <c r="E828" s="8">
        <v>22</v>
      </c>
      <c r="G828" s="109"/>
      <c r="H828" s="110"/>
      <c r="I828" s="110"/>
      <c r="J828" s="109"/>
      <c r="K828" s="110"/>
    </row>
    <row r="829" spans="1:11">
      <c r="A829" s="8">
        <v>23</v>
      </c>
      <c r="C829" s="9" t="s">
        <v>181</v>
      </c>
      <c r="E829" s="8">
        <v>23</v>
      </c>
      <c r="G829" s="109"/>
      <c r="H829" s="156"/>
      <c r="I829" s="110"/>
      <c r="J829" s="109"/>
      <c r="K829" s="156"/>
    </row>
    <row r="830" spans="1:11">
      <c r="A830" s="8">
        <v>24</v>
      </c>
      <c r="C830" s="9"/>
      <c r="E830" s="8">
        <v>24</v>
      </c>
      <c r="G830" s="109"/>
      <c r="H830" s="110"/>
      <c r="I830" s="110"/>
      <c r="J830" s="109"/>
      <c r="K830" s="110"/>
    </row>
    <row r="831" spans="1:11">
      <c r="A831" s="8"/>
      <c r="E831" s="8">
        <v>25</v>
      </c>
      <c r="F831" s="70" t="s">
        <v>6</v>
      </c>
      <c r="G831" s="83"/>
      <c r="H831" s="21"/>
      <c r="I831" s="70"/>
      <c r="J831" s="83"/>
      <c r="K831" s="21"/>
    </row>
    <row r="832" spans="1:11">
      <c r="A832" s="8">
        <v>25</v>
      </c>
      <c r="C832" s="9" t="s">
        <v>215</v>
      </c>
      <c r="E832" s="8"/>
      <c r="G832" s="108">
        <f>SUM(G821:G830)</f>
        <v>0</v>
      </c>
      <c r="H832" s="108">
        <f>SUM(H821:H830)</f>
        <v>0</v>
      </c>
      <c r="I832" s="113"/>
      <c r="J832" s="108">
        <f>SUM(J821:J830)</f>
        <v>0</v>
      </c>
      <c r="K832" s="108">
        <f>SUM(K821:K830)</f>
        <v>0</v>
      </c>
    </row>
    <row r="833" spans="1:11">
      <c r="F833" s="70" t="s">
        <v>6</v>
      </c>
      <c r="G833" s="20"/>
      <c r="H833" s="21"/>
      <c r="I833" s="70"/>
      <c r="J833" s="20"/>
      <c r="K833" s="21"/>
    </row>
    <row r="834" spans="1:11">
      <c r="A834" s="9"/>
      <c r="C834" s="137" t="s">
        <v>49</v>
      </c>
    </row>
    <row r="836" spans="1:11">
      <c r="A836" s="9"/>
      <c r="H836" s="40"/>
      <c r="K836" s="40"/>
    </row>
    <row r="837" spans="1:11">
      <c r="A837" s="16" t="str">
        <f>$A$83</f>
        <v>Institution No.:  GFC</v>
      </c>
      <c r="B837" s="36"/>
      <c r="C837" s="36"/>
      <c r="D837" s="36"/>
      <c r="E837" s="37"/>
      <c r="F837" s="36"/>
      <c r="G837" s="38"/>
      <c r="H837" s="39"/>
      <c r="I837" s="36"/>
      <c r="J837" s="38"/>
      <c r="K837" s="15" t="s">
        <v>216</v>
      </c>
    </row>
    <row r="838" spans="1:11">
      <c r="A838" s="230" t="s">
        <v>217</v>
      </c>
      <c r="B838" s="230"/>
      <c r="C838" s="230"/>
      <c r="D838" s="230"/>
      <c r="E838" s="230"/>
      <c r="F838" s="230"/>
      <c r="G838" s="230"/>
      <c r="H838" s="230"/>
      <c r="I838" s="230"/>
      <c r="J838" s="230"/>
      <c r="K838" s="230"/>
    </row>
    <row r="839" spans="1:11">
      <c r="A839" s="16" t="str">
        <f>$A$42</f>
        <v xml:space="preserve">NAME: </v>
      </c>
      <c r="C839" s="137" t="str">
        <f>$D$20</f>
        <v>University of Colorado</v>
      </c>
      <c r="H839" s="88"/>
      <c r="J839" s="14"/>
      <c r="K839" s="18" t="str">
        <f>$K$3</f>
        <v>Date: October 09, 2017</v>
      </c>
    </row>
    <row r="840" spans="1:11">
      <c r="A840" s="19" t="s">
        <v>6</v>
      </c>
      <c r="B840" s="19" t="s">
        <v>6</v>
      </c>
      <c r="C840" s="19" t="s">
        <v>6</v>
      </c>
      <c r="D840" s="19" t="s">
        <v>6</v>
      </c>
      <c r="E840" s="19" t="s">
        <v>6</v>
      </c>
      <c r="F840" s="19" t="s">
        <v>6</v>
      </c>
      <c r="G840" s="20" t="s">
        <v>6</v>
      </c>
      <c r="H840" s="21" t="s">
        <v>6</v>
      </c>
      <c r="I840" s="19" t="s">
        <v>6</v>
      </c>
      <c r="J840" s="20" t="s">
        <v>6</v>
      </c>
      <c r="K840" s="21" t="s">
        <v>6</v>
      </c>
    </row>
    <row r="841" spans="1:11">
      <c r="A841" s="22" t="s">
        <v>7</v>
      </c>
      <c r="E841" s="22" t="s">
        <v>7</v>
      </c>
      <c r="F841" s="23"/>
      <c r="G841" s="24"/>
      <c r="H841" s="25" t="str">
        <f>+H804</f>
        <v>2016-17</v>
      </c>
      <c r="I841" s="23"/>
      <c r="J841" s="24"/>
      <c r="K841" s="25" t="str">
        <f>+K804</f>
        <v>2017-18</v>
      </c>
    </row>
    <row r="842" spans="1:11">
      <c r="A842" s="22" t="s">
        <v>9</v>
      </c>
      <c r="C842" s="26" t="s">
        <v>51</v>
      </c>
      <c r="E842" s="22" t="s">
        <v>9</v>
      </c>
      <c r="F842" s="23"/>
      <c r="G842" s="24"/>
      <c r="H842" s="25" t="s">
        <v>12</v>
      </c>
      <c r="I842" s="23"/>
      <c r="J842" s="24"/>
      <c r="K842" s="25" t="s">
        <v>13</v>
      </c>
    </row>
    <row r="843" spans="1:11">
      <c r="A843" s="19" t="s">
        <v>6</v>
      </c>
      <c r="B843" s="19" t="s">
        <v>6</v>
      </c>
      <c r="C843" s="19" t="s">
        <v>6</v>
      </c>
      <c r="D843" s="19" t="s">
        <v>6</v>
      </c>
      <c r="E843" s="19" t="s">
        <v>6</v>
      </c>
      <c r="F843" s="19" t="s">
        <v>6</v>
      </c>
      <c r="G843" s="20" t="s">
        <v>6</v>
      </c>
      <c r="H843" s="21" t="s">
        <v>6</v>
      </c>
      <c r="I843" s="19" t="s">
        <v>6</v>
      </c>
      <c r="J843" s="20" t="s">
        <v>6</v>
      </c>
      <c r="K843" s="21" t="s">
        <v>6</v>
      </c>
    </row>
    <row r="844" spans="1:11">
      <c r="A844" s="73">
        <v>1</v>
      </c>
      <c r="C844" s="137" t="s">
        <v>218</v>
      </c>
      <c r="E844" s="73">
        <v>1</v>
      </c>
      <c r="F844" s="10"/>
      <c r="G844" s="110"/>
      <c r="H844" s="156"/>
      <c r="I844" s="110"/>
      <c r="J844" s="110"/>
      <c r="K844" s="156"/>
    </row>
    <row r="845" spans="1:11">
      <c r="A845" s="73">
        <v>2</v>
      </c>
      <c r="C845" s="10" t="s">
        <v>286</v>
      </c>
      <c r="E845" s="73">
        <v>2</v>
      </c>
      <c r="F845" s="10"/>
      <c r="G845" s="110"/>
      <c r="H845" s="110">
        <v>1003426</v>
      </c>
      <c r="I845" s="110"/>
      <c r="J845" s="110"/>
      <c r="K845" s="110">
        <v>1836767</v>
      </c>
    </row>
    <row r="846" spans="1:11">
      <c r="A846" s="73">
        <v>3</v>
      </c>
      <c r="C846" s="10" t="s">
        <v>287</v>
      </c>
      <c r="E846" s="73">
        <v>3</v>
      </c>
      <c r="F846" s="10"/>
      <c r="G846" s="110"/>
      <c r="H846" s="110">
        <v>582263</v>
      </c>
      <c r="I846" s="110"/>
      <c r="J846" s="110"/>
      <c r="K846" s="110">
        <v>661263</v>
      </c>
    </row>
    <row r="847" spans="1:11">
      <c r="A847" s="73">
        <v>4</v>
      </c>
      <c r="C847" s="10" t="s">
        <v>288</v>
      </c>
      <c r="E847" s="73">
        <v>4</v>
      </c>
      <c r="F847" s="10"/>
      <c r="G847" s="110"/>
      <c r="H847" s="110">
        <v>615511</v>
      </c>
      <c r="I847" s="110"/>
      <c r="J847" s="110"/>
      <c r="K847" s="110">
        <v>615825</v>
      </c>
    </row>
    <row r="848" spans="1:11">
      <c r="A848" s="73">
        <v>5</v>
      </c>
      <c r="C848" s="13" t="s">
        <v>289</v>
      </c>
      <c r="E848" s="73">
        <v>5</v>
      </c>
      <c r="F848" s="10"/>
      <c r="G848" s="110"/>
      <c r="H848" s="110"/>
      <c r="I848" s="110"/>
      <c r="J848" s="110"/>
      <c r="K848" s="110"/>
    </row>
    <row r="849" spans="1:11">
      <c r="A849" s="73">
        <v>6</v>
      </c>
      <c r="C849" s="10" t="s">
        <v>290</v>
      </c>
      <c r="E849" s="73">
        <v>6</v>
      </c>
      <c r="F849" s="10"/>
      <c r="G849" s="110"/>
      <c r="H849" s="110"/>
      <c r="I849" s="110"/>
      <c r="J849" s="110"/>
      <c r="K849" s="110">
        <v>209525</v>
      </c>
    </row>
    <row r="850" spans="1:11">
      <c r="A850" s="73">
        <v>7</v>
      </c>
      <c r="C850" s="10"/>
      <c r="E850" s="73">
        <v>7</v>
      </c>
      <c r="F850" s="10"/>
      <c r="G850" s="110"/>
      <c r="H850" s="110"/>
      <c r="I850" s="110"/>
      <c r="J850" s="110"/>
      <c r="K850" s="110"/>
    </row>
    <row r="851" spans="1:11">
      <c r="A851" s="73">
        <v>8</v>
      </c>
      <c r="E851" s="73">
        <v>8</v>
      </c>
      <c r="F851" s="10"/>
      <c r="G851" s="110"/>
      <c r="H851" s="110"/>
      <c r="I851" s="110"/>
      <c r="J851" s="110"/>
      <c r="K851" s="110"/>
    </row>
    <row r="852" spans="1:11">
      <c r="A852" s="73">
        <v>9</v>
      </c>
      <c r="E852" s="73">
        <v>9</v>
      </c>
      <c r="F852" s="10"/>
      <c r="G852" s="110"/>
      <c r="H852" s="110"/>
      <c r="I852" s="110"/>
      <c r="J852" s="110"/>
      <c r="K852" s="110"/>
    </row>
    <row r="853" spans="1:11">
      <c r="A853" s="76"/>
      <c r="E853" s="76"/>
      <c r="F853" s="70" t="s">
        <v>6</v>
      </c>
      <c r="G853" s="86" t="s">
        <v>6</v>
      </c>
      <c r="H853" s="86"/>
      <c r="I853" s="86"/>
      <c r="J853" s="86"/>
      <c r="K853" s="86"/>
    </row>
    <row r="854" spans="1:11">
      <c r="A854" s="73">
        <v>10</v>
      </c>
      <c r="C854" s="137" t="s">
        <v>219</v>
      </c>
      <c r="E854" s="73">
        <v>10</v>
      </c>
      <c r="G854" s="107"/>
      <c r="H854" s="110">
        <f>SUM(H844:H852)</f>
        <v>2201200</v>
      </c>
      <c r="I854" s="108"/>
      <c r="J854" s="107"/>
      <c r="K854" s="110">
        <f>SUM(K844:K852)</f>
        <v>3323380</v>
      </c>
    </row>
    <row r="855" spans="1:11">
      <c r="A855" s="73"/>
      <c r="E855" s="73"/>
      <c r="F855" s="70" t="s">
        <v>6</v>
      </c>
      <c r="G855" s="86" t="s">
        <v>6</v>
      </c>
      <c r="H855" s="86"/>
      <c r="I855" s="86"/>
      <c r="J855" s="86"/>
      <c r="K855" s="86"/>
    </row>
    <row r="856" spans="1:11">
      <c r="A856" s="73">
        <v>11</v>
      </c>
      <c r="C856" s="10"/>
      <c r="E856" s="73">
        <v>11</v>
      </c>
      <c r="F856" s="10"/>
      <c r="G856" s="110"/>
      <c r="H856" s="110"/>
      <c r="I856" s="110"/>
      <c r="J856" s="110"/>
      <c r="K856" s="110"/>
    </row>
    <row r="857" spans="1:11">
      <c r="A857" s="73">
        <v>12</v>
      </c>
      <c r="C857" s="9" t="s">
        <v>220</v>
      </c>
      <c r="E857" s="73">
        <v>12</v>
      </c>
      <c r="F857" s="10"/>
      <c r="G857" s="110"/>
      <c r="H857" s="156">
        <v>11311312</v>
      </c>
      <c r="I857" s="110"/>
      <c r="J857" s="110"/>
      <c r="K857" s="156">
        <v>512366</v>
      </c>
    </row>
    <row r="858" spans="1:11">
      <c r="A858" s="73">
        <v>13</v>
      </c>
      <c r="C858" s="10" t="s">
        <v>221</v>
      </c>
      <c r="E858" s="73">
        <v>13</v>
      </c>
      <c r="F858" s="10"/>
      <c r="G858" s="110"/>
      <c r="H858" s="156"/>
      <c r="I858" s="110"/>
      <c r="J858" s="110"/>
      <c r="K858" s="156"/>
    </row>
    <row r="859" spans="1:11">
      <c r="A859" s="73">
        <v>14</v>
      </c>
      <c r="C859" s="10" t="s">
        <v>291</v>
      </c>
      <c r="E859" s="73">
        <v>14</v>
      </c>
      <c r="F859" s="10"/>
      <c r="G859" s="110"/>
      <c r="H859" s="110">
        <v>1936784</v>
      </c>
      <c r="I859" s="110"/>
      <c r="J859" s="110"/>
      <c r="K859" s="110">
        <v>1793512</v>
      </c>
    </row>
    <row r="860" spans="1:11">
      <c r="A860" s="73">
        <v>15</v>
      </c>
      <c r="E860" s="73">
        <v>15</v>
      </c>
      <c r="F860" s="10"/>
      <c r="G860" s="110"/>
      <c r="H860" s="110"/>
      <c r="I860" s="110"/>
      <c r="J860" s="110"/>
      <c r="K860" s="110"/>
    </row>
    <row r="861" spans="1:11">
      <c r="A861" s="73">
        <v>16</v>
      </c>
      <c r="E861" s="73">
        <v>16</v>
      </c>
      <c r="F861" s="10"/>
      <c r="G861" s="110"/>
      <c r="H861" s="110"/>
      <c r="I861" s="110"/>
      <c r="J861" s="110"/>
      <c r="K861" s="110"/>
    </row>
    <row r="862" spans="1:11">
      <c r="A862" s="73">
        <v>17</v>
      </c>
      <c r="C862" s="74"/>
      <c r="D862" s="75"/>
      <c r="E862" s="73">
        <v>17</v>
      </c>
      <c r="F862" s="10"/>
      <c r="G862" s="110"/>
      <c r="H862" s="110"/>
      <c r="I862" s="110"/>
      <c r="J862" s="110"/>
      <c r="K862" s="110"/>
    </row>
    <row r="863" spans="1:11">
      <c r="A863" s="73">
        <v>18</v>
      </c>
      <c r="C863" s="75"/>
      <c r="D863" s="75"/>
      <c r="E863" s="73">
        <v>18</v>
      </c>
      <c r="F863" s="10"/>
      <c r="G863" s="110"/>
      <c r="H863" s="110"/>
      <c r="I863" s="110"/>
      <c r="J863" s="110"/>
      <c r="K863" s="110"/>
    </row>
    <row r="864" spans="1:11">
      <c r="A864" s="73"/>
      <c r="C864" s="89"/>
      <c r="D864" s="75"/>
      <c r="E864" s="73"/>
      <c r="F864" s="70" t="s">
        <v>6</v>
      </c>
      <c r="G864" s="20" t="s">
        <v>6</v>
      </c>
      <c r="H864" s="21"/>
      <c r="I864" s="70"/>
      <c r="J864" s="20"/>
      <c r="K864" s="21"/>
    </row>
    <row r="865" spans="1:11">
      <c r="A865" s="73">
        <v>19</v>
      </c>
      <c r="C865" s="137" t="s">
        <v>222</v>
      </c>
      <c r="D865" s="75"/>
      <c r="E865" s="73">
        <v>19</v>
      </c>
      <c r="G865" s="108"/>
      <c r="H865" s="108">
        <f>SUM(H856:H863)</f>
        <v>13248096</v>
      </c>
      <c r="I865" s="110"/>
      <c r="J865" s="110"/>
      <c r="K865" s="108">
        <f>SUM(K856:K863)</f>
        <v>2305878</v>
      </c>
    </row>
    <row r="866" spans="1:11">
      <c r="A866" s="73"/>
      <c r="C866" s="89"/>
      <c r="D866" s="75"/>
      <c r="E866" s="73"/>
      <c r="F866" s="70" t="s">
        <v>6</v>
      </c>
      <c r="G866" s="20" t="s">
        <v>6</v>
      </c>
      <c r="H866" s="21"/>
      <c r="I866" s="70"/>
      <c r="J866" s="20"/>
      <c r="K866" s="21"/>
    </row>
    <row r="867" spans="1:11">
      <c r="A867" s="73"/>
      <c r="C867" s="75"/>
      <c r="D867" s="75"/>
      <c r="E867" s="73"/>
      <c r="H867" s="12"/>
    </row>
    <row r="868" spans="1:11">
      <c r="A868" s="73">
        <v>20</v>
      </c>
      <c r="C868" s="9" t="s">
        <v>223</v>
      </c>
      <c r="E868" s="73">
        <v>20</v>
      </c>
      <c r="G868" s="107"/>
      <c r="H868" s="108">
        <f>SUM(H854,H865)</f>
        <v>15449296</v>
      </c>
      <c r="I868" s="108"/>
      <c r="J868" s="107"/>
      <c r="K868" s="108">
        <f>SUM(K854,K865)</f>
        <v>5629258</v>
      </c>
    </row>
    <row r="869" spans="1:11">
      <c r="C869" s="31" t="s">
        <v>224</v>
      </c>
      <c r="E869" s="35"/>
      <c r="F869" s="70" t="s">
        <v>6</v>
      </c>
      <c r="G869" s="20" t="s">
        <v>6</v>
      </c>
      <c r="H869" s="21"/>
      <c r="I869" s="70"/>
      <c r="J869" s="20"/>
      <c r="K869" s="21"/>
    </row>
    <row r="870" spans="1:11">
      <c r="C870" s="9" t="s">
        <v>38</v>
      </c>
    </row>
    <row r="871" spans="1:11">
      <c r="D871" s="9"/>
      <c r="G871" s="14"/>
      <c r="H871" s="40"/>
      <c r="I871" s="61"/>
      <c r="J871" s="14"/>
      <c r="K871" s="40"/>
    </row>
    <row r="872" spans="1:11">
      <c r="D872" s="9"/>
      <c r="G872" s="14"/>
      <c r="H872" s="40"/>
      <c r="I872" s="61"/>
      <c r="J872" s="14"/>
      <c r="K872" s="40"/>
    </row>
    <row r="873" spans="1:11">
      <c r="D873" s="9"/>
      <c r="G873" s="14"/>
      <c r="H873" s="40"/>
      <c r="I873" s="61"/>
      <c r="J873" s="14"/>
      <c r="K873" s="40"/>
    </row>
    <row r="874" spans="1:11">
      <c r="D874" s="9"/>
      <c r="G874" s="14"/>
      <c r="H874" s="40"/>
      <c r="I874" s="61"/>
      <c r="J874" s="14"/>
      <c r="K874" s="40"/>
    </row>
    <row r="875" spans="1:11">
      <c r="D875" s="9"/>
      <c r="G875" s="14"/>
      <c r="H875" s="40"/>
      <c r="I875" s="61"/>
      <c r="J875" s="14"/>
      <c r="K875" s="40"/>
    </row>
    <row r="876" spans="1:11">
      <c r="D876" s="9"/>
      <c r="G876" s="14"/>
      <c r="H876" s="40"/>
      <c r="I876" s="61"/>
      <c r="J876" s="14"/>
      <c r="K876" s="40"/>
    </row>
    <row r="877" spans="1:11">
      <c r="D877" s="9"/>
      <c r="G877" s="14"/>
      <c r="H877" s="40"/>
      <c r="I877" s="61"/>
      <c r="J877" s="14"/>
      <c r="K877" s="40"/>
    </row>
    <row r="878" spans="1:11">
      <c r="D878" s="9"/>
      <c r="G878" s="14"/>
      <c r="H878" s="40"/>
      <c r="I878" s="61"/>
      <c r="J878" s="14"/>
      <c r="K878" s="40"/>
    </row>
    <row r="879" spans="1:11">
      <c r="D879" s="9"/>
      <c r="G879" s="14"/>
      <c r="H879" s="40"/>
      <c r="I879" s="61"/>
      <c r="J879" s="14"/>
      <c r="K879" s="40"/>
    </row>
    <row r="880" spans="1:11">
      <c r="D880" s="9"/>
      <c r="G880" s="14"/>
      <c r="H880" s="40"/>
      <c r="I880" s="61"/>
      <c r="J880" s="14"/>
      <c r="K880" s="40"/>
    </row>
    <row r="881" spans="4:11">
      <c r="D881" s="9"/>
      <c r="G881" s="14"/>
      <c r="H881" s="40"/>
      <c r="I881" s="61"/>
      <c r="J881" s="14"/>
      <c r="K881" s="40"/>
    </row>
    <row r="882" spans="4:11">
      <c r="D882" s="9"/>
      <c r="G882" s="14"/>
      <c r="H882" s="40"/>
      <c r="I882" s="61"/>
      <c r="J882" s="14"/>
      <c r="K882" s="40"/>
    </row>
    <row r="883" spans="4:11">
      <c r="D883" s="9"/>
      <c r="G883" s="14"/>
      <c r="H883" s="40"/>
      <c r="I883" s="61"/>
      <c r="J883" s="14"/>
      <c r="K883" s="40"/>
    </row>
    <row r="884" spans="4:11">
      <c r="D884" s="9"/>
      <c r="G884" s="14"/>
      <c r="H884" s="40"/>
      <c r="I884" s="61"/>
      <c r="J884" s="14"/>
      <c r="K884" s="40"/>
    </row>
    <row r="885" spans="4:11">
      <c r="D885" s="9"/>
      <c r="G885" s="14"/>
      <c r="H885" s="40"/>
      <c r="I885" s="61"/>
      <c r="J885" s="14"/>
      <c r="K885" s="40"/>
    </row>
    <row r="886" spans="4:11">
      <c r="D886" s="9"/>
      <c r="G886" s="14"/>
      <c r="H886" s="40"/>
      <c r="I886" s="61"/>
      <c r="J886" s="14"/>
      <c r="K886" s="40"/>
    </row>
    <row r="887" spans="4:11">
      <c r="D887" s="9"/>
      <c r="G887" s="14"/>
      <c r="H887" s="40"/>
      <c r="I887" s="61"/>
      <c r="J887" s="14"/>
      <c r="K887" s="40"/>
    </row>
    <row r="888" spans="4:11">
      <c r="D888" s="9"/>
      <c r="G888" s="14"/>
      <c r="H888" s="40"/>
      <c r="I888" s="61"/>
      <c r="J888" s="14"/>
      <c r="K888" s="40"/>
    </row>
    <row r="889" spans="4:11">
      <c r="D889" s="9"/>
      <c r="G889" s="14"/>
      <c r="H889" s="40"/>
      <c r="I889" s="61"/>
      <c r="J889" s="14"/>
      <c r="K889" s="40"/>
    </row>
    <row r="890" spans="4:11">
      <c r="D890" s="9"/>
      <c r="G890" s="14"/>
      <c r="H890" s="40"/>
      <c r="I890" s="61"/>
      <c r="J890" s="14"/>
      <c r="K890" s="40"/>
    </row>
    <row r="891" spans="4:11">
      <c r="D891" s="9"/>
      <c r="G891" s="14"/>
      <c r="H891" s="40"/>
      <c r="I891" s="61"/>
      <c r="J891" s="14"/>
      <c r="K891" s="40"/>
    </row>
    <row r="892" spans="4:11">
      <c r="D892" s="9"/>
      <c r="G892" s="14"/>
      <c r="H892" s="40"/>
      <c r="I892" s="61"/>
      <c r="J892" s="14"/>
      <c r="K892" s="40"/>
    </row>
    <row r="893" spans="4:11">
      <c r="D893" s="9"/>
      <c r="G893" s="14"/>
      <c r="H893" s="40"/>
      <c r="I893" s="61"/>
      <c r="J893" s="14"/>
      <c r="K893" s="40"/>
    </row>
    <row r="894" spans="4:11">
      <c r="D894" s="9"/>
      <c r="G894" s="14"/>
      <c r="H894" s="40"/>
      <c r="I894" s="61"/>
      <c r="J894" s="14"/>
      <c r="K894" s="40"/>
    </row>
    <row r="895" spans="4:11">
      <c r="D895" s="9"/>
      <c r="G895" s="14"/>
      <c r="H895" s="40"/>
      <c r="I895" s="61"/>
      <c r="J895" s="14"/>
      <c r="K895" s="40"/>
    </row>
    <row r="934" spans="4:11">
      <c r="D934" s="23"/>
      <c r="F934" s="35"/>
      <c r="G934" s="14"/>
      <c r="H934" s="40"/>
      <c r="J934" s="14"/>
      <c r="K934" s="40"/>
    </row>
  </sheetData>
  <mergeCells count="28">
    <mergeCell ref="A41:K41"/>
    <mergeCell ref="A5:K5"/>
    <mergeCell ref="A8:K8"/>
    <mergeCell ref="A9:K9"/>
    <mergeCell ref="A20:C20"/>
    <mergeCell ref="A36:K36"/>
    <mergeCell ref="A502:K502"/>
    <mergeCell ref="C79:J79"/>
    <mergeCell ref="A84:K84"/>
    <mergeCell ref="C121:J121"/>
    <mergeCell ref="A128:K128"/>
    <mergeCell ref="C135:D135"/>
    <mergeCell ref="C139:D139"/>
    <mergeCell ref="A175:K175"/>
    <mergeCell ref="C213:I213"/>
    <mergeCell ref="B227:K227"/>
    <mergeCell ref="C321:J321"/>
    <mergeCell ref="A464:K464"/>
    <mergeCell ref="A763:K763"/>
    <mergeCell ref="C797:J797"/>
    <mergeCell ref="A801:K801"/>
    <mergeCell ref="A838:K838"/>
    <mergeCell ref="A541:K541"/>
    <mergeCell ref="A578:K578"/>
    <mergeCell ref="A615:K615"/>
    <mergeCell ref="A652:K652"/>
    <mergeCell ref="A689:K689"/>
    <mergeCell ref="A726:K726"/>
  </mergeCells>
  <printOptions horizontalCentered="1"/>
  <pageMargins left="0.17" right="0.17" top="0.47" bottom="0.53" header="0.5" footer="0.24"/>
  <pageSetup scale="70" fitToHeight="47" orientation="landscape" r:id="rId1"/>
  <headerFooter alignWithMargins="0"/>
  <rowBreaks count="20" manualBreakCount="20">
    <brk id="39" max="12" man="1"/>
    <brk id="82" max="12" man="1"/>
    <brk id="124" max="12" man="1"/>
    <brk id="172" max="12" man="1"/>
    <brk id="224" max="12" man="1"/>
    <brk id="274" max="12" man="1"/>
    <brk id="323" max="10" man="1"/>
    <brk id="357" max="10" man="1"/>
    <brk id="408" max="12" man="1"/>
    <brk id="461" max="10" man="1"/>
    <brk id="499" max="10" man="1"/>
    <brk id="538" max="10" man="1"/>
    <brk id="575" max="10" man="1"/>
    <brk id="612" max="10" man="1"/>
    <brk id="649" max="10" man="1"/>
    <brk id="686" max="10" man="1"/>
    <brk id="723" max="10" man="1"/>
    <brk id="760" max="10" man="1"/>
    <brk id="798" max="10" man="1"/>
    <brk id="835" max="10"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syncVertical="1" syncRef="A25" transitionEvaluation="1">
    <tabColor theme="3" tint="0.39997558519241921"/>
  </sheetPr>
  <dimension ref="A2:IQ934"/>
  <sheetViews>
    <sheetView showGridLines="0" view="pageBreakPreview" topLeftCell="A25" zoomScale="70" zoomScaleNormal="75" zoomScaleSheetLayoutView="70" workbookViewId="0">
      <selection activeCell="K514" sqref="K514"/>
    </sheetView>
  </sheetViews>
  <sheetFormatPr defaultColWidth="9.625" defaultRowHeight="12"/>
  <cols>
    <col min="1" max="1" width="4.625" style="137" customWidth="1"/>
    <col min="2" max="2" width="1.875" style="137" customWidth="1"/>
    <col min="3" max="3" width="30.625" style="137" customWidth="1"/>
    <col min="4" max="4" width="28.625" style="137" customWidth="1"/>
    <col min="5" max="5" width="8.125" style="137" customWidth="1"/>
    <col min="6" max="6" width="7.5" style="137" customWidth="1"/>
    <col min="7" max="7" width="14.875" style="2" customWidth="1"/>
    <col min="8" max="8" width="14.875" style="3" customWidth="1"/>
    <col min="9" max="9" width="15.75" style="137" bestFit="1" customWidth="1"/>
    <col min="10" max="10" width="13.25" style="2" customWidth="1"/>
    <col min="11" max="11" width="19.875" style="3" customWidth="1"/>
    <col min="12" max="253" width="9.625" style="137"/>
    <col min="254" max="254" width="4.625" style="137" customWidth="1"/>
    <col min="255" max="255" width="1.875" style="137" customWidth="1"/>
    <col min="256" max="256" width="30.625" style="137" customWidth="1"/>
    <col min="257" max="257" width="28.625" style="137" customWidth="1"/>
    <col min="258" max="258" width="8.125" style="137" customWidth="1"/>
    <col min="259" max="259" width="7.5" style="137" customWidth="1"/>
    <col min="260" max="261" width="14.875" style="137" customWidth="1"/>
    <col min="262" max="262" width="6.625" style="137" customWidth="1"/>
    <col min="263" max="263" width="13.25" style="137" customWidth="1"/>
    <col min="264" max="264" width="17" style="137" customWidth="1"/>
    <col min="265" max="509" width="9.625" style="137"/>
    <col min="510" max="510" width="4.625" style="137" customWidth="1"/>
    <col min="511" max="511" width="1.875" style="137" customWidth="1"/>
    <col min="512" max="512" width="30.625" style="137" customWidth="1"/>
    <col min="513" max="513" width="28.625" style="137" customWidth="1"/>
    <col min="514" max="514" width="8.125" style="137" customWidth="1"/>
    <col min="515" max="515" width="7.5" style="137" customWidth="1"/>
    <col min="516" max="517" width="14.875" style="137" customWidth="1"/>
    <col min="518" max="518" width="6.625" style="137" customWidth="1"/>
    <col min="519" max="519" width="13.25" style="137" customWidth="1"/>
    <col min="520" max="520" width="17" style="137" customWidth="1"/>
    <col min="521" max="765" width="9.625" style="137"/>
    <col min="766" max="766" width="4.625" style="137" customWidth="1"/>
    <col min="767" max="767" width="1.875" style="137" customWidth="1"/>
    <col min="768" max="768" width="30.625" style="137" customWidth="1"/>
    <col min="769" max="769" width="28.625" style="137" customWidth="1"/>
    <col min="770" max="770" width="8.125" style="137" customWidth="1"/>
    <col min="771" max="771" width="7.5" style="137" customWidth="1"/>
    <col min="772" max="773" width="14.875" style="137" customWidth="1"/>
    <col min="774" max="774" width="6.625" style="137" customWidth="1"/>
    <col min="775" max="775" width="13.25" style="137" customWidth="1"/>
    <col min="776" max="776" width="17" style="137" customWidth="1"/>
    <col min="777" max="1021" width="9.625" style="137"/>
    <col min="1022" max="1022" width="4.625" style="137" customWidth="1"/>
    <col min="1023" max="1023" width="1.875" style="137" customWidth="1"/>
    <col min="1024" max="1024" width="30.625" style="137" customWidth="1"/>
    <col min="1025" max="1025" width="28.625" style="137" customWidth="1"/>
    <col min="1026" max="1026" width="8.125" style="137" customWidth="1"/>
    <col min="1027" max="1027" width="7.5" style="137" customWidth="1"/>
    <col min="1028" max="1029" width="14.875" style="137" customWidth="1"/>
    <col min="1030" max="1030" width="6.625" style="137" customWidth="1"/>
    <col min="1031" max="1031" width="13.25" style="137" customWidth="1"/>
    <col min="1032" max="1032" width="17" style="137" customWidth="1"/>
    <col min="1033" max="1277" width="9.625" style="137"/>
    <col min="1278" max="1278" width="4.625" style="137" customWidth="1"/>
    <col min="1279" max="1279" width="1.875" style="137" customWidth="1"/>
    <col min="1280" max="1280" width="30.625" style="137" customWidth="1"/>
    <col min="1281" max="1281" width="28.625" style="137" customWidth="1"/>
    <col min="1282" max="1282" width="8.125" style="137" customWidth="1"/>
    <col min="1283" max="1283" width="7.5" style="137" customWidth="1"/>
    <col min="1284" max="1285" width="14.875" style="137" customWidth="1"/>
    <col min="1286" max="1286" width="6.625" style="137" customWidth="1"/>
    <col min="1287" max="1287" width="13.25" style="137" customWidth="1"/>
    <col min="1288" max="1288" width="17" style="137" customWidth="1"/>
    <col min="1289" max="1533" width="9.625" style="137"/>
    <col min="1534" max="1534" width="4.625" style="137" customWidth="1"/>
    <col min="1535" max="1535" width="1.875" style="137" customWidth="1"/>
    <col min="1536" max="1536" width="30.625" style="137" customWidth="1"/>
    <col min="1537" max="1537" width="28.625" style="137" customWidth="1"/>
    <col min="1538" max="1538" width="8.125" style="137" customWidth="1"/>
    <col min="1539" max="1539" width="7.5" style="137" customWidth="1"/>
    <col min="1540" max="1541" width="14.875" style="137" customWidth="1"/>
    <col min="1542" max="1542" width="6.625" style="137" customWidth="1"/>
    <col min="1543" max="1543" width="13.25" style="137" customWidth="1"/>
    <col min="1544" max="1544" width="17" style="137" customWidth="1"/>
    <col min="1545" max="1789" width="9.625" style="137"/>
    <col min="1790" max="1790" width="4.625" style="137" customWidth="1"/>
    <col min="1791" max="1791" width="1.875" style="137" customWidth="1"/>
    <col min="1792" max="1792" width="30.625" style="137" customWidth="1"/>
    <col min="1793" max="1793" width="28.625" style="137" customWidth="1"/>
    <col min="1794" max="1794" width="8.125" style="137" customWidth="1"/>
    <col min="1795" max="1795" width="7.5" style="137" customWidth="1"/>
    <col min="1796" max="1797" width="14.875" style="137" customWidth="1"/>
    <col min="1798" max="1798" width="6.625" style="137" customWidth="1"/>
    <col min="1799" max="1799" width="13.25" style="137" customWidth="1"/>
    <col min="1800" max="1800" width="17" style="137" customWidth="1"/>
    <col min="1801" max="2045" width="9.625" style="137"/>
    <col min="2046" max="2046" width="4.625" style="137" customWidth="1"/>
    <col min="2047" max="2047" width="1.875" style="137" customWidth="1"/>
    <col min="2048" max="2048" width="30.625" style="137" customWidth="1"/>
    <col min="2049" max="2049" width="28.625" style="137" customWidth="1"/>
    <col min="2050" max="2050" width="8.125" style="137" customWidth="1"/>
    <col min="2051" max="2051" width="7.5" style="137" customWidth="1"/>
    <col min="2052" max="2053" width="14.875" style="137" customWidth="1"/>
    <col min="2054" max="2054" width="6.625" style="137" customWidth="1"/>
    <col min="2055" max="2055" width="13.25" style="137" customWidth="1"/>
    <col min="2056" max="2056" width="17" style="137" customWidth="1"/>
    <col min="2057" max="2301" width="9.625" style="137"/>
    <col min="2302" max="2302" width="4.625" style="137" customWidth="1"/>
    <col min="2303" max="2303" width="1.875" style="137" customWidth="1"/>
    <col min="2304" max="2304" width="30.625" style="137" customWidth="1"/>
    <col min="2305" max="2305" width="28.625" style="137" customWidth="1"/>
    <col min="2306" max="2306" width="8.125" style="137" customWidth="1"/>
    <col min="2307" max="2307" width="7.5" style="137" customWidth="1"/>
    <col min="2308" max="2309" width="14.875" style="137" customWidth="1"/>
    <col min="2310" max="2310" width="6.625" style="137" customWidth="1"/>
    <col min="2311" max="2311" width="13.25" style="137" customWidth="1"/>
    <col min="2312" max="2312" width="17" style="137" customWidth="1"/>
    <col min="2313" max="2557" width="9.625" style="137"/>
    <col min="2558" max="2558" width="4.625" style="137" customWidth="1"/>
    <col min="2559" max="2559" width="1.875" style="137" customWidth="1"/>
    <col min="2560" max="2560" width="30.625" style="137" customWidth="1"/>
    <col min="2561" max="2561" width="28.625" style="137" customWidth="1"/>
    <col min="2562" max="2562" width="8.125" style="137" customWidth="1"/>
    <col min="2563" max="2563" width="7.5" style="137" customWidth="1"/>
    <col min="2564" max="2565" width="14.875" style="137" customWidth="1"/>
    <col min="2566" max="2566" width="6.625" style="137" customWidth="1"/>
    <col min="2567" max="2567" width="13.25" style="137" customWidth="1"/>
    <col min="2568" max="2568" width="17" style="137" customWidth="1"/>
    <col min="2569" max="2813" width="9.625" style="137"/>
    <col min="2814" max="2814" width="4.625" style="137" customWidth="1"/>
    <col min="2815" max="2815" width="1.875" style="137" customWidth="1"/>
    <col min="2816" max="2816" width="30.625" style="137" customWidth="1"/>
    <col min="2817" max="2817" width="28.625" style="137" customWidth="1"/>
    <col min="2818" max="2818" width="8.125" style="137" customWidth="1"/>
    <col min="2819" max="2819" width="7.5" style="137" customWidth="1"/>
    <col min="2820" max="2821" width="14.875" style="137" customWidth="1"/>
    <col min="2822" max="2822" width="6.625" style="137" customWidth="1"/>
    <col min="2823" max="2823" width="13.25" style="137" customWidth="1"/>
    <col min="2824" max="2824" width="17" style="137" customWidth="1"/>
    <col min="2825" max="3069" width="9.625" style="137"/>
    <col min="3070" max="3070" width="4.625" style="137" customWidth="1"/>
    <col min="3071" max="3071" width="1.875" style="137" customWidth="1"/>
    <col min="3072" max="3072" width="30.625" style="137" customWidth="1"/>
    <col min="3073" max="3073" width="28.625" style="137" customWidth="1"/>
    <col min="3074" max="3074" width="8.125" style="137" customWidth="1"/>
    <col min="3075" max="3075" width="7.5" style="137" customWidth="1"/>
    <col min="3076" max="3077" width="14.875" style="137" customWidth="1"/>
    <col min="3078" max="3078" width="6.625" style="137" customWidth="1"/>
    <col min="3079" max="3079" width="13.25" style="137" customWidth="1"/>
    <col min="3080" max="3080" width="17" style="137" customWidth="1"/>
    <col min="3081" max="3325" width="9.625" style="137"/>
    <col min="3326" max="3326" width="4.625" style="137" customWidth="1"/>
    <col min="3327" max="3327" width="1.875" style="137" customWidth="1"/>
    <col min="3328" max="3328" width="30.625" style="137" customWidth="1"/>
    <col min="3329" max="3329" width="28.625" style="137" customWidth="1"/>
    <col min="3330" max="3330" width="8.125" style="137" customWidth="1"/>
    <col min="3331" max="3331" width="7.5" style="137" customWidth="1"/>
    <col min="3332" max="3333" width="14.875" style="137" customWidth="1"/>
    <col min="3334" max="3334" width="6.625" style="137" customWidth="1"/>
    <col min="3335" max="3335" width="13.25" style="137" customWidth="1"/>
    <col min="3336" max="3336" width="17" style="137" customWidth="1"/>
    <col min="3337" max="3581" width="9.625" style="137"/>
    <col min="3582" max="3582" width="4.625" style="137" customWidth="1"/>
    <col min="3583" max="3583" width="1.875" style="137" customWidth="1"/>
    <col min="3584" max="3584" width="30.625" style="137" customWidth="1"/>
    <col min="3585" max="3585" width="28.625" style="137" customWidth="1"/>
    <col min="3586" max="3586" width="8.125" style="137" customWidth="1"/>
    <col min="3587" max="3587" width="7.5" style="137" customWidth="1"/>
    <col min="3588" max="3589" width="14.875" style="137" customWidth="1"/>
    <col min="3590" max="3590" width="6.625" style="137" customWidth="1"/>
    <col min="3591" max="3591" width="13.25" style="137" customWidth="1"/>
    <col min="3592" max="3592" width="17" style="137" customWidth="1"/>
    <col min="3593" max="3837" width="9.625" style="137"/>
    <col min="3838" max="3838" width="4.625" style="137" customWidth="1"/>
    <col min="3839" max="3839" width="1.875" style="137" customWidth="1"/>
    <col min="3840" max="3840" width="30.625" style="137" customWidth="1"/>
    <col min="3841" max="3841" width="28.625" style="137" customWidth="1"/>
    <col min="3842" max="3842" width="8.125" style="137" customWidth="1"/>
    <col min="3843" max="3843" width="7.5" style="137" customWidth="1"/>
    <col min="3844" max="3845" width="14.875" style="137" customWidth="1"/>
    <col min="3846" max="3846" width="6.625" style="137" customWidth="1"/>
    <col min="3847" max="3847" width="13.25" style="137" customWidth="1"/>
    <col min="3848" max="3848" width="17" style="137" customWidth="1"/>
    <col min="3849" max="4093" width="9.625" style="137"/>
    <col min="4094" max="4094" width="4.625" style="137" customWidth="1"/>
    <col min="4095" max="4095" width="1.875" style="137" customWidth="1"/>
    <col min="4096" max="4096" width="30.625" style="137" customWidth="1"/>
    <col min="4097" max="4097" width="28.625" style="137" customWidth="1"/>
    <col min="4098" max="4098" width="8.125" style="137" customWidth="1"/>
    <col min="4099" max="4099" width="7.5" style="137" customWidth="1"/>
    <col min="4100" max="4101" width="14.875" style="137" customWidth="1"/>
    <col min="4102" max="4102" width="6.625" style="137" customWidth="1"/>
    <col min="4103" max="4103" width="13.25" style="137" customWidth="1"/>
    <col min="4104" max="4104" width="17" style="137" customWidth="1"/>
    <col min="4105" max="4349" width="9.625" style="137"/>
    <col min="4350" max="4350" width="4.625" style="137" customWidth="1"/>
    <col min="4351" max="4351" width="1.875" style="137" customWidth="1"/>
    <col min="4352" max="4352" width="30.625" style="137" customWidth="1"/>
    <col min="4353" max="4353" width="28.625" style="137" customWidth="1"/>
    <col min="4354" max="4354" width="8.125" style="137" customWidth="1"/>
    <col min="4355" max="4355" width="7.5" style="137" customWidth="1"/>
    <col min="4356" max="4357" width="14.875" style="137" customWidth="1"/>
    <col min="4358" max="4358" width="6.625" style="137" customWidth="1"/>
    <col min="4359" max="4359" width="13.25" style="137" customWidth="1"/>
    <col min="4360" max="4360" width="17" style="137" customWidth="1"/>
    <col min="4361" max="4605" width="9.625" style="137"/>
    <col min="4606" max="4606" width="4.625" style="137" customWidth="1"/>
    <col min="4607" max="4607" width="1.875" style="137" customWidth="1"/>
    <col min="4608" max="4608" width="30.625" style="137" customWidth="1"/>
    <col min="4609" max="4609" width="28.625" style="137" customWidth="1"/>
    <col min="4610" max="4610" width="8.125" style="137" customWidth="1"/>
    <col min="4611" max="4611" width="7.5" style="137" customWidth="1"/>
    <col min="4612" max="4613" width="14.875" style="137" customWidth="1"/>
    <col min="4614" max="4614" width="6.625" style="137" customWidth="1"/>
    <col min="4615" max="4615" width="13.25" style="137" customWidth="1"/>
    <col min="4616" max="4616" width="17" style="137" customWidth="1"/>
    <col min="4617" max="4861" width="9.625" style="137"/>
    <col min="4862" max="4862" width="4.625" style="137" customWidth="1"/>
    <col min="4863" max="4863" width="1.875" style="137" customWidth="1"/>
    <col min="4864" max="4864" width="30.625" style="137" customWidth="1"/>
    <col min="4865" max="4865" width="28.625" style="137" customWidth="1"/>
    <col min="4866" max="4866" width="8.125" style="137" customWidth="1"/>
    <col min="4867" max="4867" width="7.5" style="137" customWidth="1"/>
    <col min="4868" max="4869" width="14.875" style="137" customWidth="1"/>
    <col min="4870" max="4870" width="6.625" style="137" customWidth="1"/>
    <col min="4871" max="4871" width="13.25" style="137" customWidth="1"/>
    <col min="4872" max="4872" width="17" style="137" customWidth="1"/>
    <col min="4873" max="5117" width="9.625" style="137"/>
    <col min="5118" max="5118" width="4.625" style="137" customWidth="1"/>
    <col min="5119" max="5119" width="1.875" style="137" customWidth="1"/>
    <col min="5120" max="5120" width="30.625" style="137" customWidth="1"/>
    <col min="5121" max="5121" width="28.625" style="137" customWidth="1"/>
    <col min="5122" max="5122" width="8.125" style="137" customWidth="1"/>
    <col min="5123" max="5123" width="7.5" style="137" customWidth="1"/>
    <col min="5124" max="5125" width="14.875" style="137" customWidth="1"/>
    <col min="5126" max="5126" width="6.625" style="137" customWidth="1"/>
    <col min="5127" max="5127" width="13.25" style="137" customWidth="1"/>
    <col min="5128" max="5128" width="17" style="137" customWidth="1"/>
    <col min="5129" max="5373" width="9.625" style="137"/>
    <col min="5374" max="5374" width="4.625" style="137" customWidth="1"/>
    <col min="5375" max="5375" width="1.875" style="137" customWidth="1"/>
    <col min="5376" max="5376" width="30.625" style="137" customWidth="1"/>
    <col min="5377" max="5377" width="28.625" style="137" customWidth="1"/>
    <col min="5378" max="5378" width="8.125" style="137" customWidth="1"/>
    <col min="5379" max="5379" width="7.5" style="137" customWidth="1"/>
    <col min="5380" max="5381" width="14.875" style="137" customWidth="1"/>
    <col min="5382" max="5382" width="6.625" style="137" customWidth="1"/>
    <col min="5383" max="5383" width="13.25" style="137" customWidth="1"/>
    <col min="5384" max="5384" width="17" style="137" customWidth="1"/>
    <col min="5385" max="5629" width="9.625" style="137"/>
    <col min="5630" max="5630" width="4.625" style="137" customWidth="1"/>
    <col min="5631" max="5631" width="1.875" style="137" customWidth="1"/>
    <col min="5632" max="5632" width="30.625" style="137" customWidth="1"/>
    <col min="5633" max="5633" width="28.625" style="137" customWidth="1"/>
    <col min="5634" max="5634" width="8.125" style="137" customWidth="1"/>
    <col min="5635" max="5635" width="7.5" style="137" customWidth="1"/>
    <col min="5636" max="5637" width="14.875" style="137" customWidth="1"/>
    <col min="5638" max="5638" width="6.625" style="137" customWidth="1"/>
    <col min="5639" max="5639" width="13.25" style="137" customWidth="1"/>
    <col min="5640" max="5640" width="17" style="137" customWidth="1"/>
    <col min="5641" max="5885" width="9.625" style="137"/>
    <col min="5886" max="5886" width="4.625" style="137" customWidth="1"/>
    <col min="5887" max="5887" width="1.875" style="137" customWidth="1"/>
    <col min="5888" max="5888" width="30.625" style="137" customWidth="1"/>
    <col min="5889" max="5889" width="28.625" style="137" customWidth="1"/>
    <col min="5890" max="5890" width="8.125" style="137" customWidth="1"/>
    <col min="5891" max="5891" width="7.5" style="137" customWidth="1"/>
    <col min="5892" max="5893" width="14.875" style="137" customWidth="1"/>
    <col min="5894" max="5894" width="6.625" style="137" customWidth="1"/>
    <col min="5895" max="5895" width="13.25" style="137" customWidth="1"/>
    <col min="5896" max="5896" width="17" style="137" customWidth="1"/>
    <col min="5897" max="6141" width="9.625" style="137"/>
    <col min="6142" max="6142" width="4.625" style="137" customWidth="1"/>
    <col min="6143" max="6143" width="1.875" style="137" customWidth="1"/>
    <col min="6144" max="6144" width="30.625" style="137" customWidth="1"/>
    <col min="6145" max="6145" width="28.625" style="137" customWidth="1"/>
    <col min="6146" max="6146" width="8.125" style="137" customWidth="1"/>
    <col min="6147" max="6147" width="7.5" style="137" customWidth="1"/>
    <col min="6148" max="6149" width="14.875" style="137" customWidth="1"/>
    <col min="6150" max="6150" width="6.625" style="137" customWidth="1"/>
    <col min="6151" max="6151" width="13.25" style="137" customWidth="1"/>
    <col min="6152" max="6152" width="17" style="137" customWidth="1"/>
    <col min="6153" max="6397" width="9.625" style="137"/>
    <col min="6398" max="6398" width="4.625" style="137" customWidth="1"/>
    <col min="6399" max="6399" width="1.875" style="137" customWidth="1"/>
    <col min="6400" max="6400" width="30.625" style="137" customWidth="1"/>
    <col min="6401" max="6401" width="28.625" style="137" customWidth="1"/>
    <col min="6402" max="6402" width="8.125" style="137" customWidth="1"/>
    <col min="6403" max="6403" width="7.5" style="137" customWidth="1"/>
    <col min="6404" max="6405" width="14.875" style="137" customWidth="1"/>
    <col min="6406" max="6406" width="6.625" style="137" customWidth="1"/>
    <col min="6407" max="6407" width="13.25" style="137" customWidth="1"/>
    <col min="6408" max="6408" width="17" style="137" customWidth="1"/>
    <col min="6409" max="6653" width="9.625" style="137"/>
    <col min="6654" max="6654" width="4.625" style="137" customWidth="1"/>
    <col min="6655" max="6655" width="1.875" style="137" customWidth="1"/>
    <col min="6656" max="6656" width="30.625" style="137" customWidth="1"/>
    <col min="6657" max="6657" width="28.625" style="137" customWidth="1"/>
    <col min="6658" max="6658" width="8.125" style="137" customWidth="1"/>
    <col min="6659" max="6659" width="7.5" style="137" customWidth="1"/>
    <col min="6660" max="6661" width="14.875" style="137" customWidth="1"/>
    <col min="6662" max="6662" width="6.625" style="137" customWidth="1"/>
    <col min="6663" max="6663" width="13.25" style="137" customWidth="1"/>
    <col min="6664" max="6664" width="17" style="137" customWidth="1"/>
    <col min="6665" max="6909" width="9.625" style="137"/>
    <col min="6910" max="6910" width="4.625" style="137" customWidth="1"/>
    <col min="6911" max="6911" width="1.875" style="137" customWidth="1"/>
    <col min="6912" max="6912" width="30.625" style="137" customWidth="1"/>
    <col min="6913" max="6913" width="28.625" style="137" customWidth="1"/>
    <col min="6914" max="6914" width="8.125" style="137" customWidth="1"/>
    <col min="6915" max="6915" width="7.5" style="137" customWidth="1"/>
    <col min="6916" max="6917" width="14.875" style="137" customWidth="1"/>
    <col min="6918" max="6918" width="6.625" style="137" customWidth="1"/>
    <col min="6919" max="6919" width="13.25" style="137" customWidth="1"/>
    <col min="6920" max="6920" width="17" style="137" customWidth="1"/>
    <col min="6921" max="7165" width="9.625" style="137"/>
    <col min="7166" max="7166" width="4.625" style="137" customWidth="1"/>
    <col min="7167" max="7167" width="1.875" style="137" customWidth="1"/>
    <col min="7168" max="7168" width="30.625" style="137" customWidth="1"/>
    <col min="7169" max="7169" width="28.625" style="137" customWidth="1"/>
    <col min="7170" max="7170" width="8.125" style="137" customWidth="1"/>
    <col min="7171" max="7171" width="7.5" style="137" customWidth="1"/>
    <col min="7172" max="7173" width="14.875" style="137" customWidth="1"/>
    <col min="7174" max="7174" width="6.625" style="137" customWidth="1"/>
    <col min="7175" max="7175" width="13.25" style="137" customWidth="1"/>
    <col min="7176" max="7176" width="17" style="137" customWidth="1"/>
    <col min="7177" max="7421" width="9.625" style="137"/>
    <col min="7422" max="7422" width="4.625" style="137" customWidth="1"/>
    <col min="7423" max="7423" width="1.875" style="137" customWidth="1"/>
    <col min="7424" max="7424" width="30.625" style="137" customWidth="1"/>
    <col min="7425" max="7425" width="28.625" style="137" customWidth="1"/>
    <col min="7426" max="7426" width="8.125" style="137" customWidth="1"/>
    <col min="7427" max="7427" width="7.5" style="137" customWidth="1"/>
    <col min="7428" max="7429" width="14.875" style="137" customWidth="1"/>
    <col min="7430" max="7430" width="6.625" style="137" customWidth="1"/>
    <col min="7431" max="7431" width="13.25" style="137" customWidth="1"/>
    <col min="7432" max="7432" width="17" style="137" customWidth="1"/>
    <col min="7433" max="7677" width="9.625" style="137"/>
    <col min="7678" max="7678" width="4.625" style="137" customWidth="1"/>
    <col min="7679" max="7679" width="1.875" style="137" customWidth="1"/>
    <col min="7680" max="7680" width="30.625" style="137" customWidth="1"/>
    <col min="7681" max="7681" width="28.625" style="137" customWidth="1"/>
    <col min="7682" max="7682" width="8.125" style="137" customWidth="1"/>
    <col min="7683" max="7683" width="7.5" style="137" customWidth="1"/>
    <col min="7684" max="7685" width="14.875" style="137" customWidth="1"/>
    <col min="7686" max="7686" width="6.625" style="137" customWidth="1"/>
    <col min="7687" max="7687" width="13.25" style="137" customWidth="1"/>
    <col min="7688" max="7688" width="17" style="137" customWidth="1"/>
    <col min="7689" max="7933" width="9.625" style="137"/>
    <col min="7934" max="7934" width="4.625" style="137" customWidth="1"/>
    <col min="7935" max="7935" width="1.875" style="137" customWidth="1"/>
    <col min="7936" max="7936" width="30.625" style="137" customWidth="1"/>
    <col min="7937" max="7937" width="28.625" style="137" customWidth="1"/>
    <col min="7938" max="7938" width="8.125" style="137" customWidth="1"/>
    <col min="7939" max="7939" width="7.5" style="137" customWidth="1"/>
    <col min="7940" max="7941" width="14.875" style="137" customWidth="1"/>
    <col min="7942" max="7942" width="6.625" style="137" customWidth="1"/>
    <col min="7943" max="7943" width="13.25" style="137" customWidth="1"/>
    <col min="7944" max="7944" width="17" style="137" customWidth="1"/>
    <col min="7945" max="8189" width="9.625" style="137"/>
    <col min="8190" max="8190" width="4.625" style="137" customWidth="1"/>
    <col min="8191" max="8191" width="1.875" style="137" customWidth="1"/>
    <col min="8192" max="8192" width="30.625" style="137" customWidth="1"/>
    <col min="8193" max="8193" width="28.625" style="137" customWidth="1"/>
    <col min="8194" max="8194" width="8.125" style="137" customWidth="1"/>
    <col min="8195" max="8195" width="7.5" style="137" customWidth="1"/>
    <col min="8196" max="8197" width="14.875" style="137" customWidth="1"/>
    <col min="8198" max="8198" width="6.625" style="137" customWidth="1"/>
    <col min="8199" max="8199" width="13.25" style="137" customWidth="1"/>
    <col min="8200" max="8200" width="17" style="137" customWidth="1"/>
    <col min="8201" max="8445" width="9.625" style="137"/>
    <col min="8446" max="8446" width="4.625" style="137" customWidth="1"/>
    <col min="8447" max="8447" width="1.875" style="137" customWidth="1"/>
    <col min="8448" max="8448" width="30.625" style="137" customWidth="1"/>
    <col min="8449" max="8449" width="28.625" style="137" customWidth="1"/>
    <col min="8450" max="8450" width="8.125" style="137" customWidth="1"/>
    <col min="8451" max="8451" width="7.5" style="137" customWidth="1"/>
    <col min="8452" max="8453" width="14.875" style="137" customWidth="1"/>
    <col min="8454" max="8454" width="6.625" style="137" customWidth="1"/>
    <col min="8455" max="8455" width="13.25" style="137" customWidth="1"/>
    <col min="8456" max="8456" width="17" style="137" customWidth="1"/>
    <col min="8457" max="8701" width="9.625" style="137"/>
    <col min="8702" max="8702" width="4.625" style="137" customWidth="1"/>
    <col min="8703" max="8703" width="1.875" style="137" customWidth="1"/>
    <col min="8704" max="8704" width="30.625" style="137" customWidth="1"/>
    <col min="8705" max="8705" width="28.625" style="137" customWidth="1"/>
    <col min="8706" max="8706" width="8.125" style="137" customWidth="1"/>
    <col min="8707" max="8707" width="7.5" style="137" customWidth="1"/>
    <col min="8708" max="8709" width="14.875" style="137" customWidth="1"/>
    <col min="8710" max="8710" width="6.625" style="137" customWidth="1"/>
    <col min="8711" max="8711" width="13.25" style="137" customWidth="1"/>
    <col min="8712" max="8712" width="17" style="137" customWidth="1"/>
    <col min="8713" max="8957" width="9.625" style="137"/>
    <col min="8958" max="8958" width="4.625" style="137" customWidth="1"/>
    <col min="8959" max="8959" width="1.875" style="137" customWidth="1"/>
    <col min="8960" max="8960" width="30.625" style="137" customWidth="1"/>
    <col min="8961" max="8961" width="28.625" style="137" customWidth="1"/>
    <col min="8962" max="8962" width="8.125" style="137" customWidth="1"/>
    <col min="8963" max="8963" width="7.5" style="137" customWidth="1"/>
    <col min="8964" max="8965" width="14.875" style="137" customWidth="1"/>
    <col min="8966" max="8966" width="6.625" style="137" customWidth="1"/>
    <col min="8967" max="8967" width="13.25" style="137" customWidth="1"/>
    <col min="8968" max="8968" width="17" style="137" customWidth="1"/>
    <col min="8969" max="9213" width="9.625" style="137"/>
    <col min="9214" max="9214" width="4.625" style="137" customWidth="1"/>
    <col min="9215" max="9215" width="1.875" style="137" customWidth="1"/>
    <col min="9216" max="9216" width="30.625" style="137" customWidth="1"/>
    <col min="9217" max="9217" width="28.625" style="137" customWidth="1"/>
    <col min="9218" max="9218" width="8.125" style="137" customWidth="1"/>
    <col min="9219" max="9219" width="7.5" style="137" customWidth="1"/>
    <col min="9220" max="9221" width="14.875" style="137" customWidth="1"/>
    <col min="9222" max="9222" width="6.625" style="137" customWidth="1"/>
    <col min="9223" max="9223" width="13.25" style="137" customWidth="1"/>
    <col min="9224" max="9224" width="17" style="137" customWidth="1"/>
    <col min="9225" max="9469" width="9.625" style="137"/>
    <col min="9470" max="9470" width="4.625" style="137" customWidth="1"/>
    <col min="9471" max="9471" width="1.875" style="137" customWidth="1"/>
    <col min="9472" max="9472" width="30.625" style="137" customWidth="1"/>
    <col min="9473" max="9473" width="28.625" style="137" customWidth="1"/>
    <col min="9474" max="9474" width="8.125" style="137" customWidth="1"/>
    <col min="9475" max="9475" width="7.5" style="137" customWidth="1"/>
    <col min="9476" max="9477" width="14.875" style="137" customWidth="1"/>
    <col min="9478" max="9478" width="6.625" style="137" customWidth="1"/>
    <col min="9479" max="9479" width="13.25" style="137" customWidth="1"/>
    <col min="9480" max="9480" width="17" style="137" customWidth="1"/>
    <col min="9481" max="9725" width="9.625" style="137"/>
    <col min="9726" max="9726" width="4.625" style="137" customWidth="1"/>
    <col min="9727" max="9727" width="1.875" style="137" customWidth="1"/>
    <col min="9728" max="9728" width="30.625" style="137" customWidth="1"/>
    <col min="9729" max="9729" width="28.625" style="137" customWidth="1"/>
    <col min="9730" max="9730" width="8.125" style="137" customWidth="1"/>
    <col min="9731" max="9731" width="7.5" style="137" customWidth="1"/>
    <col min="9732" max="9733" width="14.875" style="137" customWidth="1"/>
    <col min="9734" max="9734" width="6.625" style="137" customWidth="1"/>
    <col min="9735" max="9735" width="13.25" style="137" customWidth="1"/>
    <col min="9736" max="9736" width="17" style="137" customWidth="1"/>
    <col min="9737" max="9981" width="9.625" style="137"/>
    <col min="9982" max="9982" width="4.625" style="137" customWidth="1"/>
    <col min="9983" max="9983" width="1.875" style="137" customWidth="1"/>
    <col min="9984" max="9984" width="30.625" style="137" customWidth="1"/>
    <col min="9985" max="9985" width="28.625" style="137" customWidth="1"/>
    <col min="9986" max="9986" width="8.125" style="137" customWidth="1"/>
    <col min="9987" max="9987" width="7.5" style="137" customWidth="1"/>
    <col min="9988" max="9989" width="14.875" style="137" customWidth="1"/>
    <col min="9990" max="9990" width="6.625" style="137" customWidth="1"/>
    <col min="9991" max="9991" width="13.25" style="137" customWidth="1"/>
    <col min="9992" max="9992" width="17" style="137" customWidth="1"/>
    <col min="9993" max="10237" width="9.625" style="137"/>
    <col min="10238" max="10238" width="4.625" style="137" customWidth="1"/>
    <col min="10239" max="10239" width="1.875" style="137" customWidth="1"/>
    <col min="10240" max="10240" width="30.625" style="137" customWidth="1"/>
    <col min="10241" max="10241" width="28.625" style="137" customWidth="1"/>
    <col min="10242" max="10242" width="8.125" style="137" customWidth="1"/>
    <col min="10243" max="10243" width="7.5" style="137" customWidth="1"/>
    <col min="10244" max="10245" width="14.875" style="137" customWidth="1"/>
    <col min="10246" max="10246" width="6.625" style="137" customWidth="1"/>
    <col min="10247" max="10247" width="13.25" style="137" customWidth="1"/>
    <col min="10248" max="10248" width="17" style="137" customWidth="1"/>
    <col min="10249" max="10493" width="9.625" style="137"/>
    <col min="10494" max="10494" width="4.625" style="137" customWidth="1"/>
    <col min="10495" max="10495" width="1.875" style="137" customWidth="1"/>
    <col min="10496" max="10496" width="30.625" style="137" customWidth="1"/>
    <col min="10497" max="10497" width="28.625" style="137" customWidth="1"/>
    <col min="10498" max="10498" width="8.125" style="137" customWidth="1"/>
    <col min="10499" max="10499" width="7.5" style="137" customWidth="1"/>
    <col min="10500" max="10501" width="14.875" style="137" customWidth="1"/>
    <col min="10502" max="10502" width="6.625" style="137" customWidth="1"/>
    <col min="10503" max="10503" width="13.25" style="137" customWidth="1"/>
    <col min="10504" max="10504" width="17" style="137" customWidth="1"/>
    <col min="10505" max="10749" width="9.625" style="137"/>
    <col min="10750" max="10750" width="4.625" style="137" customWidth="1"/>
    <col min="10751" max="10751" width="1.875" style="137" customWidth="1"/>
    <col min="10752" max="10752" width="30.625" style="137" customWidth="1"/>
    <col min="10753" max="10753" width="28.625" style="137" customWidth="1"/>
    <col min="10754" max="10754" width="8.125" style="137" customWidth="1"/>
    <col min="10755" max="10755" width="7.5" style="137" customWidth="1"/>
    <col min="10756" max="10757" width="14.875" style="137" customWidth="1"/>
    <col min="10758" max="10758" width="6.625" style="137" customWidth="1"/>
    <col min="10759" max="10759" width="13.25" style="137" customWidth="1"/>
    <col min="10760" max="10760" width="17" style="137" customWidth="1"/>
    <col min="10761" max="11005" width="9.625" style="137"/>
    <col min="11006" max="11006" width="4.625" style="137" customWidth="1"/>
    <col min="11007" max="11007" width="1.875" style="137" customWidth="1"/>
    <col min="11008" max="11008" width="30.625" style="137" customWidth="1"/>
    <col min="11009" max="11009" width="28.625" style="137" customWidth="1"/>
    <col min="11010" max="11010" width="8.125" style="137" customWidth="1"/>
    <col min="11011" max="11011" width="7.5" style="137" customWidth="1"/>
    <col min="11012" max="11013" width="14.875" style="137" customWidth="1"/>
    <col min="11014" max="11014" width="6.625" style="137" customWidth="1"/>
    <col min="11015" max="11015" width="13.25" style="137" customWidth="1"/>
    <col min="11016" max="11016" width="17" style="137" customWidth="1"/>
    <col min="11017" max="11261" width="9.625" style="137"/>
    <col min="11262" max="11262" width="4.625" style="137" customWidth="1"/>
    <col min="11263" max="11263" width="1.875" style="137" customWidth="1"/>
    <col min="11264" max="11264" width="30.625" style="137" customWidth="1"/>
    <col min="11265" max="11265" width="28.625" style="137" customWidth="1"/>
    <col min="11266" max="11266" width="8.125" style="137" customWidth="1"/>
    <col min="11267" max="11267" width="7.5" style="137" customWidth="1"/>
    <col min="11268" max="11269" width="14.875" style="137" customWidth="1"/>
    <col min="11270" max="11270" width="6.625" style="137" customWidth="1"/>
    <col min="11271" max="11271" width="13.25" style="137" customWidth="1"/>
    <col min="11272" max="11272" width="17" style="137" customWidth="1"/>
    <col min="11273" max="11517" width="9.625" style="137"/>
    <col min="11518" max="11518" width="4.625" style="137" customWidth="1"/>
    <col min="11519" max="11519" width="1.875" style="137" customWidth="1"/>
    <col min="11520" max="11520" width="30.625" style="137" customWidth="1"/>
    <col min="11521" max="11521" width="28.625" style="137" customWidth="1"/>
    <col min="11522" max="11522" width="8.125" style="137" customWidth="1"/>
    <col min="11523" max="11523" width="7.5" style="137" customWidth="1"/>
    <col min="11524" max="11525" width="14.875" style="137" customWidth="1"/>
    <col min="11526" max="11526" width="6.625" style="137" customWidth="1"/>
    <col min="11527" max="11527" width="13.25" style="137" customWidth="1"/>
    <col min="11528" max="11528" width="17" style="137" customWidth="1"/>
    <col min="11529" max="11773" width="9.625" style="137"/>
    <col min="11774" max="11774" width="4.625" style="137" customWidth="1"/>
    <col min="11775" max="11775" width="1.875" style="137" customWidth="1"/>
    <col min="11776" max="11776" width="30.625" style="137" customWidth="1"/>
    <col min="11777" max="11777" width="28.625" style="137" customWidth="1"/>
    <col min="11778" max="11778" width="8.125" style="137" customWidth="1"/>
    <col min="11779" max="11779" width="7.5" style="137" customWidth="1"/>
    <col min="11780" max="11781" width="14.875" style="137" customWidth="1"/>
    <col min="11782" max="11782" width="6.625" style="137" customWidth="1"/>
    <col min="11783" max="11783" width="13.25" style="137" customWidth="1"/>
    <col min="11784" max="11784" width="17" style="137" customWidth="1"/>
    <col min="11785" max="12029" width="9.625" style="137"/>
    <col min="12030" max="12030" width="4.625" style="137" customWidth="1"/>
    <col min="12031" max="12031" width="1.875" style="137" customWidth="1"/>
    <col min="12032" max="12032" width="30.625" style="137" customWidth="1"/>
    <col min="12033" max="12033" width="28.625" style="137" customWidth="1"/>
    <col min="12034" max="12034" width="8.125" style="137" customWidth="1"/>
    <col min="12035" max="12035" width="7.5" style="137" customWidth="1"/>
    <col min="12036" max="12037" width="14.875" style="137" customWidth="1"/>
    <col min="12038" max="12038" width="6.625" style="137" customWidth="1"/>
    <col min="12039" max="12039" width="13.25" style="137" customWidth="1"/>
    <col min="12040" max="12040" width="17" style="137" customWidth="1"/>
    <col min="12041" max="12285" width="9.625" style="137"/>
    <col min="12286" max="12286" width="4.625" style="137" customWidth="1"/>
    <col min="12287" max="12287" width="1.875" style="137" customWidth="1"/>
    <col min="12288" max="12288" width="30.625" style="137" customWidth="1"/>
    <col min="12289" max="12289" width="28.625" style="137" customWidth="1"/>
    <col min="12290" max="12290" width="8.125" style="137" customWidth="1"/>
    <col min="12291" max="12291" width="7.5" style="137" customWidth="1"/>
    <col min="12292" max="12293" width="14.875" style="137" customWidth="1"/>
    <col min="12294" max="12294" width="6.625" style="137" customWidth="1"/>
    <col min="12295" max="12295" width="13.25" style="137" customWidth="1"/>
    <col min="12296" max="12296" width="17" style="137" customWidth="1"/>
    <col min="12297" max="12541" width="9.625" style="137"/>
    <col min="12542" max="12542" width="4.625" style="137" customWidth="1"/>
    <col min="12543" max="12543" width="1.875" style="137" customWidth="1"/>
    <col min="12544" max="12544" width="30.625" style="137" customWidth="1"/>
    <col min="12545" max="12545" width="28.625" style="137" customWidth="1"/>
    <col min="12546" max="12546" width="8.125" style="137" customWidth="1"/>
    <col min="12547" max="12547" width="7.5" style="137" customWidth="1"/>
    <col min="12548" max="12549" width="14.875" style="137" customWidth="1"/>
    <col min="12550" max="12550" width="6.625" style="137" customWidth="1"/>
    <col min="12551" max="12551" width="13.25" style="137" customWidth="1"/>
    <col min="12552" max="12552" width="17" style="137" customWidth="1"/>
    <col min="12553" max="12797" width="9.625" style="137"/>
    <col min="12798" max="12798" width="4.625" style="137" customWidth="1"/>
    <col min="12799" max="12799" width="1.875" style="137" customWidth="1"/>
    <col min="12800" max="12800" width="30.625" style="137" customWidth="1"/>
    <col min="12801" max="12801" width="28.625" style="137" customWidth="1"/>
    <col min="12802" max="12802" width="8.125" style="137" customWidth="1"/>
    <col min="12803" max="12803" width="7.5" style="137" customWidth="1"/>
    <col min="12804" max="12805" width="14.875" style="137" customWidth="1"/>
    <col min="12806" max="12806" width="6.625" style="137" customWidth="1"/>
    <col min="12807" max="12807" width="13.25" style="137" customWidth="1"/>
    <col min="12808" max="12808" width="17" style="137" customWidth="1"/>
    <col min="12809" max="13053" width="9.625" style="137"/>
    <col min="13054" max="13054" width="4.625" style="137" customWidth="1"/>
    <col min="13055" max="13055" width="1.875" style="137" customWidth="1"/>
    <col min="13056" max="13056" width="30.625" style="137" customWidth="1"/>
    <col min="13057" max="13057" width="28.625" style="137" customWidth="1"/>
    <col min="13058" max="13058" width="8.125" style="137" customWidth="1"/>
    <col min="13059" max="13059" width="7.5" style="137" customWidth="1"/>
    <col min="13060" max="13061" width="14.875" style="137" customWidth="1"/>
    <col min="13062" max="13062" width="6.625" style="137" customWidth="1"/>
    <col min="13063" max="13063" width="13.25" style="137" customWidth="1"/>
    <col min="13064" max="13064" width="17" style="137" customWidth="1"/>
    <col min="13065" max="13309" width="9.625" style="137"/>
    <col min="13310" max="13310" width="4.625" style="137" customWidth="1"/>
    <col min="13311" max="13311" width="1.875" style="137" customWidth="1"/>
    <col min="13312" max="13312" width="30.625" style="137" customWidth="1"/>
    <col min="13313" max="13313" width="28.625" style="137" customWidth="1"/>
    <col min="13314" max="13314" width="8.125" style="137" customWidth="1"/>
    <col min="13315" max="13315" width="7.5" style="137" customWidth="1"/>
    <col min="13316" max="13317" width="14.875" style="137" customWidth="1"/>
    <col min="13318" max="13318" width="6.625" style="137" customWidth="1"/>
    <col min="13319" max="13319" width="13.25" style="137" customWidth="1"/>
    <col min="13320" max="13320" width="17" style="137" customWidth="1"/>
    <col min="13321" max="13565" width="9.625" style="137"/>
    <col min="13566" max="13566" width="4.625" style="137" customWidth="1"/>
    <col min="13567" max="13567" width="1.875" style="137" customWidth="1"/>
    <col min="13568" max="13568" width="30.625" style="137" customWidth="1"/>
    <col min="13569" max="13569" width="28.625" style="137" customWidth="1"/>
    <col min="13570" max="13570" width="8.125" style="137" customWidth="1"/>
    <col min="13571" max="13571" width="7.5" style="137" customWidth="1"/>
    <col min="13572" max="13573" width="14.875" style="137" customWidth="1"/>
    <col min="13574" max="13574" width="6.625" style="137" customWidth="1"/>
    <col min="13575" max="13575" width="13.25" style="137" customWidth="1"/>
    <col min="13576" max="13576" width="17" style="137" customWidth="1"/>
    <col min="13577" max="13821" width="9.625" style="137"/>
    <col min="13822" max="13822" width="4.625" style="137" customWidth="1"/>
    <col min="13823" max="13823" width="1.875" style="137" customWidth="1"/>
    <col min="13824" max="13824" width="30.625" style="137" customWidth="1"/>
    <col min="13825" max="13825" width="28.625" style="137" customWidth="1"/>
    <col min="13826" max="13826" width="8.125" style="137" customWidth="1"/>
    <col min="13827" max="13827" width="7.5" style="137" customWidth="1"/>
    <col min="13828" max="13829" width="14.875" style="137" customWidth="1"/>
    <col min="13830" max="13830" width="6.625" style="137" customWidth="1"/>
    <col min="13831" max="13831" width="13.25" style="137" customWidth="1"/>
    <col min="13832" max="13832" width="17" style="137" customWidth="1"/>
    <col min="13833" max="14077" width="9.625" style="137"/>
    <col min="14078" max="14078" width="4.625" style="137" customWidth="1"/>
    <col min="14079" max="14079" width="1.875" style="137" customWidth="1"/>
    <col min="14080" max="14080" width="30.625" style="137" customWidth="1"/>
    <col min="14081" max="14081" width="28.625" style="137" customWidth="1"/>
    <col min="14082" max="14082" width="8.125" style="137" customWidth="1"/>
    <col min="14083" max="14083" width="7.5" style="137" customWidth="1"/>
    <col min="14084" max="14085" width="14.875" style="137" customWidth="1"/>
    <col min="14086" max="14086" width="6.625" style="137" customWidth="1"/>
    <col min="14087" max="14087" width="13.25" style="137" customWidth="1"/>
    <col min="14088" max="14088" width="17" style="137" customWidth="1"/>
    <col min="14089" max="14333" width="9.625" style="137"/>
    <col min="14334" max="14334" width="4.625" style="137" customWidth="1"/>
    <col min="14335" max="14335" width="1.875" style="137" customWidth="1"/>
    <col min="14336" max="14336" width="30.625" style="137" customWidth="1"/>
    <col min="14337" max="14337" width="28.625" style="137" customWidth="1"/>
    <col min="14338" max="14338" width="8.125" style="137" customWidth="1"/>
    <col min="14339" max="14339" width="7.5" style="137" customWidth="1"/>
    <col min="14340" max="14341" width="14.875" style="137" customWidth="1"/>
    <col min="14342" max="14342" width="6.625" style="137" customWidth="1"/>
    <col min="14343" max="14343" width="13.25" style="137" customWidth="1"/>
    <col min="14344" max="14344" width="17" style="137" customWidth="1"/>
    <col min="14345" max="14589" width="9.625" style="137"/>
    <col min="14590" max="14590" width="4.625" style="137" customWidth="1"/>
    <col min="14591" max="14591" width="1.875" style="137" customWidth="1"/>
    <col min="14592" max="14592" width="30.625" style="137" customWidth="1"/>
    <col min="14593" max="14593" width="28.625" style="137" customWidth="1"/>
    <col min="14594" max="14594" width="8.125" style="137" customWidth="1"/>
    <col min="14595" max="14595" width="7.5" style="137" customWidth="1"/>
    <col min="14596" max="14597" width="14.875" style="137" customWidth="1"/>
    <col min="14598" max="14598" width="6.625" style="137" customWidth="1"/>
    <col min="14599" max="14599" width="13.25" style="137" customWidth="1"/>
    <col min="14600" max="14600" width="17" style="137" customWidth="1"/>
    <col min="14601" max="14845" width="9.625" style="137"/>
    <col min="14846" max="14846" width="4.625" style="137" customWidth="1"/>
    <col min="14847" max="14847" width="1.875" style="137" customWidth="1"/>
    <col min="14848" max="14848" width="30.625" style="137" customWidth="1"/>
    <col min="14849" max="14849" width="28.625" style="137" customWidth="1"/>
    <col min="14850" max="14850" width="8.125" style="137" customWidth="1"/>
    <col min="14851" max="14851" width="7.5" style="137" customWidth="1"/>
    <col min="14852" max="14853" width="14.875" style="137" customWidth="1"/>
    <col min="14854" max="14854" width="6.625" style="137" customWidth="1"/>
    <col min="14855" max="14855" width="13.25" style="137" customWidth="1"/>
    <col min="14856" max="14856" width="17" style="137" customWidth="1"/>
    <col min="14857" max="15101" width="9.625" style="137"/>
    <col min="15102" max="15102" width="4.625" style="137" customWidth="1"/>
    <col min="15103" max="15103" width="1.875" style="137" customWidth="1"/>
    <col min="15104" max="15104" width="30.625" style="137" customWidth="1"/>
    <col min="15105" max="15105" width="28.625" style="137" customWidth="1"/>
    <col min="15106" max="15106" width="8.125" style="137" customWidth="1"/>
    <col min="15107" max="15107" width="7.5" style="137" customWidth="1"/>
    <col min="15108" max="15109" width="14.875" style="137" customWidth="1"/>
    <col min="15110" max="15110" width="6.625" style="137" customWidth="1"/>
    <col min="15111" max="15111" width="13.25" style="137" customWidth="1"/>
    <col min="15112" max="15112" width="17" style="137" customWidth="1"/>
    <col min="15113" max="15357" width="9.625" style="137"/>
    <col min="15358" max="15358" width="4.625" style="137" customWidth="1"/>
    <col min="15359" max="15359" width="1.875" style="137" customWidth="1"/>
    <col min="15360" max="15360" width="30.625" style="137" customWidth="1"/>
    <col min="15361" max="15361" width="28.625" style="137" customWidth="1"/>
    <col min="15362" max="15362" width="8.125" style="137" customWidth="1"/>
    <col min="15363" max="15363" width="7.5" style="137" customWidth="1"/>
    <col min="15364" max="15365" width="14.875" style="137" customWidth="1"/>
    <col min="15366" max="15366" width="6.625" style="137" customWidth="1"/>
    <col min="15367" max="15367" width="13.25" style="137" customWidth="1"/>
    <col min="15368" max="15368" width="17" style="137" customWidth="1"/>
    <col min="15369" max="15613" width="9.625" style="137"/>
    <col min="15614" max="15614" width="4.625" style="137" customWidth="1"/>
    <col min="15615" max="15615" width="1.875" style="137" customWidth="1"/>
    <col min="15616" max="15616" width="30.625" style="137" customWidth="1"/>
    <col min="15617" max="15617" width="28.625" style="137" customWidth="1"/>
    <col min="15618" max="15618" width="8.125" style="137" customWidth="1"/>
    <col min="15619" max="15619" width="7.5" style="137" customWidth="1"/>
    <col min="15620" max="15621" width="14.875" style="137" customWidth="1"/>
    <col min="15622" max="15622" width="6.625" style="137" customWidth="1"/>
    <col min="15623" max="15623" width="13.25" style="137" customWidth="1"/>
    <col min="15624" max="15624" width="17" style="137" customWidth="1"/>
    <col min="15625" max="15869" width="9.625" style="137"/>
    <col min="15870" max="15870" width="4.625" style="137" customWidth="1"/>
    <col min="15871" max="15871" width="1.875" style="137" customWidth="1"/>
    <col min="15872" max="15872" width="30.625" style="137" customWidth="1"/>
    <col min="15873" max="15873" width="28.625" style="137" customWidth="1"/>
    <col min="15874" max="15874" width="8.125" style="137" customWidth="1"/>
    <col min="15875" max="15875" width="7.5" style="137" customWidth="1"/>
    <col min="15876" max="15877" width="14.875" style="137" customWidth="1"/>
    <col min="15878" max="15878" width="6.625" style="137" customWidth="1"/>
    <col min="15879" max="15879" width="13.25" style="137" customWidth="1"/>
    <col min="15880" max="15880" width="17" style="137" customWidth="1"/>
    <col min="15881" max="16125" width="9.625" style="137"/>
    <col min="16126" max="16126" width="4.625" style="137" customWidth="1"/>
    <col min="16127" max="16127" width="1.875" style="137" customWidth="1"/>
    <col min="16128" max="16128" width="30.625" style="137" customWidth="1"/>
    <col min="16129" max="16129" width="28.625" style="137" customWidth="1"/>
    <col min="16130" max="16130" width="8.125" style="137" customWidth="1"/>
    <col min="16131" max="16131" width="7.5" style="137" customWidth="1"/>
    <col min="16132" max="16133" width="14.875" style="137" customWidth="1"/>
    <col min="16134" max="16134" width="6.625" style="137" customWidth="1"/>
    <col min="16135" max="16135" width="13.25" style="137" customWidth="1"/>
    <col min="16136" max="16136" width="17" style="137" customWidth="1"/>
    <col min="16137" max="16384" width="9.625" style="137"/>
  </cols>
  <sheetData>
    <row r="2" spans="1:11">
      <c r="K2" s="4" t="s">
        <v>0</v>
      </c>
    </row>
    <row r="3" spans="1:11">
      <c r="K3" s="5" t="s">
        <v>264</v>
      </c>
    </row>
    <row r="5" spans="1:11" ht="45">
      <c r="A5" s="225" t="s">
        <v>1</v>
      </c>
      <c r="B5" s="225"/>
      <c r="C5" s="225"/>
      <c r="D5" s="225"/>
      <c r="E5" s="225"/>
      <c r="F5" s="225"/>
      <c r="G5" s="225"/>
      <c r="H5" s="225"/>
      <c r="I5" s="225"/>
      <c r="J5" s="225"/>
      <c r="K5" s="225"/>
    </row>
    <row r="8" spans="1:11" s="6" customFormat="1" ht="33">
      <c r="A8" s="226" t="s">
        <v>259</v>
      </c>
      <c r="B8" s="226"/>
      <c r="C8" s="226"/>
      <c r="D8" s="226"/>
      <c r="E8" s="226"/>
      <c r="F8" s="226"/>
      <c r="G8" s="226"/>
      <c r="H8" s="226"/>
      <c r="I8" s="226"/>
      <c r="J8" s="226"/>
      <c r="K8" s="226"/>
    </row>
    <row r="9" spans="1:11" s="6" customFormat="1" ht="33">
      <c r="A9" s="226" t="s">
        <v>260</v>
      </c>
      <c r="B9" s="226"/>
      <c r="C9" s="226"/>
      <c r="D9" s="226"/>
      <c r="E9" s="226"/>
      <c r="F9" s="226"/>
      <c r="G9" s="226"/>
      <c r="H9" s="226"/>
      <c r="I9" s="226"/>
      <c r="J9" s="226"/>
      <c r="K9" s="226"/>
    </row>
    <row r="20" spans="1:11" ht="12.75" thickBot="1">
      <c r="A20" s="227" t="s">
        <v>228</v>
      </c>
      <c r="B20" s="227"/>
      <c r="C20" s="227"/>
      <c r="D20" s="134" t="s">
        <v>272</v>
      </c>
      <c r="E20" s="7"/>
      <c r="F20" s="7"/>
      <c r="G20" s="7"/>
      <c r="H20" s="7"/>
      <c r="I20" s="7"/>
      <c r="J20" s="7"/>
      <c r="K20" s="7"/>
    </row>
    <row r="21" spans="1:11" ht="12.75" thickBot="1">
      <c r="C21" s="159" t="s">
        <v>229</v>
      </c>
      <c r="D21" s="133" t="s">
        <v>292</v>
      </c>
    </row>
    <row r="22" spans="1:11" ht="12.75" thickBot="1">
      <c r="C22" s="159" t="s">
        <v>230</v>
      </c>
      <c r="D22" s="133"/>
    </row>
    <row r="23" spans="1:11" ht="12.75" thickBot="1">
      <c r="C23" s="159" t="s">
        <v>231</v>
      </c>
      <c r="D23" s="133"/>
    </row>
    <row r="31" spans="1:11">
      <c r="C31" s="137" t="s">
        <v>2</v>
      </c>
    </row>
    <row r="36" spans="1:11" ht="30">
      <c r="A36" s="228" t="s">
        <v>237</v>
      </c>
      <c r="B36" s="228"/>
      <c r="C36" s="228"/>
      <c r="D36" s="228"/>
      <c r="E36" s="228"/>
      <c r="F36" s="228"/>
      <c r="G36" s="228"/>
      <c r="H36" s="228"/>
      <c r="I36" s="228"/>
      <c r="J36" s="228"/>
      <c r="K36" s="228"/>
    </row>
    <row r="39" spans="1:11">
      <c r="A39" s="8"/>
      <c r="C39" s="9"/>
      <c r="E39" s="8"/>
      <c r="F39" s="10"/>
      <c r="G39" s="11"/>
      <c r="H39" s="12"/>
      <c r="I39" s="10"/>
      <c r="J39" s="11"/>
      <c r="K39" s="12"/>
    </row>
    <row r="40" spans="1:11">
      <c r="A40" s="13"/>
      <c r="G40" s="14"/>
      <c r="K40" s="15" t="s">
        <v>3</v>
      </c>
    </row>
    <row r="41" spans="1:11">
      <c r="A41" s="224" t="s">
        <v>4</v>
      </c>
      <c r="B41" s="224"/>
      <c r="C41" s="224"/>
      <c r="D41" s="224"/>
      <c r="E41" s="224"/>
      <c r="F41" s="224"/>
      <c r="G41" s="224"/>
      <c r="H41" s="224"/>
      <c r="I41" s="224"/>
      <c r="J41" s="224"/>
      <c r="K41" s="224"/>
    </row>
    <row r="42" spans="1:11">
      <c r="A42" s="16" t="s">
        <v>5</v>
      </c>
      <c r="C42" s="137" t="str">
        <f>$D$20</f>
        <v>University of Colorado</v>
      </c>
      <c r="G42" s="14"/>
      <c r="I42" s="17"/>
      <c r="J42" s="14"/>
      <c r="K42" s="18" t="str">
        <f>$K$3</f>
        <v>Date: October 09, 2017</v>
      </c>
    </row>
    <row r="43" spans="1:11">
      <c r="A43" s="19" t="s">
        <v>6</v>
      </c>
      <c r="B43" s="19" t="s">
        <v>6</v>
      </c>
      <c r="C43" s="19" t="s">
        <v>6</v>
      </c>
      <c r="D43" s="19" t="s">
        <v>6</v>
      </c>
      <c r="E43" s="19" t="s">
        <v>6</v>
      </c>
      <c r="F43" s="19" t="s">
        <v>6</v>
      </c>
      <c r="G43" s="20" t="s">
        <v>6</v>
      </c>
      <c r="H43" s="21" t="s">
        <v>6</v>
      </c>
      <c r="I43" s="19" t="s">
        <v>6</v>
      </c>
      <c r="J43" s="20" t="s">
        <v>6</v>
      </c>
      <c r="K43" s="21" t="s">
        <v>6</v>
      </c>
    </row>
    <row r="44" spans="1:11">
      <c r="A44" s="22" t="s">
        <v>7</v>
      </c>
      <c r="C44" s="9" t="s">
        <v>8</v>
      </c>
      <c r="E44" s="22" t="s">
        <v>7</v>
      </c>
      <c r="F44" s="23"/>
      <c r="G44" s="24"/>
      <c r="H44" s="25" t="s">
        <v>257</v>
      </c>
      <c r="I44" s="23"/>
      <c r="J44" s="24"/>
      <c r="K44" s="25" t="s">
        <v>261</v>
      </c>
    </row>
    <row r="45" spans="1:11">
      <c r="A45" s="22" t="s">
        <v>9</v>
      </c>
      <c r="C45" s="26" t="s">
        <v>10</v>
      </c>
      <c r="E45" s="22" t="s">
        <v>9</v>
      </c>
      <c r="F45" s="23"/>
      <c r="G45" s="24" t="s">
        <v>11</v>
      </c>
      <c r="H45" s="25" t="s">
        <v>12</v>
      </c>
      <c r="I45" s="23"/>
      <c r="J45" s="24" t="s">
        <v>11</v>
      </c>
      <c r="K45" s="25" t="s">
        <v>13</v>
      </c>
    </row>
    <row r="46" spans="1:11">
      <c r="A46" s="19" t="s">
        <v>6</v>
      </c>
      <c r="B46" s="19" t="s">
        <v>6</v>
      </c>
      <c r="C46" s="19" t="s">
        <v>6</v>
      </c>
      <c r="D46" s="19" t="s">
        <v>6</v>
      </c>
      <c r="E46" s="19" t="s">
        <v>6</v>
      </c>
      <c r="F46" s="19" t="s">
        <v>6</v>
      </c>
      <c r="G46" s="20" t="s">
        <v>6</v>
      </c>
      <c r="H46" s="21" t="s">
        <v>6</v>
      </c>
      <c r="I46" s="19" t="s">
        <v>6</v>
      </c>
      <c r="J46" s="20" t="s">
        <v>6</v>
      </c>
      <c r="K46" s="21" t="s">
        <v>6</v>
      </c>
    </row>
    <row r="47" spans="1:11">
      <c r="A47" s="8">
        <v>1</v>
      </c>
      <c r="C47" s="9" t="s">
        <v>14</v>
      </c>
      <c r="D47" s="27" t="s">
        <v>15</v>
      </c>
      <c r="E47" s="8">
        <v>1</v>
      </c>
      <c r="G47" s="92">
        <v>0</v>
      </c>
      <c r="H47" s="92">
        <v>0</v>
      </c>
      <c r="I47" s="30"/>
      <c r="J47" s="92">
        <v>0</v>
      </c>
      <c r="K47" s="92">
        <v>0</v>
      </c>
    </row>
    <row r="48" spans="1:11">
      <c r="A48" s="8">
        <v>2</v>
      </c>
      <c r="C48" s="9" t="s">
        <v>16</v>
      </c>
      <c r="D48" s="27" t="s">
        <v>17</v>
      </c>
      <c r="E48" s="8">
        <v>2</v>
      </c>
      <c r="G48" s="92">
        <v>0</v>
      </c>
      <c r="H48" s="92">
        <v>0</v>
      </c>
      <c r="I48" s="30"/>
      <c r="J48" s="92">
        <v>0</v>
      </c>
      <c r="K48" s="92">
        <v>0</v>
      </c>
    </row>
    <row r="49" spans="1:12">
      <c r="A49" s="8">
        <v>3</v>
      </c>
      <c r="C49" s="9" t="s">
        <v>18</v>
      </c>
      <c r="D49" s="27" t="s">
        <v>19</v>
      </c>
      <c r="E49" s="8">
        <v>3</v>
      </c>
      <c r="G49" s="92">
        <v>0</v>
      </c>
      <c r="H49" s="92">
        <v>0</v>
      </c>
      <c r="I49" s="30"/>
      <c r="J49" s="92">
        <v>0</v>
      </c>
      <c r="K49" s="92">
        <v>0</v>
      </c>
    </row>
    <row r="50" spans="1:12">
      <c r="A50" s="8">
        <v>4</v>
      </c>
      <c r="C50" s="9" t="s">
        <v>20</v>
      </c>
      <c r="D50" s="27" t="s">
        <v>21</v>
      </c>
      <c r="E50" s="8">
        <v>4</v>
      </c>
      <c r="G50" s="92">
        <v>0</v>
      </c>
      <c r="H50" s="92">
        <v>0</v>
      </c>
      <c r="I50" s="30"/>
      <c r="J50" s="92">
        <v>0</v>
      </c>
      <c r="K50" s="92">
        <v>0</v>
      </c>
    </row>
    <row r="51" spans="1:12">
      <c r="A51" s="8">
        <v>5</v>
      </c>
      <c r="C51" s="9" t="s">
        <v>22</v>
      </c>
      <c r="D51" s="27" t="s">
        <v>23</v>
      </c>
      <c r="E51" s="8">
        <v>5</v>
      </c>
      <c r="G51" s="92">
        <v>0</v>
      </c>
      <c r="H51" s="92">
        <v>0</v>
      </c>
      <c r="I51" s="30"/>
      <c r="J51" s="92">
        <v>0</v>
      </c>
      <c r="K51" s="92">
        <v>0</v>
      </c>
    </row>
    <row r="52" spans="1:12">
      <c r="A52" s="8">
        <v>6</v>
      </c>
      <c r="C52" s="9" t="s">
        <v>24</v>
      </c>
      <c r="D52" s="27" t="s">
        <v>25</v>
      </c>
      <c r="E52" s="8">
        <v>6</v>
      </c>
      <c r="G52" s="92">
        <v>0</v>
      </c>
      <c r="H52" s="92">
        <v>0</v>
      </c>
      <c r="I52" s="30"/>
      <c r="J52" s="92">
        <v>0</v>
      </c>
      <c r="K52" s="92">
        <v>0</v>
      </c>
    </row>
    <row r="53" spans="1:12">
      <c r="A53" s="8">
        <v>7</v>
      </c>
      <c r="C53" s="9" t="s">
        <v>26</v>
      </c>
      <c r="D53" s="27" t="s">
        <v>27</v>
      </c>
      <c r="E53" s="8">
        <v>7</v>
      </c>
      <c r="G53" s="92">
        <v>0</v>
      </c>
      <c r="H53" s="92">
        <v>0</v>
      </c>
      <c r="I53" s="30"/>
      <c r="J53" s="92">
        <v>0</v>
      </c>
      <c r="K53" s="92">
        <v>0</v>
      </c>
    </row>
    <row r="54" spans="1:12">
      <c r="A54" s="8">
        <v>8</v>
      </c>
      <c r="C54" s="9" t="s">
        <v>28</v>
      </c>
      <c r="D54" s="27" t="s">
        <v>29</v>
      </c>
      <c r="E54" s="8">
        <v>8</v>
      </c>
      <c r="G54" s="92">
        <v>0</v>
      </c>
      <c r="H54" s="92">
        <v>0</v>
      </c>
      <c r="I54" s="30"/>
      <c r="J54" s="92">
        <v>0</v>
      </c>
      <c r="K54" s="92">
        <v>0</v>
      </c>
    </row>
    <row r="55" spans="1:12">
      <c r="A55" s="8">
        <v>9</v>
      </c>
      <c r="C55" s="9" t="s">
        <v>30</v>
      </c>
      <c r="D55" s="27" t="s">
        <v>31</v>
      </c>
      <c r="E55" s="8">
        <v>9</v>
      </c>
      <c r="G55" s="93">
        <v>0</v>
      </c>
      <c r="H55" s="93">
        <v>0</v>
      </c>
      <c r="I55" s="30" t="s">
        <v>38</v>
      </c>
      <c r="J55" s="93">
        <v>0</v>
      </c>
      <c r="K55" s="93">
        <v>0</v>
      </c>
    </row>
    <row r="56" spans="1:12">
      <c r="A56" s="8">
        <v>10</v>
      </c>
      <c r="C56" s="9" t="s">
        <v>32</v>
      </c>
      <c r="D56" s="27" t="s">
        <v>33</v>
      </c>
      <c r="E56" s="8">
        <v>10</v>
      </c>
      <c r="G56" s="92">
        <v>0</v>
      </c>
      <c r="H56" s="92">
        <v>0</v>
      </c>
      <c r="I56" s="30"/>
      <c r="J56" s="92">
        <v>0</v>
      </c>
      <c r="K56" s="92">
        <v>0</v>
      </c>
    </row>
    <row r="57" spans="1:12">
      <c r="A57" s="8"/>
      <c r="C57" s="9"/>
      <c r="D57" s="27"/>
      <c r="E57" s="8"/>
      <c r="F57" s="19" t="s">
        <v>6</v>
      </c>
      <c r="G57" s="20" t="s">
        <v>6</v>
      </c>
      <c r="H57" s="49"/>
      <c r="I57" s="28"/>
      <c r="J57" s="20"/>
      <c r="K57" s="49"/>
    </row>
    <row r="58" spans="1:12" ht="15" customHeight="1">
      <c r="A58" s="137">
        <v>11</v>
      </c>
      <c r="C58" s="9" t="s">
        <v>34</v>
      </c>
      <c r="E58" s="137">
        <v>11</v>
      </c>
      <c r="G58" s="92">
        <v>0</v>
      </c>
      <c r="H58" s="93">
        <v>0</v>
      </c>
      <c r="I58" s="30"/>
      <c r="J58" s="92">
        <v>0</v>
      </c>
      <c r="K58" s="93">
        <v>0</v>
      </c>
    </row>
    <row r="59" spans="1:12">
      <c r="A59" s="8"/>
      <c r="E59" s="8"/>
      <c r="F59" s="19" t="s">
        <v>6</v>
      </c>
      <c r="G59" s="20" t="s">
        <v>6</v>
      </c>
      <c r="H59" s="21"/>
      <c r="I59" s="28"/>
      <c r="J59" s="20"/>
      <c r="K59" s="21"/>
    </row>
    <row r="60" spans="1:12">
      <c r="A60" s="8"/>
      <c r="E60" s="8"/>
      <c r="F60" s="19"/>
      <c r="G60" s="14"/>
      <c r="H60" s="21"/>
      <c r="I60" s="28"/>
      <c r="J60" s="14"/>
      <c r="K60" s="21"/>
    </row>
    <row r="61" spans="1:12">
      <c r="A61" s="137">
        <v>12</v>
      </c>
      <c r="C61" s="9" t="s">
        <v>35</v>
      </c>
      <c r="E61" s="137">
        <v>12</v>
      </c>
      <c r="G61" s="29"/>
      <c r="H61" s="29"/>
      <c r="I61" s="30"/>
      <c r="J61" s="92"/>
      <c r="K61" s="29"/>
    </row>
    <row r="62" spans="1:12">
      <c r="A62" s="8">
        <v>13</v>
      </c>
      <c r="C62" s="9" t="s">
        <v>36</v>
      </c>
      <c r="D62" s="27" t="s">
        <v>37</v>
      </c>
      <c r="E62" s="8">
        <v>13</v>
      </c>
      <c r="G62" s="50"/>
      <c r="H62" s="48">
        <v>0</v>
      </c>
      <c r="I62" s="30"/>
      <c r="J62" s="50"/>
      <c r="K62" s="48">
        <v>0</v>
      </c>
      <c r="L62" s="137" t="s">
        <v>38</v>
      </c>
    </row>
    <row r="63" spans="1:12">
      <c r="A63" s="8">
        <v>14</v>
      </c>
      <c r="C63" s="9" t="s">
        <v>39</v>
      </c>
      <c r="D63" s="27" t="s">
        <v>40</v>
      </c>
      <c r="E63" s="8">
        <v>14</v>
      </c>
      <c r="G63" s="50"/>
      <c r="H63" s="48">
        <v>0</v>
      </c>
      <c r="I63" s="30"/>
      <c r="J63" s="50"/>
      <c r="K63" s="48">
        <v>0</v>
      </c>
    </row>
    <row r="64" spans="1:12">
      <c r="A64" s="8">
        <v>15</v>
      </c>
      <c r="C64" s="9" t="s">
        <v>41</v>
      </c>
      <c r="D64" s="27"/>
      <c r="E64" s="8">
        <v>15</v>
      </c>
      <c r="G64" s="92">
        <v>0</v>
      </c>
      <c r="H64" s="48">
        <v>0</v>
      </c>
      <c r="I64" s="30"/>
      <c r="J64" s="92">
        <v>0</v>
      </c>
      <c r="K64" s="48">
        <v>0</v>
      </c>
    </row>
    <row r="65" spans="1:251">
      <c r="A65" s="8">
        <v>16</v>
      </c>
      <c r="C65" s="9" t="s">
        <v>42</v>
      </c>
      <c r="D65" s="27"/>
      <c r="E65" s="8">
        <v>16</v>
      </c>
      <c r="G65" s="50"/>
      <c r="H65" s="48">
        <v>0</v>
      </c>
      <c r="I65" s="30"/>
      <c r="J65" s="50"/>
      <c r="K65" s="48">
        <v>0</v>
      </c>
    </row>
    <row r="66" spans="1:251">
      <c r="A66" s="27">
        <v>17</v>
      </c>
      <c r="B66" s="27"/>
      <c r="C66" s="31" t="s">
        <v>43</v>
      </c>
      <c r="D66" s="27"/>
      <c r="E66" s="27">
        <v>17</v>
      </c>
      <c r="F66" s="27"/>
      <c r="G66" s="92"/>
      <c r="H66" s="93">
        <v>0</v>
      </c>
      <c r="I66" s="31"/>
      <c r="J66" s="92"/>
      <c r="K66" s="93">
        <v>0</v>
      </c>
      <c r="L66" s="31"/>
      <c r="M66" s="27"/>
      <c r="N66" s="31"/>
      <c r="O66" s="27"/>
      <c r="P66" s="31"/>
      <c r="Q66" s="27"/>
      <c r="R66" s="31"/>
      <c r="S66" s="27"/>
      <c r="T66" s="31"/>
      <c r="U66" s="27"/>
      <c r="V66" s="31"/>
      <c r="W66" s="27"/>
      <c r="X66" s="31"/>
      <c r="Y66" s="27"/>
      <c r="Z66" s="31"/>
      <c r="AA66" s="27"/>
      <c r="AB66" s="31"/>
      <c r="AC66" s="27"/>
      <c r="AD66" s="31"/>
      <c r="AE66" s="27"/>
      <c r="AF66" s="31"/>
      <c r="AG66" s="27"/>
      <c r="AH66" s="31"/>
      <c r="AI66" s="27"/>
      <c r="AJ66" s="31"/>
      <c r="AK66" s="27"/>
      <c r="AL66" s="31"/>
      <c r="AM66" s="27"/>
      <c r="AN66" s="31"/>
      <c r="AO66" s="27"/>
      <c r="AP66" s="31"/>
      <c r="AQ66" s="27"/>
      <c r="AR66" s="31"/>
      <c r="AS66" s="27"/>
      <c r="AT66" s="31"/>
      <c r="AU66" s="27"/>
      <c r="AV66" s="31"/>
      <c r="AW66" s="27"/>
      <c r="AX66" s="31"/>
      <c r="AY66" s="27"/>
      <c r="AZ66" s="31"/>
      <c r="BA66" s="27"/>
      <c r="BB66" s="31"/>
      <c r="BC66" s="27"/>
      <c r="BD66" s="31"/>
      <c r="BE66" s="27"/>
      <c r="BF66" s="31"/>
      <c r="BG66" s="27"/>
      <c r="BH66" s="31"/>
      <c r="BI66" s="27"/>
      <c r="BJ66" s="31"/>
      <c r="BK66" s="27"/>
      <c r="BL66" s="31"/>
      <c r="BM66" s="27"/>
      <c r="BN66" s="31"/>
      <c r="BO66" s="27"/>
      <c r="BP66" s="31"/>
      <c r="BQ66" s="27"/>
      <c r="BR66" s="31"/>
      <c r="BS66" s="27"/>
      <c r="BT66" s="31"/>
      <c r="BU66" s="27"/>
      <c r="BV66" s="31"/>
      <c r="BW66" s="27"/>
      <c r="BX66" s="31"/>
      <c r="BY66" s="27"/>
      <c r="BZ66" s="31"/>
      <c r="CA66" s="27"/>
      <c r="CB66" s="31"/>
      <c r="CC66" s="27"/>
      <c r="CD66" s="31"/>
      <c r="CE66" s="27"/>
      <c r="CF66" s="31"/>
      <c r="CG66" s="27"/>
      <c r="CH66" s="31"/>
      <c r="CI66" s="27"/>
      <c r="CJ66" s="31"/>
      <c r="CK66" s="27"/>
      <c r="CL66" s="31"/>
      <c r="CM66" s="27"/>
      <c r="CN66" s="31"/>
      <c r="CO66" s="27"/>
      <c r="CP66" s="31"/>
      <c r="CQ66" s="27"/>
      <c r="CR66" s="31"/>
      <c r="CS66" s="27"/>
      <c r="CT66" s="31"/>
      <c r="CU66" s="27"/>
      <c r="CV66" s="31"/>
      <c r="CW66" s="27"/>
      <c r="CX66" s="31"/>
      <c r="CY66" s="27"/>
      <c r="CZ66" s="31"/>
      <c r="DA66" s="27"/>
      <c r="DB66" s="31"/>
      <c r="DC66" s="27"/>
      <c r="DD66" s="31"/>
      <c r="DE66" s="27"/>
      <c r="DF66" s="31"/>
      <c r="DG66" s="27"/>
      <c r="DH66" s="31"/>
      <c r="DI66" s="27"/>
      <c r="DJ66" s="31"/>
      <c r="DK66" s="27"/>
      <c r="DL66" s="31"/>
      <c r="DM66" s="27"/>
      <c r="DN66" s="31"/>
      <c r="DO66" s="27"/>
      <c r="DP66" s="31"/>
      <c r="DQ66" s="27"/>
      <c r="DR66" s="31"/>
      <c r="DS66" s="27"/>
      <c r="DT66" s="31"/>
      <c r="DU66" s="27"/>
      <c r="DV66" s="31"/>
      <c r="DW66" s="27"/>
      <c r="DX66" s="31"/>
      <c r="DY66" s="27"/>
      <c r="DZ66" s="31"/>
      <c r="EA66" s="27"/>
      <c r="EB66" s="31"/>
      <c r="EC66" s="27"/>
      <c r="ED66" s="31"/>
      <c r="EE66" s="27"/>
      <c r="EF66" s="31"/>
      <c r="EG66" s="27"/>
      <c r="EH66" s="31"/>
      <c r="EI66" s="27"/>
      <c r="EJ66" s="31"/>
      <c r="EK66" s="27"/>
      <c r="EL66" s="31"/>
      <c r="EM66" s="27"/>
      <c r="EN66" s="31"/>
      <c r="EO66" s="27"/>
      <c r="EP66" s="31"/>
      <c r="EQ66" s="27"/>
      <c r="ER66" s="31"/>
      <c r="ES66" s="27"/>
      <c r="ET66" s="31"/>
      <c r="EU66" s="27"/>
      <c r="EV66" s="31"/>
      <c r="EW66" s="27"/>
      <c r="EX66" s="31"/>
      <c r="EY66" s="27"/>
      <c r="EZ66" s="31"/>
      <c r="FA66" s="27"/>
      <c r="FB66" s="31"/>
      <c r="FC66" s="27"/>
      <c r="FD66" s="31"/>
      <c r="FE66" s="27"/>
      <c r="FF66" s="31"/>
      <c r="FG66" s="27"/>
      <c r="FH66" s="31"/>
      <c r="FI66" s="27"/>
      <c r="FJ66" s="31"/>
      <c r="FK66" s="27"/>
      <c r="FL66" s="31"/>
      <c r="FM66" s="27"/>
      <c r="FN66" s="31"/>
      <c r="FO66" s="27"/>
      <c r="FP66" s="31"/>
      <c r="FQ66" s="27"/>
      <c r="FR66" s="31"/>
      <c r="FS66" s="27"/>
      <c r="FT66" s="31"/>
      <c r="FU66" s="27"/>
      <c r="FV66" s="31"/>
      <c r="FW66" s="27"/>
      <c r="FX66" s="31"/>
      <c r="FY66" s="27"/>
      <c r="FZ66" s="31"/>
      <c r="GA66" s="27"/>
      <c r="GB66" s="31"/>
      <c r="GC66" s="27"/>
      <c r="GD66" s="31"/>
      <c r="GE66" s="27"/>
      <c r="GF66" s="31"/>
      <c r="GG66" s="27"/>
      <c r="GH66" s="31"/>
      <c r="GI66" s="27"/>
      <c r="GJ66" s="31"/>
      <c r="GK66" s="27"/>
      <c r="GL66" s="31"/>
      <c r="GM66" s="27"/>
      <c r="GN66" s="31"/>
      <c r="GO66" s="27"/>
      <c r="GP66" s="31"/>
      <c r="GQ66" s="27"/>
      <c r="GR66" s="31"/>
      <c r="GS66" s="27"/>
      <c r="GT66" s="31"/>
      <c r="GU66" s="27"/>
      <c r="GV66" s="31"/>
      <c r="GW66" s="27"/>
      <c r="GX66" s="31"/>
      <c r="GY66" s="27"/>
      <c r="GZ66" s="31"/>
      <c r="HA66" s="27"/>
      <c r="HB66" s="31"/>
      <c r="HC66" s="27"/>
      <c r="HD66" s="31"/>
      <c r="HE66" s="27"/>
      <c r="HF66" s="31"/>
      <c r="HG66" s="27"/>
      <c r="HH66" s="31"/>
      <c r="HI66" s="27"/>
      <c r="HJ66" s="31"/>
      <c r="HK66" s="27"/>
      <c r="HL66" s="31"/>
      <c r="HM66" s="27"/>
      <c r="HN66" s="31"/>
      <c r="HO66" s="27"/>
      <c r="HP66" s="31"/>
      <c r="HQ66" s="27"/>
      <c r="HR66" s="31"/>
      <c r="HS66" s="27"/>
      <c r="HT66" s="31"/>
      <c r="HU66" s="27"/>
      <c r="HV66" s="31"/>
      <c r="HW66" s="27"/>
      <c r="HX66" s="31"/>
      <c r="HY66" s="27"/>
      <c r="HZ66" s="31"/>
      <c r="IA66" s="27"/>
      <c r="IB66" s="31"/>
      <c r="IC66" s="27"/>
      <c r="ID66" s="31"/>
      <c r="IE66" s="27"/>
      <c r="IF66" s="31"/>
      <c r="IG66" s="27"/>
      <c r="IH66" s="31"/>
      <c r="II66" s="27"/>
      <c r="IJ66" s="31"/>
      <c r="IK66" s="27"/>
      <c r="IL66" s="31"/>
      <c r="IM66" s="27"/>
      <c r="IN66" s="31"/>
      <c r="IO66" s="27"/>
      <c r="IP66" s="31"/>
      <c r="IQ66" s="27"/>
    </row>
    <row r="67" spans="1:251">
      <c r="A67" s="8">
        <v>18</v>
      </c>
      <c r="C67" s="9" t="s">
        <v>44</v>
      </c>
      <c r="D67" s="27"/>
      <c r="E67" s="8">
        <v>18</v>
      </c>
      <c r="G67" s="50"/>
      <c r="H67" s="48">
        <v>0</v>
      </c>
      <c r="I67" s="30"/>
      <c r="J67" s="50"/>
      <c r="K67" s="48">
        <v>0</v>
      </c>
    </row>
    <row r="68" spans="1:251">
      <c r="A68" s="8">
        <v>19</v>
      </c>
      <c r="C68" s="9" t="s">
        <v>45</v>
      </c>
      <c r="D68" s="27"/>
      <c r="E68" s="8">
        <v>19</v>
      </c>
      <c r="G68" s="50"/>
      <c r="H68" s="48">
        <v>0</v>
      </c>
      <c r="I68" s="30"/>
      <c r="J68" s="50"/>
      <c r="K68" s="48">
        <v>0</v>
      </c>
    </row>
    <row r="69" spans="1:251">
      <c r="A69" s="8">
        <v>20</v>
      </c>
      <c r="C69" s="9" t="s">
        <v>46</v>
      </c>
      <c r="D69" s="27"/>
      <c r="E69" s="8">
        <v>20</v>
      </c>
      <c r="G69" s="50"/>
      <c r="H69" s="48">
        <v>0</v>
      </c>
      <c r="I69" s="30"/>
      <c r="J69" s="50"/>
      <c r="K69" s="48">
        <v>0</v>
      </c>
    </row>
    <row r="70" spans="1:251">
      <c r="A70" s="27">
        <v>21</v>
      </c>
      <c r="C70" s="9" t="s">
        <v>47</v>
      </c>
      <c r="D70" s="27"/>
      <c r="E70" s="8">
        <v>21</v>
      </c>
      <c r="G70" s="50"/>
      <c r="H70" s="48">
        <v>0</v>
      </c>
      <c r="I70" s="30"/>
      <c r="J70" s="50"/>
      <c r="K70" s="48">
        <v>0</v>
      </c>
    </row>
    <row r="71" spans="1:251">
      <c r="A71" s="27">
        <v>22</v>
      </c>
      <c r="C71" s="9"/>
      <c r="D71" s="27"/>
      <c r="E71" s="8">
        <v>22</v>
      </c>
      <c r="G71" s="50"/>
      <c r="H71" s="48">
        <v>0</v>
      </c>
      <c r="I71" s="30" t="s">
        <v>38</v>
      </c>
      <c r="J71" s="50"/>
      <c r="K71" s="48">
        <v>0</v>
      </c>
    </row>
    <row r="72" spans="1:251">
      <c r="A72" s="8">
        <v>23</v>
      </c>
      <c r="C72" s="32"/>
      <c r="E72" s="8">
        <v>23</v>
      </c>
      <c r="F72" s="19" t="s">
        <v>6</v>
      </c>
      <c r="G72" s="20"/>
      <c r="H72" s="21"/>
      <c r="I72" s="28"/>
      <c r="J72" s="20"/>
      <c r="K72" s="21"/>
    </row>
    <row r="73" spans="1:251">
      <c r="A73" s="8">
        <v>24</v>
      </c>
      <c r="C73" s="32"/>
      <c r="D73" s="9"/>
      <c r="E73" s="8">
        <v>24</v>
      </c>
    </row>
    <row r="74" spans="1:251">
      <c r="A74" s="8">
        <v>25</v>
      </c>
      <c r="C74" s="9" t="s">
        <v>239</v>
      </c>
      <c r="D74" s="27"/>
      <c r="E74" s="8">
        <v>25</v>
      </c>
      <c r="G74" s="50"/>
      <c r="H74" s="48">
        <v>0</v>
      </c>
      <c r="I74" s="30"/>
      <c r="J74" s="50"/>
      <c r="K74" s="48">
        <v>0</v>
      </c>
    </row>
    <row r="75" spans="1:251">
      <c r="A75" s="137">
        <v>26</v>
      </c>
      <c r="E75" s="137">
        <v>26</v>
      </c>
      <c r="F75" s="19" t="s">
        <v>6</v>
      </c>
      <c r="G75" s="20"/>
      <c r="H75" s="21"/>
      <c r="I75" s="28"/>
      <c r="J75" s="20"/>
      <c r="K75" s="21"/>
    </row>
    <row r="76" spans="1:251" ht="15" customHeight="1">
      <c r="A76" s="8">
        <v>27</v>
      </c>
      <c r="C76" s="9" t="s">
        <v>48</v>
      </c>
      <c r="E76" s="8">
        <v>27</v>
      </c>
      <c r="F76" s="17"/>
      <c r="G76" s="92"/>
      <c r="H76" s="93">
        <v>0</v>
      </c>
      <c r="I76" s="29"/>
      <c r="J76" s="92"/>
      <c r="K76" s="93">
        <v>0</v>
      </c>
    </row>
    <row r="77" spans="1:251">
      <c r="F77" s="19"/>
      <c r="G77" s="20"/>
      <c r="H77" s="21"/>
      <c r="I77" s="28"/>
      <c r="J77" s="20"/>
      <c r="K77" s="21"/>
    </row>
    <row r="78" spans="1:251" ht="14.25">
      <c r="F78"/>
      <c r="G78"/>
      <c r="H78"/>
      <c r="I78"/>
      <c r="J78"/>
      <c r="K78"/>
    </row>
    <row r="79" spans="1:251" ht="30.75" customHeight="1">
      <c r="A79" s="33"/>
      <c r="B79" s="33"/>
      <c r="C79" s="221" t="s">
        <v>233</v>
      </c>
      <c r="D79" s="221"/>
      <c r="E79" s="221"/>
      <c r="F79" s="221"/>
      <c r="G79" s="221"/>
      <c r="H79" s="221"/>
      <c r="I79" s="221"/>
      <c r="J79" s="221"/>
      <c r="K79" s="34"/>
    </row>
    <row r="80" spans="1:251">
      <c r="D80" s="27"/>
      <c r="F80" s="19"/>
      <c r="G80" s="20"/>
      <c r="I80" s="28"/>
      <c r="J80" s="20"/>
      <c r="K80" s="21"/>
    </row>
    <row r="81" spans="1:12">
      <c r="C81" s="137" t="s">
        <v>49</v>
      </c>
      <c r="D81" s="27"/>
      <c r="F81" s="19"/>
      <c r="G81" s="20"/>
      <c r="I81" s="28"/>
      <c r="J81" s="20"/>
      <c r="K81" s="21"/>
    </row>
    <row r="82" spans="1:12">
      <c r="A82" s="8"/>
      <c r="C82" s="9"/>
      <c r="E82" s="8"/>
      <c r="F82" s="10"/>
      <c r="G82" s="11"/>
      <c r="H82" s="12"/>
      <c r="I82" s="10"/>
      <c r="J82" s="11"/>
      <c r="K82" s="12"/>
    </row>
    <row r="83" spans="1:12">
      <c r="A83" s="16" t="s">
        <v>58</v>
      </c>
      <c r="G83" s="14"/>
      <c r="K83" s="15" t="s">
        <v>59</v>
      </c>
    </row>
    <row r="84" spans="1:12" s="36" customFormat="1">
      <c r="A84" s="224" t="s">
        <v>60</v>
      </c>
      <c r="B84" s="224"/>
      <c r="C84" s="224"/>
      <c r="D84" s="224"/>
      <c r="E84" s="224"/>
      <c r="F84" s="224"/>
      <c r="G84" s="224"/>
      <c r="H84" s="224"/>
      <c r="I84" s="224"/>
      <c r="J84" s="224"/>
      <c r="K84" s="224"/>
    </row>
    <row r="85" spans="1:12">
      <c r="A85" s="16" t="str">
        <f>$A$42</f>
        <v xml:space="preserve">NAME: </v>
      </c>
      <c r="C85" s="137" t="str">
        <f>$D$20</f>
        <v>University of Colorado</v>
      </c>
      <c r="G85" s="14"/>
      <c r="I85" s="17"/>
      <c r="J85" s="14"/>
      <c r="K85" s="18" t="str">
        <f>$K$3</f>
        <v>Date: October 09, 2017</v>
      </c>
    </row>
    <row r="86" spans="1:12">
      <c r="A86" s="19" t="s">
        <v>6</v>
      </c>
      <c r="B86" s="19" t="s">
        <v>6</v>
      </c>
      <c r="C86" s="19" t="s">
        <v>6</v>
      </c>
      <c r="D86" s="19" t="s">
        <v>6</v>
      </c>
      <c r="E86" s="19" t="s">
        <v>6</v>
      </c>
      <c r="F86" s="19" t="s">
        <v>6</v>
      </c>
      <c r="G86" s="20" t="s">
        <v>6</v>
      </c>
      <c r="H86" s="21" t="s">
        <v>6</v>
      </c>
      <c r="I86" s="19" t="s">
        <v>6</v>
      </c>
      <c r="J86" s="20" t="s">
        <v>6</v>
      </c>
      <c r="K86" s="21" t="s">
        <v>6</v>
      </c>
    </row>
    <row r="87" spans="1:12">
      <c r="A87" s="22" t="s">
        <v>7</v>
      </c>
      <c r="C87" s="9" t="s">
        <v>8</v>
      </c>
      <c r="E87" s="22" t="s">
        <v>7</v>
      </c>
      <c r="F87" s="23"/>
      <c r="G87" s="24"/>
      <c r="H87" s="25" t="str">
        <f>H44</f>
        <v>2016-17</v>
      </c>
      <c r="I87" s="23"/>
      <c r="J87" s="24"/>
      <c r="K87" s="25" t="str">
        <f>K44</f>
        <v>2017-18</v>
      </c>
    </row>
    <row r="88" spans="1:12">
      <c r="A88" s="22" t="s">
        <v>9</v>
      </c>
      <c r="C88" s="26" t="s">
        <v>10</v>
      </c>
      <c r="E88" s="22" t="s">
        <v>9</v>
      </c>
      <c r="F88" s="23"/>
      <c r="G88" s="24" t="s">
        <v>11</v>
      </c>
      <c r="H88" s="25" t="s">
        <v>12</v>
      </c>
      <c r="I88" s="23"/>
      <c r="J88" s="24" t="s">
        <v>11</v>
      </c>
      <c r="K88" s="25" t="s">
        <v>13</v>
      </c>
    </row>
    <row r="89" spans="1:12">
      <c r="A89" s="19" t="s">
        <v>6</v>
      </c>
      <c r="B89" s="19" t="s">
        <v>6</v>
      </c>
      <c r="C89" s="19" t="s">
        <v>6</v>
      </c>
      <c r="D89" s="19" t="s">
        <v>6</v>
      </c>
      <c r="E89" s="19" t="s">
        <v>6</v>
      </c>
      <c r="F89" s="19" t="s">
        <v>6</v>
      </c>
      <c r="G89" s="20" t="s">
        <v>6</v>
      </c>
      <c r="H89" s="20" t="s">
        <v>6</v>
      </c>
      <c r="I89" s="19" t="s">
        <v>6</v>
      </c>
      <c r="J89" s="20" t="s">
        <v>6</v>
      </c>
      <c r="K89" s="21" t="s">
        <v>6</v>
      </c>
    </row>
    <row r="90" spans="1:12">
      <c r="A90" s="8">
        <v>1</v>
      </c>
      <c r="C90" s="9" t="s">
        <v>14</v>
      </c>
      <c r="D90" s="27" t="s">
        <v>15</v>
      </c>
      <c r="E90" s="8">
        <v>1</v>
      </c>
      <c r="G90" s="50">
        <f>+G533</f>
        <v>935.70999999999992</v>
      </c>
      <c r="H90" s="50">
        <f>+H533</f>
        <v>99090967.194999993</v>
      </c>
      <c r="I90" s="30"/>
      <c r="J90" s="186">
        <f>+J533</f>
        <v>951.4793089940016</v>
      </c>
      <c r="K90" s="186">
        <f>+K533</f>
        <v>101557942.09</v>
      </c>
    </row>
    <row r="91" spans="1:12">
      <c r="A91" s="8">
        <v>2</v>
      </c>
      <c r="C91" s="9" t="s">
        <v>16</v>
      </c>
      <c r="D91" s="27" t="s">
        <v>17</v>
      </c>
      <c r="E91" s="8">
        <v>2</v>
      </c>
      <c r="G91" s="50">
        <f>+G572</f>
        <v>0</v>
      </c>
      <c r="H91" s="50">
        <f>+H572</f>
        <v>36036.300000000003</v>
      </c>
      <c r="I91" s="30"/>
      <c r="J91" s="186">
        <f>+J572</f>
        <v>0</v>
      </c>
      <c r="K91" s="186">
        <f>+K572</f>
        <v>36417</v>
      </c>
    </row>
    <row r="92" spans="1:12">
      <c r="A92" s="8">
        <v>3</v>
      </c>
      <c r="C92" s="9" t="s">
        <v>18</v>
      </c>
      <c r="D92" s="27" t="s">
        <v>19</v>
      </c>
      <c r="E92" s="8">
        <v>3</v>
      </c>
      <c r="G92" s="50">
        <f>+G609</f>
        <v>0.03</v>
      </c>
      <c r="H92" s="50">
        <f>+H609</f>
        <v>39465</v>
      </c>
      <c r="I92" s="30"/>
      <c r="J92" s="186">
        <f>+J609</f>
        <v>3.324348358464483E-2</v>
      </c>
      <c r="K92" s="186">
        <f>+K609</f>
        <v>41079</v>
      </c>
    </row>
    <row r="93" spans="1:12">
      <c r="A93" s="8">
        <v>4</v>
      </c>
      <c r="C93" s="9" t="s">
        <v>20</v>
      </c>
      <c r="D93" s="27" t="s">
        <v>21</v>
      </c>
      <c r="E93" s="8">
        <v>4</v>
      </c>
      <c r="G93" s="50">
        <f>+G646</f>
        <v>222.15000000000003</v>
      </c>
      <c r="H93" s="50">
        <f>+H646</f>
        <v>26753982.761800006</v>
      </c>
      <c r="I93" s="30"/>
      <c r="J93" s="186">
        <f>+J646</f>
        <v>240.16009119319813</v>
      </c>
      <c r="K93" s="186">
        <f>+K646</f>
        <v>28948590.809999999</v>
      </c>
    </row>
    <row r="94" spans="1:12">
      <c r="A94" s="8">
        <v>5</v>
      </c>
      <c r="C94" s="9" t="s">
        <v>22</v>
      </c>
      <c r="D94" s="27" t="s">
        <v>23</v>
      </c>
      <c r="E94" s="8">
        <v>5</v>
      </c>
      <c r="G94" s="50">
        <f>+G683</f>
        <v>106.27</v>
      </c>
      <c r="H94" s="50">
        <f>+H683</f>
        <v>11466698.147600003</v>
      </c>
      <c r="I94" s="30"/>
      <c r="J94" s="186">
        <f>+J683</f>
        <v>114.58655689471155</v>
      </c>
      <c r="K94" s="186">
        <f>+K683</f>
        <v>11536750.420000002</v>
      </c>
    </row>
    <row r="95" spans="1:12">
      <c r="A95" s="8">
        <v>6</v>
      </c>
      <c r="C95" s="9" t="s">
        <v>24</v>
      </c>
      <c r="D95" s="27" t="s">
        <v>25</v>
      </c>
      <c r="E95" s="8">
        <v>6</v>
      </c>
      <c r="G95" s="50">
        <f>+G720</f>
        <v>133.91999999999999</v>
      </c>
      <c r="H95" s="50">
        <f>+H720</f>
        <v>22689806.468231998</v>
      </c>
      <c r="I95" s="30"/>
      <c r="J95" s="186">
        <f>+J720</f>
        <v>135.10033741814371</v>
      </c>
      <c r="K95" s="186">
        <f>+K720</f>
        <v>24011233.189999998</v>
      </c>
    </row>
    <row r="96" spans="1:12">
      <c r="A96" s="8">
        <v>7</v>
      </c>
      <c r="C96" s="9" t="s">
        <v>26</v>
      </c>
      <c r="D96" s="27" t="s">
        <v>27</v>
      </c>
      <c r="E96" s="8">
        <v>7</v>
      </c>
      <c r="G96" s="50">
        <f>+G757</f>
        <v>32.489999999999995</v>
      </c>
      <c r="H96" s="50">
        <f>+H757</f>
        <v>10431834.2541</v>
      </c>
      <c r="I96" s="30"/>
      <c r="J96" s="186">
        <f>+J757</f>
        <v>45.597590155472005</v>
      </c>
      <c r="K96" s="186">
        <f>+K757</f>
        <v>11739340.23</v>
      </c>
      <c r="L96" s="137" t="s">
        <v>38</v>
      </c>
    </row>
    <row r="97" spans="1:251">
      <c r="A97" s="8">
        <v>8</v>
      </c>
      <c r="C97" s="9" t="s">
        <v>28</v>
      </c>
      <c r="D97" s="27" t="s">
        <v>29</v>
      </c>
      <c r="E97" s="8">
        <v>8</v>
      </c>
      <c r="G97" s="50">
        <f>+G794</f>
        <v>0</v>
      </c>
      <c r="H97" s="50">
        <f>+H794</f>
        <v>9929496.8499999978</v>
      </c>
      <c r="I97" s="30"/>
      <c r="J97" s="186">
        <f>+J794</f>
        <v>0</v>
      </c>
      <c r="K97" s="186">
        <f>+K794</f>
        <v>10337081</v>
      </c>
    </row>
    <row r="98" spans="1:251">
      <c r="A98" s="8">
        <v>9</v>
      </c>
      <c r="C98" s="9" t="s">
        <v>30</v>
      </c>
      <c r="D98" s="27" t="s">
        <v>31</v>
      </c>
      <c r="E98" s="8">
        <v>9</v>
      </c>
      <c r="G98" s="48">
        <f>+G832</f>
        <v>0</v>
      </c>
      <c r="H98" s="48">
        <f>+H832</f>
        <v>0</v>
      </c>
      <c r="I98" s="30" t="s">
        <v>38</v>
      </c>
      <c r="J98" s="187">
        <f>+J832</f>
        <v>0</v>
      </c>
      <c r="K98" s="187">
        <f>+K832</f>
        <v>0</v>
      </c>
    </row>
    <row r="99" spans="1:251">
      <c r="A99" s="8">
        <v>10</v>
      </c>
      <c r="C99" s="9" t="s">
        <v>32</v>
      </c>
      <c r="D99" s="27" t="s">
        <v>33</v>
      </c>
      <c r="E99" s="8">
        <v>10</v>
      </c>
      <c r="G99" s="50">
        <f>+G868</f>
        <v>0</v>
      </c>
      <c r="H99" s="50">
        <f>+H868</f>
        <v>11484349.951299999</v>
      </c>
      <c r="I99" s="30"/>
      <c r="J99" s="186">
        <f>+J868</f>
        <v>0</v>
      </c>
      <c r="K99" s="186">
        <f>+K868</f>
        <v>7915196.2599999998</v>
      </c>
    </row>
    <row r="100" spans="1:251">
      <c r="A100" s="8"/>
      <c r="C100" s="9"/>
      <c r="D100" s="27"/>
      <c r="E100" s="8"/>
      <c r="F100" s="19" t="s">
        <v>6</v>
      </c>
      <c r="G100" s="20" t="s">
        <v>6</v>
      </c>
      <c r="H100" s="49"/>
      <c r="I100" s="28"/>
      <c r="J100" s="20"/>
      <c r="K100" s="49"/>
    </row>
    <row r="101" spans="1:251">
      <c r="A101" s="137">
        <v>11</v>
      </c>
      <c r="C101" s="9" t="s">
        <v>61</v>
      </c>
      <c r="E101" s="137">
        <v>11</v>
      </c>
      <c r="G101" s="50">
        <f>SUM(G90:G99)</f>
        <v>1430.57</v>
      </c>
      <c r="H101" s="218">
        <f>SUM(H90:H99)</f>
        <v>191922636.92803198</v>
      </c>
      <c r="I101" s="30"/>
      <c r="J101" s="50">
        <f>SUM(J90:J99)</f>
        <v>1486.9571281391118</v>
      </c>
      <c r="K101" s="218">
        <f>SUM(K90:K99)</f>
        <v>196123629.99999997</v>
      </c>
    </row>
    <row r="102" spans="1:251">
      <c r="A102" s="8"/>
      <c r="E102" s="8"/>
      <c r="F102" s="19" t="s">
        <v>6</v>
      </c>
      <c r="G102" s="20" t="s">
        <v>6</v>
      </c>
      <c r="H102" s="21"/>
      <c r="I102" s="28"/>
      <c r="J102" s="20"/>
      <c r="K102" s="21"/>
    </row>
    <row r="103" spans="1:251">
      <c r="A103" s="8"/>
      <c r="E103" s="8"/>
      <c r="F103" s="19"/>
      <c r="G103" s="14"/>
      <c r="H103" s="21"/>
      <c r="I103" s="28"/>
      <c r="J103" s="14"/>
      <c r="K103" s="21"/>
    </row>
    <row r="104" spans="1:251">
      <c r="A104" s="137">
        <v>12</v>
      </c>
      <c r="C104" s="9" t="s">
        <v>35</v>
      </c>
      <c r="E104" s="137">
        <v>12</v>
      </c>
      <c r="G104" s="29"/>
      <c r="H104" s="29"/>
      <c r="I104" s="30"/>
      <c r="J104" s="50"/>
      <c r="K104" s="29"/>
    </row>
    <row r="105" spans="1:251">
      <c r="A105" s="8">
        <v>13</v>
      </c>
      <c r="C105" s="9" t="s">
        <v>36</v>
      </c>
      <c r="D105" s="27" t="s">
        <v>37</v>
      </c>
      <c r="E105" s="8">
        <v>13</v>
      </c>
      <c r="G105" s="50"/>
      <c r="H105" s="187">
        <f>+H495</f>
        <v>0</v>
      </c>
      <c r="I105" s="30"/>
      <c r="J105" s="50"/>
      <c r="K105" s="187">
        <f>+K495</f>
        <v>0</v>
      </c>
    </row>
    <row r="106" spans="1:251">
      <c r="A106" s="8">
        <v>14</v>
      </c>
      <c r="C106" s="9" t="s">
        <v>39</v>
      </c>
      <c r="D106" s="27" t="s">
        <v>62</v>
      </c>
      <c r="E106" s="8">
        <v>14</v>
      </c>
      <c r="G106" s="50"/>
      <c r="H106" s="187">
        <v>14460665.5</v>
      </c>
      <c r="I106" s="30"/>
      <c r="J106" s="50"/>
      <c r="K106" s="188">
        <v>16384435</v>
      </c>
    </row>
    <row r="107" spans="1:251">
      <c r="A107" s="8">
        <v>15</v>
      </c>
      <c r="C107" s="9" t="s">
        <v>41</v>
      </c>
      <c r="D107" s="27"/>
      <c r="E107" s="8">
        <v>15</v>
      </c>
      <c r="G107" s="50">
        <f>H182</f>
        <v>6611.1155555555551</v>
      </c>
      <c r="H107" s="187">
        <v>14875010</v>
      </c>
      <c r="I107" s="30"/>
      <c r="J107" s="50">
        <f>K182</f>
        <v>6245.7333333333336</v>
      </c>
      <c r="K107" s="189">
        <v>14427644</v>
      </c>
    </row>
    <row r="108" spans="1:251">
      <c r="A108" s="8">
        <v>16</v>
      </c>
      <c r="C108" s="9" t="s">
        <v>42</v>
      </c>
      <c r="D108" s="27"/>
      <c r="E108" s="8">
        <v>16</v>
      </c>
      <c r="G108" s="50"/>
      <c r="H108" s="187">
        <f>+H308-H107</f>
        <v>74774620.840000004</v>
      </c>
      <c r="I108" s="30"/>
      <c r="J108" s="50"/>
      <c r="K108" s="189">
        <v>79002330</v>
      </c>
    </row>
    <row r="109" spans="1:251">
      <c r="A109" s="27">
        <v>17</v>
      </c>
      <c r="B109" s="27"/>
      <c r="C109" s="31" t="s">
        <v>63</v>
      </c>
      <c r="D109" s="27" t="s">
        <v>64</v>
      </c>
      <c r="E109" s="27">
        <v>17</v>
      </c>
      <c r="F109" s="27"/>
      <c r="G109" s="50"/>
      <c r="H109" s="187">
        <f>SUM(H107:H108)</f>
        <v>89649630.840000004</v>
      </c>
      <c r="I109" s="31"/>
      <c r="J109" s="50"/>
      <c r="K109" s="187">
        <f>SUM(K107:K108)</f>
        <v>93429974</v>
      </c>
      <c r="L109" s="31"/>
      <c r="M109" s="27"/>
      <c r="N109" s="31"/>
      <c r="O109" s="27"/>
      <c r="P109" s="31"/>
      <c r="Q109" s="27"/>
      <c r="R109" s="31"/>
      <c r="S109" s="27"/>
      <c r="T109" s="31"/>
      <c r="U109" s="27"/>
      <c r="V109" s="31"/>
      <c r="W109" s="27"/>
      <c r="X109" s="31"/>
      <c r="Y109" s="27"/>
      <c r="Z109" s="31"/>
      <c r="AA109" s="27"/>
      <c r="AB109" s="31"/>
      <c r="AC109" s="27"/>
      <c r="AD109" s="31"/>
      <c r="AE109" s="27"/>
      <c r="AF109" s="31"/>
      <c r="AG109" s="27"/>
      <c r="AH109" s="31"/>
      <c r="AI109" s="27"/>
      <c r="AJ109" s="31"/>
      <c r="AK109" s="27"/>
      <c r="AL109" s="31"/>
      <c r="AM109" s="27"/>
      <c r="AN109" s="31"/>
      <c r="AO109" s="27"/>
      <c r="AP109" s="31"/>
      <c r="AQ109" s="27"/>
      <c r="AR109" s="31"/>
      <c r="AS109" s="27"/>
      <c r="AT109" s="31"/>
      <c r="AU109" s="27"/>
      <c r="AV109" s="31"/>
      <c r="AW109" s="27"/>
      <c r="AX109" s="31"/>
      <c r="AY109" s="27"/>
      <c r="AZ109" s="31"/>
      <c r="BA109" s="27"/>
      <c r="BB109" s="31"/>
      <c r="BC109" s="27"/>
      <c r="BD109" s="31"/>
      <c r="BE109" s="27"/>
      <c r="BF109" s="31"/>
      <c r="BG109" s="27"/>
      <c r="BH109" s="31"/>
      <c r="BI109" s="27"/>
      <c r="BJ109" s="31"/>
      <c r="BK109" s="27"/>
      <c r="BL109" s="31"/>
      <c r="BM109" s="27"/>
      <c r="BN109" s="31"/>
      <c r="BO109" s="27"/>
      <c r="BP109" s="31"/>
      <c r="BQ109" s="27"/>
      <c r="BR109" s="31"/>
      <c r="BS109" s="27"/>
      <c r="BT109" s="31"/>
      <c r="BU109" s="27"/>
      <c r="BV109" s="31"/>
      <c r="BW109" s="27"/>
      <c r="BX109" s="31"/>
      <c r="BY109" s="27"/>
      <c r="BZ109" s="31"/>
      <c r="CA109" s="27"/>
      <c r="CB109" s="31"/>
      <c r="CC109" s="27"/>
      <c r="CD109" s="31"/>
      <c r="CE109" s="27"/>
      <c r="CF109" s="31"/>
      <c r="CG109" s="27"/>
      <c r="CH109" s="31"/>
      <c r="CI109" s="27"/>
      <c r="CJ109" s="31"/>
      <c r="CK109" s="27"/>
      <c r="CL109" s="31"/>
      <c r="CM109" s="27"/>
      <c r="CN109" s="31"/>
      <c r="CO109" s="27"/>
      <c r="CP109" s="31"/>
      <c r="CQ109" s="27"/>
      <c r="CR109" s="31"/>
      <c r="CS109" s="27"/>
      <c r="CT109" s="31"/>
      <c r="CU109" s="27"/>
      <c r="CV109" s="31"/>
      <c r="CW109" s="27"/>
      <c r="CX109" s="31"/>
      <c r="CY109" s="27"/>
      <c r="CZ109" s="31"/>
      <c r="DA109" s="27"/>
      <c r="DB109" s="31"/>
      <c r="DC109" s="27"/>
      <c r="DD109" s="31"/>
      <c r="DE109" s="27"/>
      <c r="DF109" s="31"/>
      <c r="DG109" s="27"/>
      <c r="DH109" s="31"/>
      <c r="DI109" s="27"/>
      <c r="DJ109" s="31"/>
      <c r="DK109" s="27"/>
      <c r="DL109" s="31"/>
      <c r="DM109" s="27"/>
      <c r="DN109" s="31"/>
      <c r="DO109" s="27"/>
      <c r="DP109" s="31"/>
      <c r="DQ109" s="27"/>
      <c r="DR109" s="31"/>
      <c r="DS109" s="27"/>
      <c r="DT109" s="31"/>
      <c r="DU109" s="27"/>
      <c r="DV109" s="31"/>
      <c r="DW109" s="27"/>
      <c r="DX109" s="31"/>
      <c r="DY109" s="27"/>
      <c r="DZ109" s="31"/>
      <c r="EA109" s="27"/>
      <c r="EB109" s="31"/>
      <c r="EC109" s="27"/>
      <c r="ED109" s="31"/>
      <c r="EE109" s="27"/>
      <c r="EF109" s="31"/>
      <c r="EG109" s="27"/>
      <c r="EH109" s="31"/>
      <c r="EI109" s="27"/>
      <c r="EJ109" s="31"/>
      <c r="EK109" s="27"/>
      <c r="EL109" s="31"/>
      <c r="EM109" s="27"/>
      <c r="EN109" s="31"/>
      <c r="EO109" s="27"/>
      <c r="EP109" s="31"/>
      <c r="EQ109" s="27"/>
      <c r="ER109" s="31"/>
      <c r="ES109" s="27"/>
      <c r="ET109" s="31"/>
      <c r="EU109" s="27"/>
      <c r="EV109" s="31"/>
      <c r="EW109" s="27"/>
      <c r="EX109" s="31"/>
      <c r="EY109" s="27"/>
      <c r="EZ109" s="31"/>
      <c r="FA109" s="27"/>
      <c r="FB109" s="31"/>
      <c r="FC109" s="27"/>
      <c r="FD109" s="31"/>
      <c r="FE109" s="27"/>
      <c r="FF109" s="31"/>
      <c r="FG109" s="27"/>
      <c r="FH109" s="31"/>
      <c r="FI109" s="27"/>
      <c r="FJ109" s="31"/>
      <c r="FK109" s="27"/>
      <c r="FL109" s="31"/>
      <c r="FM109" s="27"/>
      <c r="FN109" s="31"/>
      <c r="FO109" s="27"/>
      <c r="FP109" s="31"/>
      <c r="FQ109" s="27"/>
      <c r="FR109" s="31"/>
      <c r="FS109" s="27"/>
      <c r="FT109" s="31"/>
      <c r="FU109" s="27"/>
      <c r="FV109" s="31"/>
      <c r="FW109" s="27"/>
      <c r="FX109" s="31"/>
      <c r="FY109" s="27"/>
      <c r="FZ109" s="31"/>
      <c r="GA109" s="27"/>
      <c r="GB109" s="31"/>
      <c r="GC109" s="27"/>
      <c r="GD109" s="31"/>
      <c r="GE109" s="27"/>
      <c r="GF109" s="31"/>
      <c r="GG109" s="27"/>
      <c r="GH109" s="31"/>
      <c r="GI109" s="27"/>
      <c r="GJ109" s="31"/>
      <c r="GK109" s="27"/>
      <c r="GL109" s="31"/>
      <c r="GM109" s="27"/>
      <c r="GN109" s="31"/>
      <c r="GO109" s="27"/>
      <c r="GP109" s="31"/>
      <c r="GQ109" s="27"/>
      <c r="GR109" s="31"/>
      <c r="GS109" s="27"/>
      <c r="GT109" s="31"/>
      <c r="GU109" s="27"/>
      <c r="GV109" s="31"/>
      <c r="GW109" s="27"/>
      <c r="GX109" s="31"/>
      <c r="GY109" s="27"/>
      <c r="GZ109" s="31"/>
      <c r="HA109" s="27"/>
      <c r="HB109" s="31"/>
      <c r="HC109" s="27"/>
      <c r="HD109" s="31"/>
      <c r="HE109" s="27"/>
      <c r="HF109" s="31"/>
      <c r="HG109" s="27"/>
      <c r="HH109" s="31"/>
      <c r="HI109" s="27"/>
      <c r="HJ109" s="31"/>
      <c r="HK109" s="27"/>
      <c r="HL109" s="31"/>
      <c r="HM109" s="27"/>
      <c r="HN109" s="31"/>
      <c r="HO109" s="27"/>
      <c r="HP109" s="31"/>
      <c r="HQ109" s="27"/>
      <c r="HR109" s="31"/>
      <c r="HS109" s="27"/>
      <c r="HT109" s="31"/>
      <c r="HU109" s="27"/>
      <c r="HV109" s="31"/>
      <c r="HW109" s="27"/>
      <c r="HX109" s="31"/>
      <c r="HY109" s="27"/>
      <c r="HZ109" s="31"/>
      <c r="IA109" s="27"/>
      <c r="IB109" s="31"/>
      <c r="IC109" s="27"/>
      <c r="ID109" s="31"/>
      <c r="IE109" s="27"/>
      <c r="IF109" s="31"/>
      <c r="IG109" s="27"/>
      <c r="IH109" s="31"/>
      <c r="II109" s="27"/>
      <c r="IJ109" s="31"/>
      <c r="IK109" s="27"/>
      <c r="IL109" s="31"/>
      <c r="IM109" s="27"/>
      <c r="IN109" s="31"/>
      <c r="IO109" s="27"/>
      <c r="IP109" s="31"/>
      <c r="IQ109" s="27"/>
    </row>
    <row r="110" spans="1:251">
      <c r="A110" s="8">
        <v>18</v>
      </c>
      <c r="C110" s="9" t="s">
        <v>44</v>
      </c>
      <c r="D110" s="27" t="s">
        <v>64</v>
      </c>
      <c r="E110" s="8">
        <v>18</v>
      </c>
      <c r="G110" s="50"/>
      <c r="H110" s="187">
        <f>+H307</f>
        <v>22343522.25</v>
      </c>
      <c r="I110" s="30"/>
      <c r="J110" s="50"/>
      <c r="K110" s="189">
        <v>23323057</v>
      </c>
    </row>
    <row r="111" spans="1:251">
      <c r="A111" s="8">
        <v>19</v>
      </c>
      <c r="C111" s="9" t="s">
        <v>45</v>
      </c>
      <c r="D111" s="27" t="s">
        <v>64</v>
      </c>
      <c r="E111" s="8">
        <v>19</v>
      </c>
      <c r="G111" s="50"/>
      <c r="H111" s="187">
        <f>+H313</f>
        <v>44924450.579999998</v>
      </c>
      <c r="I111" s="30"/>
      <c r="J111" s="50"/>
      <c r="K111" s="189">
        <v>43265333</v>
      </c>
    </row>
    <row r="112" spans="1:251">
      <c r="A112" s="8">
        <v>20</v>
      </c>
      <c r="C112" s="9" t="s">
        <v>46</v>
      </c>
      <c r="D112" s="27" t="s">
        <v>64</v>
      </c>
      <c r="E112" s="8">
        <v>20</v>
      </c>
      <c r="G112" s="50"/>
      <c r="H112" s="187">
        <f>H109+H110+H111</f>
        <v>156917603.67000002</v>
      </c>
      <c r="I112" s="30"/>
      <c r="J112" s="50"/>
      <c r="K112" s="187">
        <f>K109+K110+K111</f>
        <v>160018364</v>
      </c>
    </row>
    <row r="113" spans="1:14">
      <c r="A113" s="27">
        <v>21</v>
      </c>
      <c r="C113" s="9"/>
      <c r="D113" s="27"/>
      <c r="E113" s="8">
        <v>21</v>
      </c>
      <c r="G113" s="50"/>
      <c r="H113" s="48">
        <f>+H352-H333</f>
        <v>0</v>
      </c>
      <c r="I113" s="30"/>
      <c r="J113" s="50"/>
      <c r="K113" s="48">
        <f>+K352-K333</f>
        <v>0</v>
      </c>
    </row>
    <row r="114" spans="1:14">
      <c r="A114" s="27">
        <v>22</v>
      </c>
      <c r="C114" s="9"/>
      <c r="D114" s="27"/>
      <c r="E114" s="8">
        <v>22</v>
      </c>
      <c r="G114" s="50"/>
      <c r="H114" s="48">
        <f>H333</f>
        <v>0</v>
      </c>
      <c r="I114" s="30" t="s">
        <v>38</v>
      </c>
      <c r="J114" s="50"/>
      <c r="K114" s="48">
        <f>K333</f>
        <v>0</v>
      </c>
    </row>
    <row r="115" spans="1:14">
      <c r="A115" s="8">
        <v>23</v>
      </c>
      <c r="C115" s="32"/>
      <c r="E115" s="8">
        <v>23</v>
      </c>
      <c r="F115" s="19" t="s">
        <v>6</v>
      </c>
      <c r="G115" s="20"/>
      <c r="H115" s="21"/>
      <c r="I115" s="28"/>
      <c r="J115" s="20"/>
      <c r="K115" s="21"/>
      <c r="N115" s="137" t="s">
        <v>38</v>
      </c>
    </row>
    <row r="116" spans="1:14">
      <c r="A116" s="8">
        <v>24</v>
      </c>
      <c r="C116" s="32"/>
      <c r="D116" s="9"/>
      <c r="E116" s="8">
        <v>24</v>
      </c>
    </row>
    <row r="117" spans="1:14">
      <c r="A117" s="8">
        <v>25</v>
      </c>
      <c r="C117" s="9" t="s">
        <v>239</v>
      </c>
      <c r="D117" s="27" t="s">
        <v>65</v>
      </c>
      <c r="E117" s="8">
        <v>25</v>
      </c>
      <c r="G117" s="50"/>
      <c r="H117" s="48">
        <f>+H399</f>
        <v>20544367.758639999</v>
      </c>
      <c r="J117" s="50"/>
      <c r="K117" s="48">
        <f>+K399</f>
        <v>19720831</v>
      </c>
    </row>
    <row r="118" spans="1:14">
      <c r="A118" s="137">
        <v>26</v>
      </c>
      <c r="E118" s="137">
        <v>26</v>
      </c>
      <c r="F118" s="19" t="s">
        <v>6</v>
      </c>
      <c r="G118" s="20"/>
      <c r="H118" s="21"/>
      <c r="I118" s="28"/>
      <c r="J118" s="20"/>
      <c r="K118" s="21"/>
    </row>
    <row r="119" spans="1:14">
      <c r="A119" s="8">
        <v>27</v>
      </c>
      <c r="C119" s="9" t="s">
        <v>48</v>
      </c>
      <c r="E119" s="8">
        <v>27</v>
      </c>
      <c r="F119" s="17"/>
      <c r="G119" s="50"/>
      <c r="H119" s="218">
        <f>H105+H106+H112+H113+H114+H117</f>
        <v>191922636.92864001</v>
      </c>
      <c r="I119" s="190"/>
      <c r="J119" s="51"/>
      <c r="K119" s="218">
        <f>K105+K106+K112+K113+K114+K117</f>
        <v>196123630</v>
      </c>
    </row>
    <row r="120" spans="1:14">
      <c r="A120" s="8"/>
      <c r="C120" s="9"/>
      <c r="E120" s="8"/>
      <c r="F120" s="52" t="s">
        <v>258</v>
      </c>
      <c r="G120" s="53"/>
      <c r="H120" s="53"/>
      <c r="I120" s="53"/>
      <c r="J120" s="54"/>
      <c r="K120" s="55"/>
    </row>
    <row r="121" spans="1:14" ht="29.25" customHeight="1">
      <c r="C121" s="221" t="s">
        <v>233</v>
      </c>
      <c r="D121" s="221"/>
      <c r="E121" s="221"/>
      <c r="F121" s="221"/>
      <c r="G121" s="221"/>
      <c r="H121" s="221"/>
      <c r="I121" s="221"/>
      <c r="J121" s="221"/>
      <c r="K121" s="56"/>
    </row>
    <row r="122" spans="1:14">
      <c r="D122" s="27"/>
      <c r="F122" s="19"/>
      <c r="G122" s="20"/>
      <c r="I122" s="28"/>
      <c r="J122" s="20"/>
      <c r="K122" s="21"/>
    </row>
    <row r="123" spans="1:14">
      <c r="C123" s="137" t="s">
        <v>49</v>
      </c>
      <c r="G123" s="137"/>
      <c r="H123" s="137"/>
      <c r="J123" s="137"/>
      <c r="K123" s="137"/>
    </row>
    <row r="124" spans="1:14">
      <c r="D124" s="27"/>
      <c r="F124" s="19"/>
      <c r="G124" s="20"/>
      <c r="I124" s="28"/>
      <c r="J124" s="20"/>
      <c r="K124" s="21"/>
    </row>
    <row r="125" spans="1:14">
      <c r="E125" s="35"/>
    </row>
    <row r="126" spans="1:14">
      <c r="A126" s="36" t="s">
        <v>234</v>
      </c>
    </row>
    <row r="127" spans="1:14">
      <c r="A127" s="16" t="str">
        <f>$A$83</f>
        <v xml:space="preserve">Institution No.:  </v>
      </c>
      <c r="B127" s="36"/>
      <c r="C127" s="36"/>
      <c r="D127" s="36"/>
      <c r="E127" s="37"/>
      <c r="F127" s="36"/>
      <c r="G127" s="38"/>
      <c r="H127" s="39"/>
      <c r="I127" s="36"/>
      <c r="J127" s="38"/>
      <c r="K127" s="15" t="s">
        <v>50</v>
      </c>
    </row>
    <row r="128" spans="1:14" ht="14.25">
      <c r="A128" s="222" t="s">
        <v>249</v>
      </c>
      <c r="B128" s="222"/>
      <c r="C128" s="222"/>
      <c r="D128" s="222"/>
      <c r="E128" s="222"/>
      <c r="F128" s="222"/>
      <c r="G128" s="222"/>
      <c r="H128" s="222"/>
      <c r="I128" s="222"/>
      <c r="J128" s="222"/>
      <c r="K128" s="222"/>
    </row>
    <row r="129" spans="1:11">
      <c r="A129" s="16" t="str">
        <f>$A$42</f>
        <v xml:space="preserve">NAME: </v>
      </c>
      <c r="C129" s="137" t="str">
        <f>$D$20</f>
        <v>University of Colorado</v>
      </c>
      <c r="H129" s="40"/>
      <c r="J129" s="14"/>
      <c r="K129" s="18" t="str">
        <f>$K$3</f>
        <v>Date: October 09, 2017</v>
      </c>
    </row>
    <row r="130" spans="1:11">
      <c r="A130" s="19" t="s">
        <v>6</v>
      </c>
      <c r="B130" s="19" t="s">
        <v>6</v>
      </c>
      <c r="C130" s="19" t="s">
        <v>6</v>
      </c>
      <c r="D130" s="19" t="s">
        <v>6</v>
      </c>
      <c r="E130" s="19" t="s">
        <v>6</v>
      </c>
      <c r="F130" s="19" t="s">
        <v>6</v>
      </c>
      <c r="G130" s="20" t="s">
        <v>6</v>
      </c>
      <c r="H130" s="21" t="s">
        <v>6</v>
      </c>
      <c r="I130" s="19" t="s">
        <v>6</v>
      </c>
      <c r="J130" s="20" t="s">
        <v>6</v>
      </c>
      <c r="K130" s="21" t="s">
        <v>6</v>
      </c>
    </row>
    <row r="131" spans="1:11">
      <c r="A131" s="22" t="s">
        <v>7</v>
      </c>
      <c r="E131" s="22" t="s">
        <v>7</v>
      </c>
      <c r="F131" s="23"/>
      <c r="G131" s="24"/>
      <c r="H131" s="25" t="str">
        <f>H87</f>
        <v>2016-17</v>
      </c>
      <c r="I131" s="23"/>
      <c r="J131" s="24"/>
      <c r="K131" s="25" t="str">
        <f>K87</f>
        <v>2017-18</v>
      </c>
    </row>
    <row r="132" spans="1:11">
      <c r="A132" s="22" t="s">
        <v>9</v>
      </c>
      <c r="C132" s="26" t="s">
        <v>51</v>
      </c>
      <c r="E132" s="22" t="s">
        <v>9</v>
      </c>
      <c r="F132" s="23"/>
      <c r="G132" s="24"/>
      <c r="H132" s="25" t="s">
        <v>12</v>
      </c>
      <c r="I132" s="23"/>
      <c r="J132" s="24"/>
      <c r="K132" s="25" t="s">
        <v>13</v>
      </c>
    </row>
    <row r="133" spans="1:11">
      <c r="A133" s="19" t="s">
        <v>6</v>
      </c>
      <c r="B133" s="19" t="s">
        <v>6</v>
      </c>
      <c r="C133" s="19" t="s">
        <v>6</v>
      </c>
      <c r="D133" s="19" t="s">
        <v>6</v>
      </c>
      <c r="E133" s="19" t="s">
        <v>6</v>
      </c>
      <c r="F133" s="19" t="s">
        <v>6</v>
      </c>
      <c r="G133" s="20" t="s">
        <v>6</v>
      </c>
      <c r="H133" s="21" t="s">
        <v>6</v>
      </c>
      <c r="I133" s="19" t="s">
        <v>6</v>
      </c>
      <c r="J133" s="20" t="s">
        <v>6</v>
      </c>
      <c r="K133" s="21" t="s">
        <v>6</v>
      </c>
    </row>
    <row r="134" spans="1:11">
      <c r="A134" s="137">
        <v>1</v>
      </c>
      <c r="C134" s="137" t="s">
        <v>52</v>
      </c>
      <c r="E134" s="137">
        <v>1</v>
      </c>
    </row>
    <row r="135" spans="1:11" ht="33.75" customHeight="1">
      <c r="A135" s="41">
        <v>2</v>
      </c>
      <c r="C135" s="223" t="s">
        <v>66</v>
      </c>
      <c r="D135" s="223"/>
      <c r="E135" s="41">
        <v>2</v>
      </c>
      <c r="G135" s="94"/>
      <c r="H135" s="139">
        <v>0</v>
      </c>
      <c r="I135" s="95"/>
      <c r="J135" s="95"/>
      <c r="K135" s="139">
        <v>0</v>
      </c>
    </row>
    <row r="136" spans="1:11" ht="15.75" customHeight="1">
      <c r="A136" s="137">
        <v>3</v>
      </c>
      <c r="C136" s="137" t="s">
        <v>53</v>
      </c>
      <c r="E136" s="137">
        <v>3</v>
      </c>
      <c r="G136" s="94"/>
      <c r="H136" s="140">
        <v>0</v>
      </c>
      <c r="I136" s="94"/>
      <c r="J136" s="94"/>
      <c r="K136" s="140">
        <v>0</v>
      </c>
    </row>
    <row r="137" spans="1:11">
      <c r="A137" s="137">
        <v>4</v>
      </c>
      <c r="C137" s="137" t="s">
        <v>54</v>
      </c>
      <c r="E137" s="137">
        <v>4</v>
      </c>
      <c r="G137" s="94"/>
      <c r="H137" s="140">
        <v>0</v>
      </c>
      <c r="I137" s="94"/>
      <c r="J137" s="94"/>
      <c r="K137" s="140">
        <v>0</v>
      </c>
    </row>
    <row r="138" spans="1:11">
      <c r="A138" s="137">
        <v>5</v>
      </c>
      <c r="C138" s="137" t="s">
        <v>55</v>
      </c>
      <c r="E138" s="137">
        <v>5</v>
      </c>
      <c r="G138" s="94"/>
      <c r="H138" s="140">
        <v>0</v>
      </c>
      <c r="I138" s="94"/>
      <c r="J138" s="94"/>
      <c r="K138" s="140">
        <v>0</v>
      </c>
    </row>
    <row r="139" spans="1:11" ht="47.25" customHeight="1">
      <c r="A139" s="41">
        <v>6</v>
      </c>
      <c r="C139" s="223" t="s">
        <v>56</v>
      </c>
      <c r="D139" s="223"/>
      <c r="E139" s="41">
        <v>6</v>
      </c>
      <c r="G139" s="94"/>
      <c r="H139" s="139">
        <v>0</v>
      </c>
      <c r="I139" s="95"/>
      <c r="J139" s="95"/>
      <c r="K139" s="139">
        <v>0</v>
      </c>
    </row>
    <row r="140" spans="1:11">
      <c r="A140" s="137">
        <v>7</v>
      </c>
      <c r="E140" s="137">
        <v>7</v>
      </c>
      <c r="G140" s="94"/>
      <c r="H140" s="94"/>
      <c r="I140" s="94"/>
      <c r="J140" s="94"/>
      <c r="K140" s="94"/>
    </row>
    <row r="141" spans="1:11">
      <c r="A141" s="137">
        <v>8</v>
      </c>
      <c r="E141" s="137">
        <v>8</v>
      </c>
      <c r="G141" s="94"/>
      <c r="H141" s="94"/>
      <c r="I141" s="94"/>
      <c r="J141" s="94"/>
      <c r="K141" s="94"/>
    </row>
    <row r="142" spans="1:11">
      <c r="A142" s="137">
        <v>9</v>
      </c>
      <c r="E142" s="137">
        <v>9</v>
      </c>
      <c r="G142" s="94"/>
      <c r="H142" s="94"/>
      <c r="I142" s="94"/>
      <c r="J142" s="94"/>
      <c r="K142" s="94"/>
    </row>
    <row r="143" spans="1:11">
      <c r="A143" s="137">
        <v>10</v>
      </c>
      <c r="E143" s="137">
        <v>10</v>
      </c>
      <c r="G143" s="94"/>
      <c r="H143" s="94"/>
      <c r="I143" s="94"/>
      <c r="J143" s="94"/>
      <c r="K143" s="94"/>
    </row>
    <row r="144" spans="1:11">
      <c r="A144" s="137">
        <v>11</v>
      </c>
      <c r="E144" s="137">
        <v>11</v>
      </c>
      <c r="G144" s="94"/>
      <c r="H144" s="94"/>
      <c r="I144" s="94"/>
      <c r="J144" s="94"/>
      <c r="K144" s="94"/>
    </row>
    <row r="145" spans="1:11">
      <c r="A145" s="137">
        <v>12</v>
      </c>
      <c r="C145" s="137" t="s">
        <v>57</v>
      </c>
      <c r="E145" s="137">
        <v>12</v>
      </c>
      <c r="G145" s="94"/>
      <c r="H145" s="94">
        <f>SUM(H135:H144)</f>
        <v>0</v>
      </c>
      <c r="I145" s="94"/>
      <c r="J145" s="94"/>
      <c r="K145" s="94">
        <f>SUM(K135:K144)</f>
        <v>0</v>
      </c>
    </row>
    <row r="146" spans="1:11">
      <c r="E146" s="35"/>
    </row>
    <row r="147" spans="1:11">
      <c r="E147" s="35"/>
    </row>
    <row r="148" spans="1:11">
      <c r="E148" s="35"/>
    </row>
    <row r="149" spans="1:11">
      <c r="E149" s="35"/>
    </row>
    <row r="150" spans="1:11">
      <c r="E150" s="35"/>
    </row>
    <row r="151" spans="1:11">
      <c r="E151" s="35"/>
    </row>
    <row r="152" spans="1:11">
      <c r="E152" s="35"/>
    </row>
    <row r="154" spans="1:11">
      <c r="D154" s="42"/>
      <c r="F154" s="42"/>
      <c r="G154" s="43"/>
      <c r="H154" s="44"/>
    </row>
    <row r="155" spans="1:11">
      <c r="E155" s="35"/>
    </row>
    <row r="156" spans="1:11">
      <c r="E156" s="35"/>
    </row>
    <row r="157" spans="1:11">
      <c r="E157" s="35"/>
    </row>
    <row r="158" spans="1:11" ht="13.5">
      <c r="C158" s="137" t="s">
        <v>256</v>
      </c>
      <c r="E158" s="35"/>
    </row>
    <row r="159" spans="1:11">
      <c r="E159" s="35"/>
    </row>
    <row r="160" spans="1:11" ht="12.75">
      <c r="B160" s="45"/>
      <c r="C160" s="46"/>
      <c r="D160" s="47"/>
      <c r="E160" s="47"/>
      <c r="F160" s="47"/>
    </row>
    <row r="161" spans="1:11" ht="12.75">
      <c r="B161" s="45"/>
      <c r="C161" s="46"/>
      <c r="D161" s="47"/>
      <c r="E161" s="47"/>
      <c r="F161" s="47"/>
    </row>
    <row r="162" spans="1:11">
      <c r="E162" s="35"/>
    </row>
    <row r="163" spans="1:11">
      <c r="E163" s="35"/>
    </row>
    <row r="164" spans="1:11">
      <c r="E164" s="35"/>
    </row>
    <row r="165" spans="1:11">
      <c r="E165" s="35"/>
    </row>
    <row r="166" spans="1:11">
      <c r="E166" s="35"/>
    </row>
    <row r="167" spans="1:11">
      <c r="E167" s="35"/>
    </row>
    <row r="168" spans="1:11">
      <c r="E168" s="35"/>
    </row>
    <row r="169" spans="1:11">
      <c r="E169" s="35"/>
    </row>
    <row r="170" spans="1:11">
      <c r="E170" s="35"/>
    </row>
    <row r="171" spans="1:11">
      <c r="E171" s="35"/>
    </row>
    <row r="172" spans="1:11">
      <c r="E172" s="35"/>
    </row>
    <row r="173" spans="1:11">
      <c r="A173" s="137" t="s">
        <v>293</v>
      </c>
      <c r="E173" s="35"/>
    </row>
    <row r="174" spans="1:11">
      <c r="A174" s="16" t="str">
        <f>$A$83</f>
        <v xml:space="preserve">Institution No.:  </v>
      </c>
      <c r="E174" s="35"/>
      <c r="G174" s="14"/>
      <c r="H174" s="40"/>
      <c r="J174" s="14"/>
      <c r="K174" s="15" t="s">
        <v>67</v>
      </c>
    </row>
    <row r="175" spans="1:11" s="36" customFormat="1">
      <c r="A175" s="222" t="s">
        <v>68</v>
      </c>
      <c r="B175" s="222"/>
      <c r="C175" s="222"/>
      <c r="D175" s="222"/>
      <c r="E175" s="222"/>
      <c r="F175" s="222"/>
      <c r="G175" s="222"/>
      <c r="H175" s="222"/>
      <c r="I175" s="222"/>
      <c r="J175" s="222"/>
      <c r="K175" s="222"/>
    </row>
    <row r="176" spans="1:11">
      <c r="A176" s="16" t="str">
        <f>$A$42</f>
        <v xml:space="preserve">NAME: </v>
      </c>
      <c r="C176" s="137" t="str">
        <f>$D$20</f>
        <v>University of Colorado</v>
      </c>
      <c r="H176" s="40"/>
      <c r="J176" s="14"/>
      <c r="K176" s="18" t="str">
        <f>$K$3</f>
        <v>Date: October 09, 2017</v>
      </c>
    </row>
    <row r="177" spans="1:11">
      <c r="A177" s="19" t="s">
        <v>6</v>
      </c>
      <c r="B177" s="19" t="s">
        <v>6</v>
      </c>
      <c r="C177" s="19" t="s">
        <v>6</v>
      </c>
      <c r="D177" s="19" t="s">
        <v>6</v>
      </c>
      <c r="E177" s="19" t="s">
        <v>6</v>
      </c>
      <c r="F177" s="19" t="s">
        <v>6</v>
      </c>
      <c r="G177" s="20" t="s">
        <v>6</v>
      </c>
      <c r="H177" s="21" t="s">
        <v>6</v>
      </c>
      <c r="I177" s="19" t="s">
        <v>6</v>
      </c>
      <c r="J177" s="20" t="s">
        <v>6</v>
      </c>
      <c r="K177" s="21" t="s">
        <v>6</v>
      </c>
    </row>
    <row r="178" spans="1:11">
      <c r="A178" s="22" t="s">
        <v>7</v>
      </c>
      <c r="E178" s="22" t="s">
        <v>7</v>
      </c>
      <c r="G178" s="24"/>
      <c r="H178" s="25" t="str">
        <f>H131</f>
        <v>2016-17</v>
      </c>
      <c r="I178" s="23"/>
      <c r="J178" s="137"/>
      <c r="K178" s="25" t="str">
        <f>K131</f>
        <v>2017-18</v>
      </c>
    </row>
    <row r="179" spans="1:11">
      <c r="A179" s="22" t="s">
        <v>9</v>
      </c>
      <c r="E179" s="22" t="s">
        <v>9</v>
      </c>
      <c r="G179" s="24"/>
      <c r="H179" s="25" t="s">
        <v>12</v>
      </c>
      <c r="I179" s="23"/>
      <c r="J179" s="137"/>
      <c r="K179" s="25" t="str">
        <f>K132</f>
        <v>Estimate</v>
      </c>
    </row>
    <row r="180" spans="1:11">
      <c r="A180" s="19" t="s">
        <v>6</v>
      </c>
      <c r="B180" s="19" t="s">
        <v>6</v>
      </c>
      <c r="C180" s="19" t="s">
        <v>6</v>
      </c>
      <c r="D180" s="19" t="s">
        <v>6</v>
      </c>
      <c r="E180" s="19" t="s">
        <v>6</v>
      </c>
      <c r="F180" s="19" t="s">
        <v>6</v>
      </c>
      <c r="G180" s="20" t="s">
        <v>6</v>
      </c>
      <c r="H180" s="21" t="s">
        <v>6</v>
      </c>
      <c r="I180" s="19" t="s">
        <v>6</v>
      </c>
      <c r="J180" s="20" t="s">
        <v>6</v>
      </c>
      <c r="K180" s="20" t="s">
        <v>6</v>
      </c>
    </row>
    <row r="181" spans="1:11">
      <c r="A181" s="8">
        <v>1</v>
      </c>
      <c r="C181" s="9" t="s">
        <v>69</v>
      </c>
      <c r="E181" s="8">
        <v>1</v>
      </c>
      <c r="G181" s="14"/>
      <c r="H181" s="30"/>
      <c r="J181" s="137"/>
      <c r="K181" s="137"/>
    </row>
    <row r="182" spans="1:11">
      <c r="A182" s="27" t="s">
        <v>70</v>
      </c>
      <c r="C182" s="9" t="s">
        <v>71</v>
      </c>
      <c r="E182" s="27" t="s">
        <v>70</v>
      </c>
      <c r="F182" s="60"/>
      <c r="G182" s="96"/>
      <c r="H182" s="191">
        <f>+H107/(30*75)</f>
        <v>6611.1155555555551</v>
      </c>
      <c r="I182" s="96"/>
      <c r="J182" s="137"/>
      <c r="K182" s="141">
        <f>+K107/(30*77)</f>
        <v>6245.7333333333336</v>
      </c>
    </row>
    <row r="183" spans="1:11">
      <c r="A183" s="27" t="s">
        <v>72</v>
      </c>
      <c r="C183" s="9" t="s">
        <v>73</v>
      </c>
      <c r="E183" s="27" t="s">
        <v>72</v>
      </c>
      <c r="F183" s="60"/>
      <c r="G183" s="96"/>
      <c r="H183" s="98">
        <f>+H184-H182</f>
        <v>918.02444444444518</v>
      </c>
      <c r="I183" s="96"/>
      <c r="J183" s="137"/>
      <c r="K183" s="98">
        <v>1511.27</v>
      </c>
    </row>
    <row r="184" spans="1:11">
      <c r="A184" s="27" t="s">
        <v>74</v>
      </c>
      <c r="C184" s="9" t="s">
        <v>75</v>
      </c>
      <c r="E184" s="27" t="s">
        <v>74</v>
      </c>
      <c r="F184" s="60"/>
      <c r="G184" s="96"/>
      <c r="H184" s="97">
        <v>7529.14</v>
      </c>
      <c r="I184" s="96"/>
      <c r="J184" s="137"/>
      <c r="K184" s="97">
        <f>SUM(K182:K183)</f>
        <v>7757.003333333334</v>
      </c>
    </row>
    <row r="185" spans="1:11">
      <c r="A185" s="8">
        <v>3</v>
      </c>
      <c r="C185" s="9" t="s">
        <v>76</v>
      </c>
      <c r="E185" s="8">
        <v>3</v>
      </c>
      <c r="F185" s="60"/>
      <c r="G185" s="96"/>
      <c r="H185" s="141">
        <v>2087.73</v>
      </c>
      <c r="I185" s="96"/>
      <c r="J185" s="137"/>
      <c r="K185" s="141">
        <v>1982</v>
      </c>
    </row>
    <row r="186" spans="1:11">
      <c r="A186" s="8">
        <v>4</v>
      </c>
      <c r="C186" s="9" t="s">
        <v>77</v>
      </c>
      <c r="E186" s="8">
        <v>4</v>
      </c>
      <c r="F186" s="60"/>
      <c r="G186" s="96"/>
      <c r="H186" s="97">
        <f>+H185+H184</f>
        <v>9616.8700000000008</v>
      </c>
      <c r="I186" s="96"/>
      <c r="J186" s="137"/>
      <c r="K186" s="97">
        <f>SUM(K184:K185)</f>
        <v>9739.003333333334</v>
      </c>
    </row>
    <row r="187" spans="1:11">
      <c r="A187" s="8">
        <v>5</v>
      </c>
      <c r="E187" s="8">
        <v>5</v>
      </c>
      <c r="F187" s="60"/>
      <c r="G187" s="96"/>
      <c r="H187" s="97"/>
      <c r="I187" s="96"/>
      <c r="J187" s="137"/>
      <c r="K187" s="97"/>
    </row>
    <row r="188" spans="1:11">
      <c r="A188" s="8">
        <v>6</v>
      </c>
      <c r="C188" s="9" t="s">
        <v>78</v>
      </c>
      <c r="E188" s="8">
        <v>6</v>
      </c>
      <c r="F188" s="60"/>
      <c r="G188" s="96"/>
      <c r="H188" s="141">
        <v>1243.67</v>
      </c>
      <c r="I188" s="96"/>
      <c r="J188" s="137"/>
      <c r="K188" s="141">
        <v>1227</v>
      </c>
    </row>
    <row r="189" spans="1:11">
      <c r="A189" s="8">
        <v>7</v>
      </c>
      <c r="C189" s="9" t="s">
        <v>79</v>
      </c>
      <c r="E189" s="8">
        <v>7</v>
      </c>
      <c r="F189" s="60"/>
      <c r="G189" s="96"/>
      <c r="H189" s="141">
        <v>477.46</v>
      </c>
      <c r="I189" s="96"/>
      <c r="J189" s="137"/>
      <c r="K189" s="141">
        <v>455</v>
      </c>
    </row>
    <row r="190" spans="1:11">
      <c r="A190" s="8">
        <v>8</v>
      </c>
      <c r="C190" s="9" t="s">
        <v>80</v>
      </c>
      <c r="E190" s="8">
        <v>8</v>
      </c>
      <c r="F190" s="60"/>
      <c r="G190" s="96"/>
      <c r="H190" s="97">
        <f>SUM(H188:H189)</f>
        <v>1721.13</v>
      </c>
      <c r="I190" s="96"/>
      <c r="J190" s="137"/>
      <c r="K190" s="97">
        <f>SUM(K188:K189)</f>
        <v>1682</v>
      </c>
    </row>
    <row r="191" spans="1:11">
      <c r="A191" s="8">
        <v>9</v>
      </c>
      <c r="E191" s="8">
        <v>9</v>
      </c>
      <c r="F191" s="60"/>
      <c r="G191" s="96"/>
      <c r="H191" s="97"/>
      <c r="I191" s="96"/>
      <c r="J191" s="137"/>
      <c r="K191" s="97"/>
    </row>
    <row r="192" spans="1:11">
      <c r="A192" s="8">
        <v>10</v>
      </c>
      <c r="C192" s="9" t="s">
        <v>81</v>
      </c>
      <c r="E192" s="8">
        <v>10</v>
      </c>
      <c r="F192" s="60"/>
      <c r="G192" s="96"/>
      <c r="H192" s="97">
        <f>H184+H188</f>
        <v>8772.8100000000013</v>
      </c>
      <c r="I192" s="96"/>
      <c r="J192" s="137"/>
      <c r="K192" s="97">
        <f>K184+K188</f>
        <v>8984.003333333334</v>
      </c>
    </row>
    <row r="193" spans="1:11">
      <c r="A193" s="8">
        <v>11</v>
      </c>
      <c r="C193" s="9" t="s">
        <v>82</v>
      </c>
      <c r="E193" s="8">
        <v>11</v>
      </c>
      <c r="F193" s="60"/>
      <c r="G193" s="96"/>
      <c r="H193" s="97">
        <f>H185+H189</f>
        <v>2565.19</v>
      </c>
      <c r="I193" s="96"/>
      <c r="J193" s="137"/>
      <c r="K193" s="97">
        <f>K185+K189</f>
        <v>2437</v>
      </c>
    </row>
    <row r="194" spans="1:11">
      <c r="A194" s="8">
        <v>12</v>
      </c>
      <c r="C194" s="9" t="s">
        <v>83</v>
      </c>
      <c r="E194" s="8">
        <v>12</v>
      </c>
      <c r="F194" s="60"/>
      <c r="G194" s="96"/>
      <c r="H194" s="97">
        <f>H192+H193</f>
        <v>11338.000000000002</v>
      </c>
      <c r="I194" s="96"/>
      <c r="J194" s="137"/>
      <c r="K194" s="97">
        <f>K192+K193</f>
        <v>11421.003333333334</v>
      </c>
    </row>
    <row r="195" spans="1:11">
      <c r="A195" s="8">
        <v>13</v>
      </c>
      <c r="E195" s="8">
        <v>13</v>
      </c>
      <c r="G195" s="96"/>
      <c r="H195" s="99"/>
      <c r="I195" s="100"/>
      <c r="J195" s="137"/>
      <c r="K195" s="99"/>
    </row>
    <row r="196" spans="1:11">
      <c r="A196" s="8">
        <v>15</v>
      </c>
      <c r="C196" s="9" t="s">
        <v>84</v>
      </c>
      <c r="E196" s="8">
        <v>15</v>
      </c>
      <c r="G196" s="96"/>
      <c r="H196" s="101"/>
      <c r="I196" s="100"/>
      <c r="J196" s="137"/>
      <c r="K196" s="101"/>
    </row>
    <row r="197" spans="1:11">
      <c r="A197" s="8">
        <v>16</v>
      </c>
      <c r="C197" s="9" t="s">
        <v>85</v>
      </c>
      <c r="E197" s="8">
        <v>16</v>
      </c>
      <c r="G197" s="96"/>
      <c r="H197" s="192">
        <f>(H119-H367)/H194</f>
        <v>16625.551858232491</v>
      </c>
      <c r="I197" s="102"/>
      <c r="J197" s="137"/>
      <c r="K197" s="99"/>
    </row>
    <row r="198" spans="1:11">
      <c r="A198" s="8">
        <v>17</v>
      </c>
      <c r="C198" s="9" t="s">
        <v>86</v>
      </c>
      <c r="E198" s="8">
        <v>17</v>
      </c>
      <c r="G198" s="96"/>
      <c r="H198" s="146"/>
      <c r="I198" s="100"/>
      <c r="J198" s="137"/>
      <c r="K198" s="100"/>
    </row>
    <row r="199" spans="1:11">
      <c r="A199" s="8">
        <v>18</v>
      </c>
      <c r="E199" s="8">
        <v>18</v>
      </c>
      <c r="G199" s="96"/>
      <c r="H199" s="100"/>
      <c r="I199" s="100"/>
      <c r="J199" s="137"/>
      <c r="K199" s="100"/>
    </row>
    <row r="200" spans="1:11">
      <c r="A200" s="137">
        <v>19</v>
      </c>
      <c r="C200" s="9" t="s">
        <v>87</v>
      </c>
      <c r="E200" s="137">
        <v>19</v>
      </c>
      <c r="G200" s="96"/>
      <c r="H200" s="100"/>
      <c r="I200" s="100"/>
      <c r="J200" s="137"/>
      <c r="K200" s="100"/>
    </row>
    <row r="201" spans="1:11">
      <c r="A201" s="8">
        <v>20</v>
      </c>
      <c r="C201" s="9" t="s">
        <v>88</v>
      </c>
      <c r="E201" s="8">
        <v>20</v>
      </c>
      <c r="F201" s="10"/>
      <c r="G201" s="103"/>
      <c r="H201" s="104">
        <f>G512+G551</f>
        <v>811.77</v>
      </c>
      <c r="I201" s="103"/>
      <c r="J201" s="137"/>
      <c r="K201" s="104"/>
    </row>
    <row r="202" spans="1:11">
      <c r="A202" s="8">
        <v>21</v>
      </c>
      <c r="C202" s="9" t="s">
        <v>89</v>
      </c>
      <c r="E202" s="8">
        <v>21</v>
      </c>
      <c r="F202" s="10"/>
      <c r="G202" s="103"/>
      <c r="H202" s="104">
        <f>G508+G547</f>
        <v>672.19999999999993</v>
      </c>
      <c r="I202" s="103"/>
      <c r="J202" s="137"/>
      <c r="K202" s="104"/>
    </row>
    <row r="203" spans="1:11">
      <c r="A203" s="8">
        <v>22</v>
      </c>
      <c r="C203" s="9" t="s">
        <v>90</v>
      </c>
      <c r="E203" s="8">
        <v>22</v>
      </c>
      <c r="F203" s="10"/>
      <c r="G203" s="103"/>
      <c r="H203" s="104">
        <f>G510+G549</f>
        <v>139.57</v>
      </c>
      <c r="I203" s="103"/>
      <c r="J203" s="137"/>
      <c r="K203" s="104"/>
    </row>
    <row r="204" spans="1:11">
      <c r="A204" s="8">
        <v>23</v>
      </c>
      <c r="E204" s="8">
        <v>23</v>
      </c>
      <c r="F204" s="10"/>
      <c r="G204" s="103"/>
      <c r="H204" s="104"/>
      <c r="I204" s="103"/>
      <c r="J204" s="137"/>
      <c r="K204" s="104"/>
    </row>
    <row r="205" spans="1:11">
      <c r="A205" s="8">
        <v>24</v>
      </c>
      <c r="C205" s="9" t="s">
        <v>91</v>
      </c>
      <c r="E205" s="8">
        <v>24</v>
      </c>
      <c r="F205" s="10"/>
      <c r="G205" s="103"/>
      <c r="H205" s="103"/>
      <c r="I205" s="103"/>
      <c r="K205" s="103"/>
    </row>
    <row r="206" spans="1:11" ht="15">
      <c r="A206" s="8">
        <v>25</v>
      </c>
      <c r="C206" s="9" t="s">
        <v>92</v>
      </c>
      <c r="E206" s="8">
        <v>25</v>
      </c>
      <c r="G206" s="96"/>
      <c r="H206" s="192">
        <f>IF(OR(G512&gt;0,G551&gt;0),(H551+H512)/(G551+G512),0)</f>
        <v>96095.499740074156</v>
      </c>
      <c r="I206" s="100"/>
      <c r="K206" s="136"/>
    </row>
    <row r="207" spans="1:11">
      <c r="A207" s="8">
        <v>26</v>
      </c>
      <c r="C207" s="9" t="s">
        <v>93</v>
      </c>
      <c r="E207" s="8">
        <v>26</v>
      </c>
      <c r="G207" s="96"/>
      <c r="H207" s="192">
        <f>IF(H202=0,0,(H508+H509+H547+H548)/H202)</f>
        <v>95363.023481106822</v>
      </c>
      <c r="I207" s="100"/>
      <c r="J207" s="137"/>
      <c r="K207" s="100"/>
    </row>
    <row r="208" spans="1:11">
      <c r="A208" s="8">
        <v>27</v>
      </c>
      <c r="C208" s="9" t="s">
        <v>94</v>
      </c>
      <c r="E208" s="8">
        <v>27</v>
      </c>
      <c r="G208" s="96"/>
      <c r="H208" s="192">
        <f>IF(H203=0,0,(H510+H511+H549+H550)/H203)</f>
        <v>99623.267464354809</v>
      </c>
      <c r="I208" s="100"/>
      <c r="J208" s="137"/>
      <c r="K208" s="100"/>
    </row>
    <row r="209" spans="1:11">
      <c r="A209" s="8">
        <v>28</v>
      </c>
      <c r="E209" s="8">
        <v>28</v>
      </c>
      <c r="G209" s="96"/>
      <c r="H209" s="100"/>
      <c r="I209" s="100"/>
      <c r="J209" s="137"/>
      <c r="K209" s="100"/>
    </row>
    <row r="210" spans="1:11">
      <c r="A210" s="8">
        <v>29</v>
      </c>
      <c r="C210" s="9" t="s">
        <v>95</v>
      </c>
      <c r="E210" s="8">
        <v>29</v>
      </c>
      <c r="F210" s="61"/>
      <c r="G210" s="96"/>
      <c r="H210" s="97">
        <f>G101</f>
        <v>1430.57</v>
      </c>
      <c r="I210" s="96"/>
      <c r="J210" s="137"/>
      <c r="K210" s="97"/>
    </row>
    <row r="211" spans="1:11">
      <c r="A211" s="9"/>
      <c r="H211" s="40"/>
      <c r="J211" s="137"/>
      <c r="K211" s="137"/>
    </row>
    <row r="212" spans="1:11">
      <c r="A212" s="9"/>
      <c r="H212" s="40"/>
      <c r="K212" s="40"/>
    </row>
    <row r="213" spans="1:11" ht="30" customHeight="1">
      <c r="A213" s="9"/>
      <c r="C213" s="231" t="s">
        <v>96</v>
      </c>
      <c r="D213" s="231"/>
      <c r="E213" s="231"/>
      <c r="F213" s="231"/>
      <c r="G213" s="231"/>
      <c r="H213" s="231"/>
      <c r="I213" s="231"/>
      <c r="K213" s="40"/>
    </row>
    <row r="214" spans="1:11">
      <c r="A214" s="9"/>
      <c r="H214" s="40"/>
      <c r="K214" s="40"/>
    </row>
    <row r="215" spans="1:11">
      <c r="A215" s="9"/>
      <c r="H215" s="40"/>
      <c r="K215" s="40"/>
    </row>
    <row r="216" spans="1:11">
      <c r="A216" s="9"/>
      <c r="H216" s="40"/>
      <c r="K216" s="40"/>
    </row>
    <row r="217" spans="1:11">
      <c r="A217" s="9"/>
      <c r="C217" s="36"/>
      <c r="D217" s="36"/>
      <c r="E217" s="36"/>
      <c r="F217" s="36"/>
      <c r="G217" s="62"/>
      <c r="H217" s="39"/>
      <c r="K217" s="40"/>
    </row>
    <row r="218" spans="1:11">
      <c r="A218" s="9"/>
      <c r="H218" s="40"/>
      <c r="K218" s="40"/>
    </row>
    <row r="219" spans="1:11">
      <c r="A219" s="9"/>
      <c r="H219" s="40"/>
      <c r="K219" s="40"/>
    </row>
    <row r="220" spans="1:11">
      <c r="A220" s="9"/>
      <c r="H220" s="40"/>
      <c r="K220" s="40"/>
    </row>
    <row r="221" spans="1:11">
      <c r="A221" s="9"/>
      <c r="H221" s="40"/>
      <c r="K221" s="40"/>
    </row>
    <row r="222" spans="1:11">
      <c r="A222" s="9"/>
      <c r="H222" s="40"/>
      <c r="K222" s="40"/>
    </row>
    <row r="223" spans="1:11">
      <c r="A223" s="9"/>
      <c r="H223" s="40"/>
      <c r="K223" s="40"/>
    </row>
    <row r="224" spans="1:11">
      <c r="E224" s="35"/>
      <c r="G224" s="14"/>
      <c r="H224" s="40"/>
      <c r="I224" s="17"/>
      <c r="K224" s="40"/>
    </row>
    <row r="225" spans="1:11">
      <c r="A225" s="9"/>
      <c r="H225" s="40"/>
      <c r="K225" s="40"/>
    </row>
    <row r="226" spans="1:11">
      <c r="A226" s="16" t="str">
        <f>$A$83</f>
        <v xml:space="preserve">Institution No.:  </v>
      </c>
      <c r="C226" s="63"/>
      <c r="G226" s="137"/>
      <c r="H226" s="137"/>
      <c r="I226" s="31" t="s">
        <v>97</v>
      </c>
      <c r="J226" s="137"/>
      <c r="K226" s="137"/>
    </row>
    <row r="227" spans="1:11">
      <c r="A227" s="158"/>
      <c r="B227" s="232" t="s">
        <v>98</v>
      </c>
      <c r="C227" s="232"/>
      <c r="D227" s="232"/>
      <c r="E227" s="232"/>
      <c r="F227" s="232"/>
      <c r="G227" s="232"/>
      <c r="H227" s="232"/>
      <c r="I227" s="232"/>
      <c r="J227" s="232"/>
      <c r="K227" s="232"/>
    </row>
    <row r="228" spans="1:11">
      <c r="A228" s="16" t="str">
        <f>$A$42</f>
        <v xml:space="preserve">NAME: </v>
      </c>
      <c r="C228" s="137" t="str">
        <f>$D$20</f>
        <v>University of Colorado</v>
      </c>
      <c r="G228" s="137"/>
      <c r="H228" s="137"/>
      <c r="I228" s="18" t="str">
        <f>$K$3</f>
        <v>Date: October 09, 2017</v>
      </c>
      <c r="J228" s="137"/>
      <c r="K228" s="137"/>
    </row>
    <row r="229" spans="1:11">
      <c r="A229" s="19"/>
      <c r="C229" s="19" t="s">
        <v>6</v>
      </c>
      <c r="D229" s="19" t="s">
        <v>6</v>
      </c>
      <c r="E229" s="19" t="s">
        <v>6</v>
      </c>
      <c r="F229" s="19" t="s">
        <v>6</v>
      </c>
      <c r="G229" s="19" t="s">
        <v>6</v>
      </c>
      <c r="H229" s="19" t="s">
        <v>6</v>
      </c>
      <c r="I229" s="19" t="s">
        <v>6</v>
      </c>
      <c r="J229" s="19" t="s">
        <v>6</v>
      </c>
      <c r="K229" s="137"/>
    </row>
    <row r="230" spans="1:11">
      <c r="A230" s="22"/>
      <c r="D230" s="26" t="s">
        <v>232</v>
      </c>
      <c r="G230" s="137"/>
      <c r="H230" s="137"/>
      <c r="J230" s="137"/>
      <c r="K230" s="137"/>
    </row>
    <row r="231" spans="1:11">
      <c r="A231" s="22"/>
      <c r="D231" s="26" t="s">
        <v>12</v>
      </c>
      <c r="G231" s="137"/>
      <c r="H231" s="137"/>
      <c r="J231" s="137"/>
      <c r="K231" s="137"/>
    </row>
    <row r="232" spans="1:11">
      <c r="A232" s="19"/>
      <c r="D232" s="26" t="s">
        <v>99</v>
      </c>
      <c r="E232" s="26" t="s">
        <v>99</v>
      </c>
      <c r="F232" s="26" t="s">
        <v>100</v>
      </c>
      <c r="G232" s="26"/>
      <c r="H232" s="137"/>
      <c r="J232" s="137"/>
      <c r="K232" s="137"/>
    </row>
    <row r="233" spans="1:11">
      <c r="A233" s="9"/>
      <c r="C233" s="26" t="s">
        <v>101</v>
      </c>
      <c r="D233" s="26" t="s">
        <v>102</v>
      </c>
      <c r="E233" s="26" t="s">
        <v>103</v>
      </c>
      <c r="F233" s="26" t="s">
        <v>104</v>
      </c>
      <c r="G233" s="26"/>
      <c r="H233" s="137"/>
      <c r="J233" s="137"/>
      <c r="K233" s="137"/>
    </row>
    <row r="234" spans="1:11">
      <c r="A234" s="9"/>
      <c r="C234" s="19" t="s">
        <v>6</v>
      </c>
      <c r="D234" s="19" t="s">
        <v>6</v>
      </c>
      <c r="E234" s="19" t="s">
        <v>6</v>
      </c>
      <c r="F234" s="19" t="s">
        <v>6</v>
      </c>
      <c r="G234" s="19" t="s">
        <v>6</v>
      </c>
      <c r="H234" s="137"/>
      <c r="J234" s="137"/>
      <c r="K234" s="137"/>
    </row>
    <row r="235" spans="1:11">
      <c r="A235" s="9"/>
      <c r="G235" s="137"/>
      <c r="H235" s="137"/>
      <c r="J235" s="137"/>
      <c r="K235" s="137"/>
    </row>
    <row r="236" spans="1:11">
      <c r="A236" s="9"/>
      <c r="C236" s="9" t="s">
        <v>105</v>
      </c>
      <c r="D236" s="142"/>
      <c r="E236" s="142"/>
      <c r="F236" s="97"/>
      <c r="G236" s="137"/>
      <c r="H236" s="137"/>
      <c r="J236" s="137"/>
      <c r="K236" s="137"/>
    </row>
    <row r="237" spans="1:11">
      <c r="A237" s="9"/>
      <c r="D237" s="105"/>
      <c r="E237" s="105"/>
      <c r="F237" s="105"/>
      <c r="G237" s="137"/>
      <c r="H237" s="137"/>
      <c r="J237" s="137"/>
      <c r="K237" s="137"/>
    </row>
    <row r="238" spans="1:11">
      <c r="A238" s="9"/>
      <c r="C238" s="9" t="s">
        <v>106</v>
      </c>
      <c r="D238" s="141">
        <v>4367</v>
      </c>
      <c r="E238" s="141">
        <v>179.5</v>
      </c>
      <c r="F238" s="97">
        <f>D238/E238</f>
        <v>24.328690807799443</v>
      </c>
      <c r="G238" s="8"/>
      <c r="H238" s="137"/>
      <c r="J238" s="137"/>
      <c r="K238" s="137"/>
    </row>
    <row r="239" spans="1:11">
      <c r="A239" s="9"/>
      <c r="D239" s="99"/>
      <c r="E239" s="99"/>
      <c r="F239" s="99"/>
      <c r="G239" s="137"/>
      <c r="H239" s="137"/>
      <c r="J239" s="137"/>
      <c r="K239" s="137"/>
    </row>
    <row r="240" spans="1:11">
      <c r="A240" s="9"/>
      <c r="C240" s="9" t="s">
        <v>107</v>
      </c>
      <c r="D240" s="141">
        <v>4476</v>
      </c>
      <c r="E240" s="141">
        <v>266.3</v>
      </c>
      <c r="F240" s="97">
        <f>D240/E240</f>
        <v>16.808111152835149</v>
      </c>
      <c r="G240" s="8"/>
      <c r="H240" s="137"/>
      <c r="J240" s="137"/>
      <c r="K240" s="137"/>
    </row>
    <row r="241" spans="1:11">
      <c r="A241" s="9"/>
      <c r="D241" s="99"/>
      <c r="E241" s="99"/>
      <c r="F241" s="99"/>
      <c r="G241" s="137"/>
      <c r="H241" s="137"/>
      <c r="J241" s="137"/>
      <c r="K241" s="137"/>
    </row>
    <row r="242" spans="1:11">
      <c r="A242" s="9"/>
      <c r="C242" s="9" t="s">
        <v>108</v>
      </c>
      <c r="D242" s="97">
        <f>SUM(D236:D240)</f>
        <v>8843</v>
      </c>
      <c r="E242" s="97">
        <f>SUM(E236:E240)</f>
        <v>445.8</v>
      </c>
      <c r="F242" s="97">
        <f>D242/E242</f>
        <v>19.836249439210409</v>
      </c>
      <c r="G242" s="29"/>
      <c r="H242" s="64"/>
      <c r="J242" s="137"/>
      <c r="K242" s="137"/>
    </row>
    <row r="243" spans="1:11">
      <c r="A243" s="9"/>
      <c r="D243" s="65"/>
      <c r="E243" s="65"/>
      <c r="F243" s="65"/>
      <c r="G243" s="137"/>
      <c r="H243" s="137"/>
      <c r="J243" s="137"/>
      <c r="K243" s="137"/>
    </row>
    <row r="244" spans="1:11">
      <c r="A244" s="9"/>
      <c r="D244" s="65"/>
      <c r="E244" s="65"/>
      <c r="F244" s="65"/>
      <c r="G244" s="137"/>
      <c r="H244" s="137"/>
      <c r="J244" s="137"/>
      <c r="K244" s="137"/>
    </row>
    <row r="245" spans="1:11">
      <c r="A245" s="9"/>
      <c r="C245" s="9" t="s">
        <v>109</v>
      </c>
      <c r="D245" s="143">
        <v>2293</v>
      </c>
      <c r="E245" s="143">
        <v>210.8</v>
      </c>
      <c r="F245" s="97">
        <f>D245/E245</f>
        <v>10.877609108159392</v>
      </c>
      <c r="G245" s="8"/>
      <c r="H245" s="137"/>
      <c r="J245" s="137"/>
      <c r="K245" s="137"/>
    </row>
    <row r="246" spans="1:11">
      <c r="A246" s="9"/>
      <c r="D246" s="99"/>
      <c r="E246" s="99"/>
      <c r="F246" s="97"/>
      <c r="G246" s="137"/>
      <c r="H246" s="137"/>
      <c r="J246" s="137"/>
      <c r="K246" s="137"/>
    </row>
    <row r="247" spans="1:11">
      <c r="A247" s="9"/>
      <c r="B247" s="9" t="s">
        <v>38</v>
      </c>
      <c r="C247" s="9" t="s">
        <v>110</v>
      </c>
      <c r="D247" s="143">
        <v>201</v>
      </c>
      <c r="E247" s="143">
        <v>56.9</v>
      </c>
      <c r="F247" s="97">
        <f>D247/E247</f>
        <v>3.5325131810193322</v>
      </c>
      <c r="G247" s="8"/>
      <c r="H247" s="137"/>
      <c r="J247" s="137"/>
      <c r="K247" s="137"/>
    </row>
    <row r="248" spans="1:11">
      <c r="A248" s="9"/>
      <c r="D248" s="99"/>
      <c r="E248" s="99"/>
      <c r="F248" s="97"/>
      <c r="G248" s="137"/>
      <c r="H248" s="137"/>
      <c r="J248" s="137"/>
      <c r="K248" s="137"/>
    </row>
    <row r="249" spans="1:11">
      <c r="A249" s="9"/>
      <c r="C249" s="9" t="s">
        <v>111</v>
      </c>
      <c r="D249" s="99">
        <f>SUM(D245:D247)</f>
        <v>2494</v>
      </c>
      <c r="E249" s="99">
        <f>SUM(E245:E247)</f>
        <v>267.7</v>
      </c>
      <c r="F249" s="97">
        <f>D249/E249</f>
        <v>9.3163989540530441</v>
      </c>
      <c r="G249" s="8"/>
      <c r="H249" s="137"/>
      <c r="J249" s="137"/>
      <c r="K249" s="137"/>
    </row>
    <row r="250" spans="1:11">
      <c r="A250" s="9"/>
      <c r="D250" s="87"/>
      <c r="E250" s="87"/>
      <c r="F250" s="97"/>
      <c r="G250" s="137"/>
      <c r="H250" s="137"/>
      <c r="J250" s="137"/>
      <c r="K250" s="137"/>
    </row>
    <row r="251" spans="1:11">
      <c r="A251" s="9"/>
      <c r="C251" s="9" t="s">
        <v>112</v>
      </c>
      <c r="D251" s="193">
        <f>SUM(D242,D249)</f>
        <v>11337</v>
      </c>
      <c r="E251" s="90">
        <f>SUM(E242,E249)</f>
        <v>713.5</v>
      </c>
      <c r="F251" s="97">
        <f>D251/E251</f>
        <v>15.88927820602663</v>
      </c>
      <c r="G251" s="8"/>
      <c r="H251" s="137"/>
      <c r="J251" s="137"/>
      <c r="K251" s="137"/>
    </row>
    <row r="252" spans="1:11">
      <c r="A252" s="9"/>
      <c r="G252" s="137"/>
      <c r="H252" s="137"/>
      <c r="J252" s="137"/>
      <c r="K252" s="137"/>
    </row>
    <row r="253" spans="1:11">
      <c r="A253" s="9"/>
      <c r="G253" s="137"/>
      <c r="H253" s="137"/>
      <c r="J253" s="137"/>
      <c r="K253" s="137"/>
    </row>
    <row r="254" spans="1:11">
      <c r="A254" s="9"/>
      <c r="G254" s="137"/>
      <c r="H254" s="137"/>
      <c r="J254" s="137"/>
      <c r="K254" s="137"/>
    </row>
    <row r="255" spans="1:11">
      <c r="A255" s="9"/>
      <c r="G255" s="137"/>
      <c r="H255" s="137"/>
      <c r="J255" s="137"/>
      <c r="K255" s="137"/>
    </row>
    <row r="256" spans="1:11">
      <c r="A256" s="9"/>
      <c r="C256" s="9" t="s">
        <v>113</v>
      </c>
      <c r="G256" s="137"/>
      <c r="H256" s="137"/>
      <c r="J256" s="137"/>
      <c r="K256" s="137"/>
    </row>
    <row r="257" spans="1:11">
      <c r="A257" s="9"/>
      <c r="C257" s="9" t="s">
        <v>114</v>
      </c>
      <c r="G257" s="137"/>
      <c r="H257" s="137"/>
      <c r="J257" s="137"/>
      <c r="K257" s="137"/>
    </row>
    <row r="258" spans="1:11">
      <c r="A258" s="9"/>
      <c r="H258" s="40"/>
      <c r="K258" s="40"/>
    </row>
    <row r="259" spans="1:11">
      <c r="A259" s="9"/>
      <c r="H259" s="40"/>
      <c r="K259" s="40"/>
    </row>
    <row r="260" spans="1:11">
      <c r="A260" s="9"/>
      <c r="H260" s="40"/>
      <c r="K260" s="40"/>
    </row>
    <row r="261" spans="1:11">
      <c r="A261" s="9"/>
      <c r="H261" s="40"/>
      <c r="K261" s="40"/>
    </row>
    <row r="262" spans="1:11">
      <c r="A262" s="9"/>
      <c r="H262" s="40"/>
      <c r="K262" s="40"/>
    </row>
    <row r="263" spans="1:11">
      <c r="A263" s="9"/>
      <c r="H263" s="40"/>
      <c r="K263" s="40"/>
    </row>
    <row r="264" spans="1:11">
      <c r="A264" s="9"/>
      <c r="H264" s="40"/>
      <c r="K264" s="40"/>
    </row>
    <row r="265" spans="1:11">
      <c r="A265" s="9"/>
      <c r="H265" s="40"/>
      <c r="K265" s="40"/>
    </row>
    <row r="266" spans="1:11">
      <c r="A266" s="9"/>
      <c r="H266" s="40"/>
      <c r="K266" s="40"/>
    </row>
    <row r="267" spans="1:11">
      <c r="A267" s="9"/>
      <c r="H267" s="40"/>
      <c r="K267" s="40"/>
    </row>
    <row r="268" spans="1:11">
      <c r="A268" s="9"/>
      <c r="H268" s="40"/>
      <c r="K268" s="40"/>
    </row>
    <row r="269" spans="1:11">
      <c r="A269" s="9"/>
      <c r="H269" s="40"/>
      <c r="K269" s="40"/>
    </row>
    <row r="270" spans="1:11">
      <c r="A270" s="9"/>
      <c r="H270" s="40"/>
      <c r="K270" s="40"/>
    </row>
    <row r="271" spans="1:11">
      <c r="A271" s="9"/>
      <c r="H271" s="40"/>
      <c r="K271" s="40"/>
    </row>
    <row r="272" spans="1:11">
      <c r="A272" s="9"/>
      <c r="H272" s="40"/>
      <c r="K272" s="40"/>
    </row>
    <row r="273" spans="1:11">
      <c r="A273" s="9"/>
      <c r="H273" s="40"/>
      <c r="K273" s="40"/>
    </row>
    <row r="274" spans="1:11">
      <c r="A274" s="9"/>
      <c r="H274" s="40"/>
      <c r="K274" s="40"/>
    </row>
    <row r="275" spans="1:11" s="36" customFormat="1">
      <c r="A275" s="16" t="str">
        <f>$A$83</f>
        <v xml:space="preserve">Institution No.:  </v>
      </c>
      <c r="E275" s="37"/>
      <c r="G275" s="38"/>
      <c r="H275" s="39"/>
      <c r="J275" s="38"/>
      <c r="K275" s="15" t="s">
        <v>115</v>
      </c>
    </row>
    <row r="276" spans="1:11" s="36" customFormat="1">
      <c r="E276" s="37" t="s">
        <v>116</v>
      </c>
      <c r="G276" s="38"/>
      <c r="H276" s="39"/>
      <c r="J276" s="38"/>
      <c r="K276" s="39"/>
    </row>
    <row r="277" spans="1:11">
      <c r="A277" s="16" t="str">
        <f>$A$42</f>
        <v xml:space="preserve">NAME: </v>
      </c>
      <c r="C277" s="137" t="str">
        <f>$D$20</f>
        <v>University of Colorado</v>
      </c>
      <c r="F277" s="32"/>
      <c r="G277" s="66"/>
      <c r="H277" s="67"/>
      <c r="J277" s="14"/>
      <c r="K277" s="18" t="str">
        <f>$K$3</f>
        <v>Date: October 09, 2017</v>
      </c>
    </row>
    <row r="278" spans="1:11">
      <c r="A278" s="19" t="s">
        <v>6</v>
      </c>
      <c r="B278" s="19" t="s">
        <v>6</v>
      </c>
      <c r="C278" s="19" t="s">
        <v>6</v>
      </c>
      <c r="D278" s="19" t="s">
        <v>6</v>
      </c>
      <c r="E278" s="19" t="s">
        <v>6</v>
      </c>
      <c r="F278" s="19" t="s">
        <v>6</v>
      </c>
      <c r="G278" s="20" t="s">
        <v>6</v>
      </c>
      <c r="H278" s="21" t="s">
        <v>6</v>
      </c>
      <c r="I278" s="19"/>
      <c r="J278" s="137"/>
      <c r="K278" s="21"/>
    </row>
    <row r="279" spans="1:11">
      <c r="A279" s="22" t="s">
        <v>7</v>
      </c>
      <c r="E279" s="22" t="s">
        <v>7</v>
      </c>
      <c r="F279" s="23"/>
      <c r="G279" s="24"/>
      <c r="H279" s="25" t="str">
        <f>H178</f>
        <v>2016-17</v>
      </c>
      <c r="I279" s="23"/>
      <c r="J279" s="137"/>
      <c r="K279" s="25"/>
    </row>
    <row r="280" spans="1:11" ht="21" customHeight="1">
      <c r="A280" s="22" t="s">
        <v>9</v>
      </c>
      <c r="C280" s="26" t="s">
        <v>51</v>
      </c>
      <c r="D280" s="68" t="s">
        <v>235</v>
      </c>
      <c r="E280" s="22" t="s">
        <v>9</v>
      </c>
      <c r="F280" s="23"/>
      <c r="G280" s="24" t="s">
        <v>11</v>
      </c>
      <c r="H280" s="25" t="s">
        <v>12</v>
      </c>
      <c r="I280" s="23"/>
      <c r="J280" s="137"/>
      <c r="K280" s="23"/>
    </row>
    <row r="281" spans="1:11">
      <c r="A281" s="19" t="s">
        <v>6</v>
      </c>
      <c r="B281" s="19" t="s">
        <v>6</v>
      </c>
      <c r="C281" s="19" t="s">
        <v>6</v>
      </c>
      <c r="D281" s="19" t="s">
        <v>6</v>
      </c>
      <c r="E281" s="19" t="s">
        <v>6</v>
      </c>
      <c r="F281" s="19" t="s">
        <v>6</v>
      </c>
      <c r="G281" s="20" t="s">
        <v>6</v>
      </c>
      <c r="H281" s="21" t="s">
        <v>6</v>
      </c>
      <c r="I281" s="19"/>
      <c r="J281" s="137"/>
      <c r="K281" s="19"/>
    </row>
    <row r="282" spans="1:11">
      <c r="A282" s="8">
        <v>1</v>
      </c>
      <c r="C282" s="9" t="s">
        <v>117</v>
      </c>
      <c r="E282" s="8">
        <v>1</v>
      </c>
      <c r="G282" s="14"/>
      <c r="H282" s="40"/>
      <c r="J282" s="137"/>
      <c r="K282" s="137"/>
    </row>
    <row r="283" spans="1:11">
      <c r="A283" s="8">
        <f>(A282+1)</f>
        <v>2</v>
      </c>
      <c r="C283" s="9" t="s">
        <v>118</v>
      </c>
      <c r="D283" s="9" t="s">
        <v>119</v>
      </c>
      <c r="E283" s="8">
        <f>(E282+1)</f>
        <v>2</v>
      </c>
      <c r="F283" s="10"/>
      <c r="G283" s="144">
        <v>314.92</v>
      </c>
      <c r="H283" s="145">
        <v>3112624.7</v>
      </c>
      <c r="I283" s="103"/>
      <c r="J283" s="137"/>
      <c r="K283" s="137"/>
    </row>
    <row r="284" spans="1:11">
      <c r="A284" s="8">
        <f>(A283+1)</f>
        <v>3</v>
      </c>
      <c r="D284" s="9" t="s">
        <v>120</v>
      </c>
      <c r="E284" s="8">
        <f>(E283+1)</f>
        <v>3</v>
      </c>
      <c r="F284" s="10"/>
      <c r="G284" s="144">
        <v>536.57000000000005</v>
      </c>
      <c r="H284" s="145">
        <v>6809230.6900000004</v>
      </c>
      <c r="I284" s="103"/>
      <c r="J284" s="171"/>
      <c r="K284" s="137"/>
    </row>
    <row r="285" spans="1:11">
      <c r="A285" s="8">
        <v>4</v>
      </c>
      <c r="C285" s="9" t="s">
        <v>121</v>
      </c>
      <c r="D285" s="9" t="s">
        <v>122</v>
      </c>
      <c r="E285" s="8">
        <v>4</v>
      </c>
      <c r="F285" s="10"/>
      <c r="G285" s="144">
        <v>41.96</v>
      </c>
      <c r="H285" s="145">
        <v>1056249.1399999999</v>
      </c>
      <c r="I285" s="103"/>
      <c r="J285" s="137"/>
      <c r="K285" s="137"/>
    </row>
    <row r="286" spans="1:11">
      <c r="A286" s="8">
        <f>(A285+1)</f>
        <v>5</v>
      </c>
      <c r="D286" s="9" t="s">
        <v>123</v>
      </c>
      <c r="E286" s="8">
        <f>(E285+1)</f>
        <v>5</v>
      </c>
      <c r="F286" s="10"/>
      <c r="G286" s="144">
        <v>105.9</v>
      </c>
      <c r="H286" s="145">
        <v>2844326.75</v>
      </c>
      <c r="I286" s="103"/>
      <c r="J286" s="137"/>
      <c r="K286" s="137"/>
    </row>
    <row r="287" spans="1:11">
      <c r="A287" s="8">
        <f>(A286+1)</f>
        <v>6</v>
      </c>
      <c r="C287" s="9" t="s">
        <v>124</v>
      </c>
      <c r="E287" s="8">
        <f>(E286+1)</f>
        <v>6</v>
      </c>
      <c r="G287" s="100">
        <v>999.35</v>
      </c>
      <c r="H287" s="100">
        <f>SUM(H283:H286)</f>
        <v>13822431.280000001</v>
      </c>
      <c r="I287" s="100"/>
      <c r="J287" s="137"/>
      <c r="K287" s="137"/>
    </row>
    <row r="288" spans="1:11">
      <c r="A288" s="8">
        <f>(A287+1)</f>
        <v>7</v>
      </c>
      <c r="C288" s="9" t="s">
        <v>125</v>
      </c>
      <c r="E288" s="8">
        <f>(E287+1)</f>
        <v>7</v>
      </c>
      <c r="G288" s="97"/>
      <c r="H288" s="96"/>
      <c r="I288" s="100"/>
      <c r="J288" s="137"/>
      <c r="K288" s="137"/>
    </row>
    <row r="289" spans="1:11">
      <c r="A289" s="8">
        <f>(A288+1)</f>
        <v>8</v>
      </c>
      <c r="C289" s="9" t="s">
        <v>118</v>
      </c>
      <c r="D289" s="9" t="s">
        <v>119</v>
      </c>
      <c r="E289" s="8">
        <f>(E288+1)</f>
        <v>8</v>
      </c>
      <c r="F289" s="10"/>
      <c r="G289" s="144">
        <v>907.08</v>
      </c>
      <c r="H289" s="145">
        <v>9842701.7750000004</v>
      </c>
      <c r="I289" s="103"/>
      <c r="J289" s="137"/>
      <c r="K289" s="137"/>
    </row>
    <row r="290" spans="1:11">
      <c r="A290" s="8">
        <v>9</v>
      </c>
      <c r="D290" s="9" t="s">
        <v>120</v>
      </c>
      <c r="E290" s="8">
        <v>9</v>
      </c>
      <c r="F290" s="10"/>
      <c r="G290" s="144">
        <v>3621.5</v>
      </c>
      <c r="H290" s="145">
        <v>42905271.5</v>
      </c>
      <c r="I290" s="103"/>
      <c r="J290" s="137"/>
      <c r="K290" s="137"/>
    </row>
    <row r="291" spans="1:11">
      <c r="A291" s="8">
        <v>10</v>
      </c>
      <c r="C291" s="9" t="s">
        <v>121</v>
      </c>
      <c r="D291" s="9" t="s">
        <v>122</v>
      </c>
      <c r="E291" s="8">
        <v>10</v>
      </c>
      <c r="F291" s="10"/>
      <c r="G291" s="144">
        <v>227.94</v>
      </c>
      <c r="H291" s="145">
        <v>6403827.0949999997</v>
      </c>
      <c r="I291" s="103"/>
      <c r="J291" s="137"/>
      <c r="K291" s="137"/>
    </row>
    <row r="292" spans="1:11">
      <c r="A292" s="8">
        <f>(A291+1)</f>
        <v>11</v>
      </c>
      <c r="D292" s="9" t="s">
        <v>123</v>
      </c>
      <c r="E292" s="8">
        <f>(E291+1)</f>
        <v>11</v>
      </c>
      <c r="F292" s="10"/>
      <c r="G292" s="144">
        <v>602.77</v>
      </c>
      <c r="H292" s="145">
        <v>15239863</v>
      </c>
      <c r="I292" s="103"/>
      <c r="J292" s="137"/>
      <c r="K292" s="137"/>
    </row>
    <row r="293" spans="1:11">
      <c r="A293" s="8">
        <f>(A292+1)</f>
        <v>12</v>
      </c>
      <c r="C293" s="9" t="s">
        <v>126</v>
      </c>
      <c r="E293" s="8">
        <f>(E292+1)</f>
        <v>12</v>
      </c>
      <c r="G293" s="99">
        <v>5359.2899999999991</v>
      </c>
      <c r="H293" s="100">
        <f>SUM(H289:H292)</f>
        <v>74391663.370000005</v>
      </c>
      <c r="I293" s="100"/>
      <c r="J293" s="137"/>
      <c r="K293" s="137"/>
    </row>
    <row r="294" spans="1:11">
      <c r="A294" s="8">
        <f>(A293+1)</f>
        <v>13</v>
      </c>
      <c r="C294" s="9" t="s">
        <v>127</v>
      </c>
      <c r="E294" s="8">
        <f>(E293+1)</f>
        <v>13</v>
      </c>
      <c r="G294" s="97"/>
      <c r="H294" s="96"/>
      <c r="I294" s="100"/>
      <c r="J294" s="137"/>
      <c r="K294" s="137"/>
    </row>
    <row r="295" spans="1:11">
      <c r="A295" s="8">
        <f>(A294+1)</f>
        <v>14</v>
      </c>
      <c r="C295" s="9" t="s">
        <v>118</v>
      </c>
      <c r="D295" s="9" t="s">
        <v>119</v>
      </c>
      <c r="E295" s="8">
        <f>(E294+1)</f>
        <v>14</v>
      </c>
      <c r="F295" s="10"/>
      <c r="G295" s="144"/>
      <c r="H295" s="145">
        <v>0</v>
      </c>
      <c r="I295" s="103"/>
      <c r="J295" s="137"/>
      <c r="K295" s="137"/>
    </row>
    <row r="296" spans="1:11">
      <c r="A296" s="8">
        <v>15</v>
      </c>
      <c r="C296" s="9"/>
      <c r="D296" s="9" t="s">
        <v>120</v>
      </c>
      <c r="E296" s="8">
        <v>15</v>
      </c>
      <c r="F296" s="10"/>
      <c r="G296" s="144"/>
      <c r="H296" s="145">
        <v>0</v>
      </c>
      <c r="I296" s="103"/>
      <c r="J296" s="137"/>
      <c r="K296" s="137"/>
    </row>
    <row r="297" spans="1:11">
      <c r="A297" s="8">
        <v>16</v>
      </c>
      <c r="C297" s="9" t="s">
        <v>121</v>
      </c>
      <c r="D297" s="9" t="s">
        <v>122</v>
      </c>
      <c r="E297" s="8">
        <v>16</v>
      </c>
      <c r="F297" s="10"/>
      <c r="G297" s="144"/>
      <c r="H297" s="145">
        <v>0</v>
      </c>
      <c r="I297" s="103"/>
      <c r="J297" s="137"/>
      <c r="K297" s="137"/>
    </row>
    <row r="298" spans="1:11">
      <c r="A298" s="8">
        <v>17</v>
      </c>
      <c r="C298" s="9"/>
      <c r="D298" s="9" t="s">
        <v>123</v>
      </c>
      <c r="E298" s="8">
        <v>17</v>
      </c>
      <c r="G298" s="143"/>
      <c r="H298" s="146">
        <v>0</v>
      </c>
      <c r="I298" s="100"/>
      <c r="J298" s="137"/>
      <c r="K298" s="137"/>
    </row>
    <row r="299" spans="1:11">
      <c r="A299" s="8">
        <v>18</v>
      </c>
      <c r="C299" s="9" t="s">
        <v>128</v>
      </c>
      <c r="D299" s="9"/>
      <c r="E299" s="8">
        <v>18</v>
      </c>
      <c r="G299" s="99">
        <f>SUM(G295:G298)</f>
        <v>0</v>
      </c>
      <c r="H299" s="100">
        <f>SUM(H295:H298)</f>
        <v>0</v>
      </c>
      <c r="I299" s="100"/>
      <c r="J299" s="137"/>
      <c r="K299" s="137"/>
    </row>
    <row r="300" spans="1:11">
      <c r="A300" s="8">
        <v>19</v>
      </c>
      <c r="C300" s="9" t="s">
        <v>129</v>
      </c>
      <c r="D300" s="9"/>
      <c r="E300" s="8">
        <v>19</v>
      </c>
      <c r="G300" s="99"/>
      <c r="H300" s="100"/>
      <c r="I300" s="100"/>
      <c r="J300" s="137"/>
      <c r="K300" s="137"/>
    </row>
    <row r="301" spans="1:11">
      <c r="A301" s="8">
        <v>20</v>
      </c>
      <c r="C301" s="9" t="s">
        <v>118</v>
      </c>
      <c r="D301" s="9" t="s">
        <v>119</v>
      </c>
      <c r="E301" s="8">
        <v>20</v>
      </c>
      <c r="F301" s="69"/>
      <c r="G301" s="144">
        <v>865.73</v>
      </c>
      <c r="H301" s="145">
        <v>9388195.7750000004</v>
      </c>
      <c r="I301" s="103"/>
      <c r="J301" s="137"/>
      <c r="K301" s="137"/>
    </row>
    <row r="302" spans="1:11">
      <c r="A302" s="8">
        <v>21</v>
      </c>
      <c r="C302" s="9"/>
      <c r="D302" s="9" t="s">
        <v>120</v>
      </c>
      <c r="E302" s="8">
        <v>21</v>
      </c>
      <c r="F302" s="69"/>
      <c r="G302" s="144">
        <v>3371.07</v>
      </c>
      <c r="H302" s="145">
        <v>39935128.649999999</v>
      </c>
      <c r="I302" s="103"/>
      <c r="J302" s="137"/>
      <c r="K302" s="137"/>
    </row>
    <row r="303" spans="1:11">
      <c r="A303" s="8">
        <v>22</v>
      </c>
      <c r="C303" s="9" t="s">
        <v>121</v>
      </c>
      <c r="D303" s="9" t="s">
        <v>122</v>
      </c>
      <c r="E303" s="8">
        <v>22</v>
      </c>
      <c r="F303" s="69"/>
      <c r="G303" s="144">
        <v>207.56</v>
      </c>
      <c r="H303" s="145">
        <v>5806843.5949999997</v>
      </c>
      <c r="I303" s="103"/>
      <c r="J303" s="137"/>
      <c r="K303" s="137"/>
    </row>
    <row r="304" spans="1:11">
      <c r="A304" s="8">
        <v>23</v>
      </c>
      <c r="D304" s="9" t="s">
        <v>123</v>
      </c>
      <c r="E304" s="8">
        <v>23</v>
      </c>
      <c r="F304" s="69"/>
      <c r="G304" s="144">
        <v>535</v>
      </c>
      <c r="H304" s="145">
        <v>13573341</v>
      </c>
      <c r="I304" s="103"/>
      <c r="J304" s="137"/>
      <c r="K304" s="137"/>
    </row>
    <row r="305" spans="1:11">
      <c r="A305" s="8">
        <v>24</v>
      </c>
      <c r="C305" s="9" t="s">
        <v>130</v>
      </c>
      <c r="E305" s="8">
        <v>24</v>
      </c>
      <c r="F305" s="57"/>
      <c r="G305" s="97">
        <v>4979.3600000000006</v>
      </c>
      <c r="H305" s="96">
        <f>SUM(H301:H304)</f>
        <v>68703509.019999996</v>
      </c>
      <c r="I305" s="96"/>
      <c r="J305" s="137"/>
      <c r="K305" s="137"/>
    </row>
    <row r="306" spans="1:11" ht="13.5" customHeight="1">
      <c r="A306" s="8">
        <v>25</v>
      </c>
      <c r="C306" s="9" t="s">
        <v>131</v>
      </c>
      <c r="E306" s="8">
        <v>25</v>
      </c>
      <c r="G306" s="99"/>
      <c r="H306" s="100"/>
      <c r="I306" s="100"/>
      <c r="J306" s="137"/>
      <c r="K306" s="137"/>
    </row>
    <row r="307" spans="1:11" ht="13.5" customHeight="1">
      <c r="A307" s="8">
        <v>26</v>
      </c>
      <c r="C307" s="9" t="s">
        <v>118</v>
      </c>
      <c r="D307" s="9" t="s">
        <v>119</v>
      </c>
      <c r="E307" s="8">
        <v>26</v>
      </c>
      <c r="G307" s="100">
        <v>2087.73</v>
      </c>
      <c r="H307" s="100">
        <f t="shared" ref="H307:H310" si="0">H283+H289+H295+H301</f>
        <v>22343522.25</v>
      </c>
      <c r="I307" s="100"/>
      <c r="J307" s="137"/>
      <c r="K307" s="99"/>
    </row>
    <row r="308" spans="1:11">
      <c r="A308" s="8">
        <v>27</v>
      </c>
      <c r="C308" s="9"/>
      <c r="D308" s="9" t="s">
        <v>120</v>
      </c>
      <c r="E308" s="8">
        <v>27</v>
      </c>
      <c r="G308" s="100">
        <v>7529.14</v>
      </c>
      <c r="H308" s="100">
        <f>H284+H290+H296+H302</f>
        <v>89649630.840000004</v>
      </c>
      <c r="I308" s="100"/>
      <c r="J308" s="137"/>
      <c r="K308" s="99"/>
    </row>
    <row r="309" spans="1:11">
      <c r="A309" s="8">
        <v>28</v>
      </c>
      <c r="C309" s="9" t="s">
        <v>121</v>
      </c>
      <c r="D309" s="9" t="s">
        <v>122</v>
      </c>
      <c r="E309" s="8">
        <v>28</v>
      </c>
      <c r="G309" s="100">
        <v>477.46</v>
      </c>
      <c r="H309" s="100">
        <f t="shared" si="0"/>
        <v>13266919.829999998</v>
      </c>
      <c r="I309" s="100"/>
      <c r="J309" s="137"/>
      <c r="K309" s="99"/>
    </row>
    <row r="310" spans="1:11">
      <c r="A310" s="8">
        <v>29</v>
      </c>
      <c r="D310" s="9" t="s">
        <v>123</v>
      </c>
      <c r="E310" s="8">
        <v>29</v>
      </c>
      <c r="G310" s="100">
        <v>1243.67</v>
      </c>
      <c r="H310" s="100">
        <f t="shared" si="0"/>
        <v>31657530.75</v>
      </c>
      <c r="I310" s="100"/>
      <c r="J310" s="137"/>
      <c r="K310" s="99"/>
    </row>
    <row r="311" spans="1:11">
      <c r="A311" s="8">
        <v>30</v>
      </c>
      <c r="E311" s="8">
        <v>30</v>
      </c>
      <c r="G311" s="96"/>
      <c r="H311" s="96"/>
      <c r="I311" s="100"/>
      <c r="J311" s="137"/>
      <c r="K311" s="97"/>
    </row>
    <row r="312" spans="1:11">
      <c r="A312" s="8">
        <v>31</v>
      </c>
      <c r="C312" s="9" t="s">
        <v>132</v>
      </c>
      <c r="E312" s="8">
        <v>31</v>
      </c>
      <c r="G312" s="100">
        <f>SUM(G307:G308)</f>
        <v>9616.8700000000008</v>
      </c>
      <c r="H312" s="100">
        <f>SUM(H307:H308)</f>
        <v>111993153.09</v>
      </c>
      <c r="I312" s="100"/>
      <c r="J312" s="137"/>
      <c r="K312" s="99"/>
    </row>
    <row r="313" spans="1:11">
      <c r="A313" s="8">
        <v>32</v>
      </c>
      <c r="C313" s="9" t="s">
        <v>133</v>
      </c>
      <c r="E313" s="8">
        <v>32</v>
      </c>
      <c r="G313" s="100">
        <f>SUM(G309:G310)</f>
        <v>1721.13</v>
      </c>
      <c r="H313" s="100">
        <f>SUM(H309:H310)</f>
        <v>44924450.579999998</v>
      </c>
      <c r="I313" s="100"/>
      <c r="J313" s="137"/>
      <c r="K313" s="99"/>
    </row>
    <row r="314" spans="1:11">
      <c r="A314" s="8">
        <v>33</v>
      </c>
      <c r="C314" s="9" t="s">
        <v>134</v>
      </c>
      <c r="E314" s="8">
        <v>33</v>
      </c>
      <c r="F314" s="57"/>
      <c r="G314" s="96">
        <f>SUM(G307,G309)</f>
        <v>2565.19</v>
      </c>
      <c r="H314" s="96">
        <f>SUM(H307,H309)</f>
        <v>35610442.079999998</v>
      </c>
      <c r="I314" s="96"/>
      <c r="J314" s="137"/>
      <c r="K314" s="97"/>
    </row>
    <row r="315" spans="1:11">
      <c r="A315" s="8">
        <v>34</v>
      </c>
      <c r="C315" s="9" t="s">
        <v>135</v>
      </c>
      <c r="E315" s="8">
        <v>34</v>
      </c>
      <c r="F315" s="57"/>
      <c r="G315" s="96">
        <f>SUM(G308,G310)</f>
        <v>8772.8100000000013</v>
      </c>
      <c r="H315" s="96">
        <f>SUM(H308,H310)</f>
        <v>121307161.59</v>
      </c>
      <c r="I315" s="96"/>
      <c r="J315" s="137"/>
      <c r="K315" s="97"/>
    </row>
    <row r="316" spans="1:11">
      <c r="A316" s="9"/>
      <c r="C316" s="19" t="s">
        <v>6</v>
      </c>
      <c r="D316" s="19" t="s">
        <v>6</v>
      </c>
      <c r="E316" s="19" t="s">
        <v>6</v>
      </c>
      <c r="F316" s="19" t="s">
        <v>6</v>
      </c>
      <c r="G316" s="19" t="s">
        <v>6</v>
      </c>
      <c r="H316" s="19" t="s">
        <v>6</v>
      </c>
      <c r="I316" s="19"/>
      <c r="J316" s="19"/>
      <c r="K316" s="19"/>
    </row>
    <row r="317" spans="1:11">
      <c r="A317" s="8">
        <v>35</v>
      </c>
      <c r="C317" s="137" t="s">
        <v>136</v>
      </c>
      <c r="E317" s="8">
        <v>35</v>
      </c>
      <c r="G317" s="99">
        <f>SUM(G314:G315)</f>
        <v>11338.000000000002</v>
      </c>
      <c r="H317" s="100">
        <f>SUM(H314:H315)</f>
        <v>156917603.67000002</v>
      </c>
      <c r="I317" s="100"/>
      <c r="J317" s="100"/>
      <c r="K317" s="99"/>
    </row>
    <row r="318" spans="1:11">
      <c r="C318" s="9" t="s">
        <v>238</v>
      </c>
      <c r="F318" s="70" t="s">
        <v>6</v>
      </c>
      <c r="G318" s="20"/>
      <c r="H318" s="21"/>
      <c r="I318" s="70"/>
      <c r="J318" s="70"/>
      <c r="K318" s="20"/>
    </row>
    <row r="319" spans="1:11">
      <c r="C319" s="9"/>
      <c r="F319" s="70"/>
      <c r="G319" s="20"/>
      <c r="H319" s="21"/>
      <c r="I319" s="70"/>
      <c r="J319" s="137"/>
      <c r="K319" s="137"/>
    </row>
    <row r="320" spans="1:11">
      <c r="J320" s="137"/>
      <c r="K320" s="137"/>
    </row>
    <row r="321" spans="1:11" ht="36" customHeight="1">
      <c r="A321" s="137">
        <v>36</v>
      </c>
      <c r="B321" s="33"/>
      <c r="C321" s="221" t="s">
        <v>233</v>
      </c>
      <c r="D321" s="221"/>
      <c r="E321" s="221"/>
      <c r="F321" s="221"/>
      <c r="G321" s="221"/>
      <c r="H321" s="221"/>
      <c r="I321" s="221"/>
      <c r="J321" s="221"/>
      <c r="K321" s="137"/>
    </row>
    <row r="322" spans="1:11">
      <c r="C322" s="137" t="s">
        <v>137</v>
      </c>
      <c r="F322" s="70"/>
      <c r="G322" s="20"/>
      <c r="H322" s="40"/>
      <c r="I322" s="70"/>
      <c r="J322" s="20"/>
      <c r="K322" s="40"/>
    </row>
    <row r="323" spans="1:11">
      <c r="C323" s="137" t="s">
        <v>2</v>
      </c>
      <c r="F323" s="70"/>
      <c r="G323" s="20"/>
      <c r="H323" s="40"/>
      <c r="I323" s="70"/>
      <c r="J323" s="20"/>
      <c r="K323" s="40"/>
    </row>
    <row r="324" spans="1:11">
      <c r="A324" s="9"/>
    </row>
    <row r="325" spans="1:11" s="36" customFormat="1">
      <c r="A325" s="16" t="str">
        <f>$A$83</f>
        <v xml:space="preserve">Institution No.:  </v>
      </c>
      <c r="E325" s="37"/>
      <c r="G325" s="38"/>
      <c r="H325" s="39"/>
      <c r="J325" s="38"/>
      <c r="K325" s="71" t="s">
        <v>138</v>
      </c>
    </row>
    <row r="326" spans="1:11" s="36" customFormat="1" ht="14.25">
      <c r="D326" s="58" t="s">
        <v>246</v>
      </c>
      <c r="E326" s="37"/>
      <c r="G326" s="38"/>
      <c r="H326" s="39"/>
      <c r="J326" s="38"/>
      <c r="K326" s="39"/>
    </row>
    <row r="327" spans="1:11">
      <c r="A327" s="16" t="str">
        <f>$A$42</f>
        <v xml:space="preserve">NAME: </v>
      </c>
      <c r="C327" s="137" t="str">
        <f>$D$20</f>
        <v>University of Colorado</v>
      </c>
      <c r="F327" s="72"/>
      <c r="G327" s="66"/>
      <c r="H327" s="67"/>
      <c r="J327" s="14"/>
      <c r="K327" s="18" t="str">
        <f>$K$3</f>
        <v>Date: October 09, 2017</v>
      </c>
    </row>
    <row r="328" spans="1:11">
      <c r="A328" s="19" t="s">
        <v>6</v>
      </c>
      <c r="B328" s="19" t="s">
        <v>6</v>
      </c>
      <c r="C328" s="19" t="s">
        <v>6</v>
      </c>
      <c r="D328" s="19" t="s">
        <v>6</v>
      </c>
      <c r="E328" s="19" t="s">
        <v>6</v>
      </c>
      <c r="F328" s="19" t="s">
        <v>6</v>
      </c>
      <c r="G328" s="20" t="s">
        <v>6</v>
      </c>
      <c r="H328" s="21" t="s">
        <v>6</v>
      </c>
      <c r="I328" s="19" t="s">
        <v>6</v>
      </c>
      <c r="J328" s="20" t="s">
        <v>6</v>
      </c>
      <c r="K328" s="21" t="s">
        <v>6</v>
      </c>
    </row>
    <row r="329" spans="1:11">
      <c r="A329" s="22" t="s">
        <v>7</v>
      </c>
      <c r="E329" s="22" t="s">
        <v>7</v>
      </c>
      <c r="G329" s="24"/>
      <c r="H329" s="25" t="str">
        <f>H279</f>
        <v>2016-17</v>
      </c>
      <c r="I329" s="23"/>
      <c r="J329" s="24"/>
      <c r="K329" s="25" t="s">
        <v>261</v>
      </c>
    </row>
    <row r="330" spans="1:11">
      <c r="A330" s="22" t="s">
        <v>9</v>
      </c>
      <c r="C330" s="26" t="s">
        <v>51</v>
      </c>
      <c r="E330" s="22" t="s">
        <v>9</v>
      </c>
      <c r="G330" s="14"/>
      <c r="H330" s="25" t="s">
        <v>12</v>
      </c>
      <c r="J330" s="14"/>
      <c r="K330" s="25" t="s">
        <v>13</v>
      </c>
    </row>
    <row r="331" spans="1:11">
      <c r="A331" s="19" t="s">
        <v>6</v>
      </c>
      <c r="B331" s="19" t="s">
        <v>6</v>
      </c>
      <c r="C331" s="19" t="s">
        <v>6</v>
      </c>
      <c r="D331" s="19" t="s">
        <v>6</v>
      </c>
      <c r="E331" s="19" t="s">
        <v>6</v>
      </c>
      <c r="F331" s="19" t="s">
        <v>6</v>
      </c>
      <c r="G331" s="20" t="s">
        <v>6</v>
      </c>
      <c r="H331" s="21" t="s">
        <v>6</v>
      </c>
      <c r="I331" s="19" t="s">
        <v>6</v>
      </c>
      <c r="J331" s="20" t="s">
        <v>6</v>
      </c>
      <c r="K331" s="21" t="s">
        <v>6</v>
      </c>
    </row>
    <row r="332" spans="1:11" ht="13.5">
      <c r="A332" s="73">
        <v>1</v>
      </c>
      <c r="C332" s="9" t="s">
        <v>247</v>
      </c>
      <c r="E332" s="73">
        <v>1</v>
      </c>
      <c r="G332" s="14"/>
      <c r="H332" s="40" t="s">
        <v>226</v>
      </c>
      <c r="J332" s="14"/>
      <c r="K332" s="40" t="s">
        <v>226</v>
      </c>
    </row>
    <row r="333" spans="1:11">
      <c r="A333" s="73">
        <v>2</v>
      </c>
      <c r="C333" s="9"/>
      <c r="E333" s="73">
        <v>2</v>
      </c>
      <c r="G333" s="14"/>
      <c r="H333" s="147">
        <v>0</v>
      </c>
      <c r="J333" s="14"/>
      <c r="K333" s="147">
        <v>0</v>
      </c>
    </row>
    <row r="334" spans="1:11" ht="13.5">
      <c r="A334" s="137">
        <v>3</v>
      </c>
      <c r="C334" s="137" t="s">
        <v>248</v>
      </c>
      <c r="E334" s="137">
        <v>3</v>
      </c>
      <c r="F334" s="40"/>
      <c r="G334" s="40"/>
      <c r="H334" s="40" t="s">
        <v>226</v>
      </c>
      <c r="I334" s="40"/>
      <c r="J334" s="40"/>
      <c r="K334" s="40" t="s">
        <v>226</v>
      </c>
    </row>
    <row r="335" spans="1:11">
      <c r="A335" s="73">
        <v>4</v>
      </c>
      <c r="C335" s="137" t="s">
        <v>139</v>
      </c>
      <c r="E335" s="73">
        <v>4</v>
      </c>
      <c r="F335" s="40"/>
      <c r="G335" s="40"/>
      <c r="H335" s="147"/>
      <c r="I335" s="40"/>
      <c r="J335" s="40"/>
      <c r="K335" s="147"/>
    </row>
    <row r="336" spans="1:11">
      <c r="A336" s="73">
        <v>5</v>
      </c>
      <c r="C336" s="137" t="s">
        <v>140</v>
      </c>
      <c r="E336" s="73">
        <v>5</v>
      </c>
      <c r="F336" s="40"/>
      <c r="G336" s="40"/>
      <c r="H336" s="147"/>
      <c r="I336" s="40"/>
      <c r="J336" s="40"/>
      <c r="K336" s="147"/>
    </row>
    <row r="337" spans="1:11">
      <c r="A337" s="73">
        <v>6</v>
      </c>
      <c r="E337" s="73">
        <v>6</v>
      </c>
      <c r="F337" s="40"/>
      <c r="G337" s="40"/>
      <c r="H337" s="147"/>
      <c r="I337" s="40"/>
      <c r="J337" s="40"/>
      <c r="K337" s="147"/>
    </row>
    <row r="338" spans="1:11">
      <c r="A338" s="73">
        <v>7</v>
      </c>
      <c r="E338" s="73">
        <v>7</v>
      </c>
      <c r="F338" s="40"/>
      <c r="G338" s="40"/>
      <c r="H338" s="147"/>
      <c r="I338" s="40"/>
      <c r="J338" s="40"/>
      <c r="K338" s="147"/>
    </row>
    <row r="339" spans="1:11">
      <c r="A339" s="73">
        <v>8</v>
      </c>
      <c r="E339" s="73">
        <v>8</v>
      </c>
      <c r="F339" s="40"/>
      <c r="G339" s="40"/>
      <c r="H339" s="147"/>
      <c r="I339" s="40"/>
      <c r="J339" s="40"/>
      <c r="K339" s="147"/>
    </row>
    <row r="340" spans="1:11">
      <c r="A340" s="73">
        <v>9</v>
      </c>
      <c r="E340" s="73">
        <v>9</v>
      </c>
      <c r="F340" s="40"/>
      <c r="G340" s="40"/>
      <c r="H340" s="147"/>
      <c r="I340" s="40"/>
      <c r="J340" s="40"/>
      <c r="K340" s="147"/>
    </row>
    <row r="341" spans="1:11">
      <c r="A341" s="73">
        <v>10</v>
      </c>
      <c r="E341" s="73">
        <v>10</v>
      </c>
      <c r="F341" s="40"/>
      <c r="G341" s="40"/>
      <c r="H341" s="147"/>
      <c r="I341" s="40"/>
      <c r="J341" s="40"/>
      <c r="K341" s="147"/>
    </row>
    <row r="342" spans="1:11">
      <c r="A342" s="73">
        <v>11</v>
      </c>
      <c r="E342" s="73">
        <v>11</v>
      </c>
      <c r="F342" s="40"/>
      <c r="G342" s="40"/>
      <c r="H342" s="147"/>
      <c r="I342" s="40"/>
      <c r="J342" s="40"/>
      <c r="K342" s="147"/>
    </row>
    <row r="343" spans="1:11">
      <c r="A343" s="73">
        <v>12</v>
      </c>
      <c r="E343" s="73">
        <v>12</v>
      </c>
      <c r="F343" s="40"/>
      <c r="G343" s="40"/>
      <c r="H343" s="147"/>
      <c r="I343" s="40"/>
      <c r="J343" s="40"/>
      <c r="K343" s="147"/>
    </row>
    <row r="344" spans="1:11">
      <c r="A344" s="73">
        <v>13</v>
      </c>
      <c r="E344" s="73">
        <v>13</v>
      </c>
      <c r="F344" s="40"/>
      <c r="G344" s="40"/>
      <c r="H344" s="147"/>
      <c r="I344" s="40"/>
      <c r="J344" s="40"/>
      <c r="K344" s="147"/>
    </row>
    <row r="345" spans="1:11">
      <c r="A345" s="73">
        <v>14</v>
      </c>
      <c r="C345" s="74" t="s">
        <v>38</v>
      </c>
      <c r="D345" s="75"/>
      <c r="E345" s="73">
        <v>14</v>
      </c>
      <c r="F345" s="40"/>
      <c r="G345" s="40"/>
      <c r="H345" s="147"/>
      <c r="I345" s="40"/>
      <c r="J345" s="40"/>
      <c r="K345" s="147"/>
    </row>
    <row r="346" spans="1:11">
      <c r="A346" s="73">
        <v>15</v>
      </c>
      <c r="C346" s="74"/>
      <c r="D346" s="75"/>
      <c r="E346" s="73">
        <v>15</v>
      </c>
      <c r="F346" s="40"/>
      <c r="G346" s="40"/>
      <c r="H346" s="147"/>
      <c r="I346" s="40"/>
      <c r="J346" s="40"/>
      <c r="K346" s="147"/>
    </row>
    <row r="347" spans="1:11">
      <c r="A347" s="73">
        <v>16</v>
      </c>
      <c r="E347" s="73">
        <v>16</v>
      </c>
      <c r="F347" s="40"/>
      <c r="G347" s="40"/>
      <c r="H347" s="147"/>
      <c r="I347" s="40"/>
      <c r="J347" s="40"/>
      <c r="K347" s="147"/>
    </row>
    <row r="348" spans="1:11">
      <c r="A348" s="73">
        <v>17</v>
      </c>
      <c r="C348" s="9" t="s">
        <v>38</v>
      </c>
      <c r="E348" s="73">
        <v>17</v>
      </c>
      <c r="F348" s="40"/>
      <c r="G348" s="40"/>
      <c r="H348" s="147"/>
      <c r="I348" s="40"/>
      <c r="J348" s="40"/>
      <c r="K348" s="147"/>
    </row>
    <row r="349" spans="1:11">
      <c r="A349" s="73">
        <v>18</v>
      </c>
      <c r="E349" s="73">
        <v>18</v>
      </c>
      <c r="F349" s="40"/>
      <c r="G349" s="40"/>
      <c r="H349" s="147"/>
      <c r="I349" s="40"/>
      <c r="J349" s="40" t="s">
        <v>38</v>
      </c>
      <c r="K349" s="147"/>
    </row>
    <row r="350" spans="1:11">
      <c r="A350" s="73">
        <v>19</v>
      </c>
      <c r="E350" s="73">
        <v>19</v>
      </c>
      <c r="F350" s="40"/>
      <c r="G350" s="40"/>
      <c r="H350" s="147"/>
      <c r="I350" s="40"/>
      <c r="J350" s="40"/>
      <c r="K350" s="147"/>
    </row>
    <row r="351" spans="1:11">
      <c r="A351" s="73"/>
      <c r="C351" s="74"/>
      <c r="E351" s="73"/>
      <c r="F351" s="70" t="s">
        <v>6</v>
      </c>
      <c r="G351" s="20" t="s">
        <v>6</v>
      </c>
      <c r="H351" s="21" t="s">
        <v>6</v>
      </c>
      <c r="I351" s="70" t="s">
        <v>6</v>
      </c>
      <c r="J351" s="20" t="s">
        <v>6</v>
      </c>
      <c r="K351" s="21" t="s">
        <v>6</v>
      </c>
    </row>
    <row r="352" spans="1:11">
      <c r="A352" s="73">
        <v>20</v>
      </c>
      <c r="C352" s="74" t="s">
        <v>141</v>
      </c>
      <c r="E352" s="73">
        <v>20</v>
      </c>
      <c r="G352" s="96"/>
      <c r="H352" s="100">
        <f>SUM(H332:H350)</f>
        <v>0</v>
      </c>
      <c r="I352" s="100"/>
      <c r="J352" s="96"/>
      <c r="K352" s="100">
        <f>SUM(K332:K350)</f>
        <v>0</v>
      </c>
    </row>
    <row r="353" spans="1:11">
      <c r="A353" s="76"/>
      <c r="C353" s="9"/>
      <c r="E353" s="35"/>
      <c r="F353" s="70" t="s">
        <v>6</v>
      </c>
      <c r="G353" s="20" t="s">
        <v>6</v>
      </c>
      <c r="H353" s="21" t="s">
        <v>6</v>
      </c>
      <c r="I353" s="70" t="s">
        <v>6</v>
      </c>
      <c r="J353" s="20" t="s">
        <v>6</v>
      </c>
      <c r="K353" s="21" t="s">
        <v>6</v>
      </c>
    </row>
    <row r="354" spans="1:11" ht="13.5">
      <c r="C354" s="137" t="s">
        <v>254</v>
      </c>
      <c r="F354" s="70"/>
      <c r="G354" s="20"/>
      <c r="H354" s="40"/>
      <c r="I354" s="70"/>
      <c r="J354" s="20"/>
      <c r="K354" s="40"/>
    </row>
    <row r="355" spans="1:11" ht="13.5">
      <c r="C355" s="137" t="s">
        <v>253</v>
      </c>
      <c r="F355" s="70"/>
      <c r="G355" s="20"/>
      <c r="H355" s="40"/>
      <c r="I355" s="70"/>
      <c r="J355" s="20"/>
      <c r="K355" s="40"/>
    </row>
    <row r="356" spans="1:11" ht="13.5">
      <c r="A356" s="9"/>
      <c r="C356" s="137" t="s">
        <v>255</v>
      </c>
    </row>
    <row r="357" spans="1:11">
      <c r="A357" s="9"/>
      <c r="C357" s="137" t="s">
        <v>240</v>
      </c>
    </row>
    <row r="358" spans="1:11" s="36" customFormat="1">
      <c r="A358" s="16" t="str">
        <f>$A$83</f>
        <v xml:space="preserve">Institution No.:  </v>
      </c>
      <c r="E358" s="37"/>
      <c r="G358" s="38"/>
      <c r="H358" s="39"/>
      <c r="J358" s="38"/>
      <c r="K358" s="15" t="s">
        <v>142</v>
      </c>
    </row>
    <row r="359" spans="1:11" s="36" customFormat="1" ht="14.25">
      <c r="D359" s="58" t="s">
        <v>241</v>
      </c>
      <c r="E359" s="37"/>
      <c r="G359" s="38"/>
      <c r="H359" s="39"/>
      <c r="J359" s="38"/>
      <c r="K359" s="39"/>
    </row>
    <row r="360" spans="1:11">
      <c r="A360" s="16" t="str">
        <f>$A$42</f>
        <v xml:space="preserve">NAME: </v>
      </c>
      <c r="C360" s="137" t="str">
        <f>$D$20</f>
        <v>University of Colorado</v>
      </c>
      <c r="F360" s="72"/>
      <c r="G360" s="66"/>
      <c r="H360" s="40"/>
      <c r="J360" s="14"/>
      <c r="K360" s="18" t="str">
        <f>$K$3</f>
        <v>Date: October 09, 2017</v>
      </c>
    </row>
    <row r="361" spans="1:11">
      <c r="A361" s="19" t="s">
        <v>6</v>
      </c>
      <c r="B361" s="19" t="s">
        <v>6</v>
      </c>
      <c r="C361" s="19" t="s">
        <v>6</v>
      </c>
      <c r="D361" s="19" t="s">
        <v>6</v>
      </c>
      <c r="E361" s="19" t="s">
        <v>6</v>
      </c>
      <c r="F361" s="19" t="s">
        <v>6</v>
      </c>
      <c r="G361" s="20" t="s">
        <v>6</v>
      </c>
      <c r="H361" s="21" t="s">
        <v>6</v>
      </c>
      <c r="I361" s="19" t="s">
        <v>6</v>
      </c>
      <c r="J361" s="20" t="s">
        <v>6</v>
      </c>
      <c r="K361" s="21" t="s">
        <v>6</v>
      </c>
    </row>
    <row r="362" spans="1:11">
      <c r="A362" s="22" t="s">
        <v>7</v>
      </c>
      <c r="E362" s="22" t="s">
        <v>7</v>
      </c>
      <c r="G362" s="24"/>
      <c r="H362" s="25" t="str">
        <f>H329</f>
        <v>2016-17</v>
      </c>
      <c r="I362" s="23"/>
      <c r="J362" s="24"/>
      <c r="K362" s="25" t="str">
        <f>K329</f>
        <v>2017-18</v>
      </c>
    </row>
    <row r="363" spans="1:11">
      <c r="A363" s="22" t="s">
        <v>9</v>
      </c>
      <c r="C363" s="26" t="s">
        <v>51</v>
      </c>
      <c r="E363" s="22" t="s">
        <v>9</v>
      </c>
      <c r="G363" s="14"/>
      <c r="H363" s="25" t="s">
        <v>12</v>
      </c>
      <c r="J363" s="14"/>
      <c r="K363" s="25" t="s">
        <v>13</v>
      </c>
    </row>
    <row r="364" spans="1:11">
      <c r="A364" s="19" t="s">
        <v>6</v>
      </c>
      <c r="B364" s="19" t="s">
        <v>6</v>
      </c>
      <c r="C364" s="19" t="s">
        <v>6</v>
      </c>
      <c r="D364" s="19" t="s">
        <v>6</v>
      </c>
      <c r="E364" s="19" t="s">
        <v>6</v>
      </c>
      <c r="F364" s="19" t="s">
        <v>6</v>
      </c>
      <c r="G364" s="20" t="s">
        <v>6</v>
      </c>
      <c r="H364" s="21" t="s">
        <v>6</v>
      </c>
      <c r="I364" s="19" t="s">
        <v>6</v>
      </c>
      <c r="J364" s="20" t="s">
        <v>6</v>
      </c>
      <c r="K364" s="21" t="s">
        <v>6</v>
      </c>
    </row>
    <row r="365" spans="1:11">
      <c r="A365" s="73"/>
      <c r="C365" s="31" t="s">
        <v>143</v>
      </c>
      <c r="E365" s="73"/>
      <c r="G365" s="96"/>
      <c r="H365" s="96"/>
      <c r="I365" s="100"/>
      <c r="J365" s="96"/>
      <c r="K365" s="96"/>
    </row>
    <row r="366" spans="1:11" ht="13.5">
      <c r="A366" s="73">
        <v>1</v>
      </c>
      <c r="C366" s="77" t="s">
        <v>250</v>
      </c>
      <c r="E366" s="73">
        <v>1</v>
      </c>
      <c r="G366" s="96"/>
      <c r="H366" s="148">
        <v>14708599.65</v>
      </c>
      <c r="I366" s="100"/>
      <c r="J366" s="96"/>
      <c r="K366" s="148">
        <v>14965556</v>
      </c>
    </row>
    <row r="367" spans="1:11">
      <c r="A367" s="73">
        <v>2</v>
      </c>
      <c r="C367" s="10" t="s">
        <v>144</v>
      </c>
      <c r="E367" s="73">
        <v>2</v>
      </c>
      <c r="F367" s="10"/>
      <c r="G367" s="103"/>
      <c r="H367" s="145">
        <v>3422129.96</v>
      </c>
      <c r="I367" s="103"/>
      <c r="J367" s="103"/>
      <c r="K367" s="145">
        <v>3357082</v>
      </c>
    </row>
    <row r="368" spans="1:11">
      <c r="A368" s="73">
        <v>3</v>
      </c>
      <c r="C368" s="10" t="s">
        <v>145</v>
      </c>
      <c r="E368" s="73">
        <v>3</v>
      </c>
      <c r="F368" s="10"/>
      <c r="G368" s="103"/>
      <c r="H368" s="145">
        <f>3095655.52564+'[1]ID Revenue by Nacubo'!$L$61</f>
        <v>2158524.0886400002</v>
      </c>
      <c r="I368" s="103"/>
      <c r="J368" s="103"/>
      <c r="K368" s="145">
        <f>1398193+10636.16-10636.16</f>
        <v>1398193</v>
      </c>
    </row>
    <row r="369" spans="1:11" ht="13.5">
      <c r="A369" s="73">
        <v>4</v>
      </c>
      <c r="C369" s="10" t="s">
        <v>252</v>
      </c>
      <c r="E369" s="73">
        <v>4</v>
      </c>
      <c r="F369" s="10"/>
      <c r="G369" s="103"/>
      <c r="H369" s="145"/>
      <c r="I369" s="103"/>
      <c r="J369" s="103"/>
      <c r="K369" s="145"/>
    </row>
    <row r="370" spans="1:11">
      <c r="A370" s="73">
        <v>5</v>
      </c>
      <c r="C370" s="10" t="s">
        <v>146</v>
      </c>
      <c r="E370" s="73">
        <v>5</v>
      </c>
      <c r="F370" s="10"/>
      <c r="G370" s="103"/>
      <c r="H370" s="145"/>
      <c r="I370" s="103"/>
      <c r="J370" s="103"/>
      <c r="K370" s="145"/>
    </row>
    <row r="371" spans="1:11">
      <c r="A371" s="73">
        <v>6</v>
      </c>
      <c r="C371" s="10" t="s">
        <v>147</v>
      </c>
      <c r="E371" s="73">
        <v>6</v>
      </c>
      <c r="F371" s="10"/>
      <c r="G371" s="103"/>
      <c r="H371" s="145"/>
      <c r="I371" s="103"/>
      <c r="J371" s="103"/>
      <c r="K371" s="145"/>
    </row>
    <row r="372" spans="1:11">
      <c r="A372" s="73">
        <v>7</v>
      </c>
      <c r="C372" s="10" t="s">
        <v>148</v>
      </c>
      <c r="E372" s="73">
        <v>7</v>
      </c>
      <c r="F372" s="10"/>
      <c r="G372" s="103"/>
      <c r="H372" s="145"/>
      <c r="I372" s="103"/>
      <c r="J372" s="103"/>
      <c r="K372" s="145"/>
    </row>
    <row r="373" spans="1:11">
      <c r="A373" s="73">
        <v>8</v>
      </c>
      <c r="C373" s="10" t="s">
        <v>149</v>
      </c>
      <c r="E373" s="73">
        <v>8</v>
      </c>
      <c r="F373" s="70"/>
      <c r="G373" s="20"/>
      <c r="H373" s="149"/>
      <c r="I373" s="70"/>
      <c r="J373" s="20"/>
      <c r="K373" s="149"/>
    </row>
    <row r="374" spans="1:11" ht="13.5">
      <c r="A374" s="73">
        <v>9</v>
      </c>
      <c r="C374" s="137" t="s">
        <v>251</v>
      </c>
      <c r="E374" s="73">
        <v>9</v>
      </c>
      <c r="F374" s="70"/>
      <c r="G374" s="20"/>
      <c r="H374" s="149"/>
      <c r="I374" s="70"/>
      <c r="J374" s="20"/>
      <c r="K374" s="149"/>
    </row>
    <row r="375" spans="1:11">
      <c r="A375" s="73">
        <v>10</v>
      </c>
      <c r="C375" s="10"/>
      <c r="E375" s="73">
        <v>10</v>
      </c>
      <c r="F375" s="70"/>
      <c r="G375" s="20"/>
      <c r="H375" s="149"/>
      <c r="I375" s="70"/>
      <c r="J375" s="20"/>
      <c r="K375" s="149"/>
    </row>
    <row r="376" spans="1:11">
      <c r="A376" s="73">
        <v>11</v>
      </c>
      <c r="C376" s="10"/>
      <c r="E376" s="73">
        <v>11</v>
      </c>
      <c r="F376" s="70"/>
      <c r="G376" s="20"/>
      <c r="H376" s="149"/>
      <c r="I376" s="70"/>
      <c r="J376" s="20"/>
      <c r="K376" s="149"/>
    </row>
    <row r="377" spans="1:11">
      <c r="A377" s="73">
        <v>12</v>
      </c>
      <c r="C377" s="10"/>
      <c r="E377" s="73">
        <v>12</v>
      </c>
      <c r="F377" s="70"/>
      <c r="G377" s="20"/>
      <c r="H377" s="149"/>
      <c r="I377" s="70"/>
      <c r="J377" s="20"/>
      <c r="K377" s="149"/>
    </row>
    <row r="378" spans="1:11">
      <c r="A378" s="73">
        <v>13</v>
      </c>
      <c r="C378" s="10"/>
      <c r="E378" s="73">
        <v>13</v>
      </c>
      <c r="F378" s="70"/>
      <c r="G378" s="20"/>
      <c r="H378" s="149"/>
      <c r="I378" s="70"/>
      <c r="J378" s="20"/>
      <c r="K378" s="149"/>
    </row>
    <row r="379" spans="1:11">
      <c r="A379" s="73">
        <v>14</v>
      </c>
      <c r="C379" s="10"/>
      <c r="E379" s="73">
        <v>14</v>
      </c>
      <c r="F379" s="70"/>
      <c r="G379" s="20"/>
      <c r="H379" s="149"/>
      <c r="I379" s="70"/>
      <c r="J379" s="20"/>
      <c r="K379" s="149"/>
    </row>
    <row r="380" spans="1:11">
      <c r="A380" s="73">
        <v>15</v>
      </c>
      <c r="E380" s="73">
        <v>15</v>
      </c>
      <c r="F380" s="10"/>
      <c r="G380" s="103"/>
      <c r="H380" s="145"/>
      <c r="I380" s="103"/>
      <c r="J380" s="103"/>
      <c r="K380" s="145"/>
    </row>
    <row r="381" spans="1:11">
      <c r="A381" s="73"/>
      <c r="C381" s="10"/>
      <c r="E381" s="73"/>
      <c r="F381" s="10"/>
      <c r="G381" s="103"/>
      <c r="H381" s="145"/>
      <c r="I381" s="103"/>
      <c r="J381" s="103"/>
      <c r="K381" s="145"/>
    </row>
    <row r="382" spans="1:11">
      <c r="A382" s="73">
        <v>16</v>
      </c>
      <c r="C382" s="10" t="s">
        <v>150</v>
      </c>
      <c r="E382" s="73">
        <v>16</v>
      </c>
      <c r="F382" s="10"/>
      <c r="G382" s="103"/>
      <c r="H382" s="145">
        <v>9405.56</v>
      </c>
      <c r="I382" s="103"/>
      <c r="J382" s="103"/>
      <c r="K382" s="145"/>
    </row>
    <row r="383" spans="1:11">
      <c r="A383" s="73">
        <v>17</v>
      </c>
      <c r="C383" s="10" t="s">
        <v>151</v>
      </c>
      <c r="E383" s="73">
        <v>17</v>
      </c>
      <c r="F383" s="10"/>
      <c r="G383" s="103"/>
      <c r="H383" s="145"/>
      <c r="I383" s="103"/>
      <c r="J383" s="103"/>
      <c r="K383" s="145"/>
    </row>
    <row r="384" spans="1:11">
      <c r="A384" s="73">
        <v>18</v>
      </c>
      <c r="C384" s="10" t="s">
        <v>152</v>
      </c>
      <c r="E384" s="73">
        <v>18</v>
      </c>
      <c r="F384" s="10"/>
      <c r="G384" s="103"/>
      <c r="H384" s="145"/>
      <c r="I384" s="103"/>
      <c r="J384" s="103"/>
      <c r="K384" s="145"/>
    </row>
    <row r="385" spans="1:11">
      <c r="A385" s="73">
        <v>19</v>
      </c>
      <c r="C385" s="10" t="s">
        <v>38</v>
      </c>
      <c r="E385" s="73">
        <v>19</v>
      </c>
      <c r="F385" s="10"/>
      <c r="G385" s="103"/>
      <c r="H385" s="145"/>
      <c r="I385" s="103"/>
      <c r="J385" s="103"/>
      <c r="K385" s="145"/>
    </row>
    <row r="386" spans="1:11">
      <c r="A386" s="137">
        <v>20</v>
      </c>
      <c r="C386" s="10"/>
      <c r="E386" s="137">
        <v>20</v>
      </c>
      <c r="F386" s="70"/>
      <c r="G386" s="20"/>
      <c r="H386" s="149"/>
      <c r="I386" s="70"/>
      <c r="J386" s="20"/>
      <c r="K386" s="149"/>
    </row>
    <row r="387" spans="1:11">
      <c r="A387" s="137">
        <v>21</v>
      </c>
      <c r="C387" s="10"/>
      <c r="E387" s="137">
        <v>21</v>
      </c>
      <c r="F387" s="70"/>
      <c r="G387" s="20"/>
      <c r="H387" s="149"/>
      <c r="I387" s="70"/>
      <c r="J387" s="20"/>
      <c r="K387" s="149"/>
    </row>
    <row r="388" spans="1:11">
      <c r="A388" s="137">
        <v>22</v>
      </c>
      <c r="C388" s="10"/>
      <c r="E388" s="137">
        <v>22</v>
      </c>
      <c r="F388" s="70"/>
      <c r="G388" s="20"/>
      <c r="H388" s="149"/>
      <c r="I388" s="70"/>
      <c r="J388" s="20"/>
      <c r="K388" s="149"/>
    </row>
    <row r="389" spans="1:11">
      <c r="A389" s="137">
        <v>23</v>
      </c>
      <c r="C389" s="10"/>
      <c r="E389" s="137">
        <v>23</v>
      </c>
      <c r="F389" s="70"/>
      <c r="G389" s="20"/>
      <c r="H389" s="149"/>
      <c r="I389" s="70"/>
      <c r="J389" s="20"/>
      <c r="K389" s="149"/>
    </row>
    <row r="390" spans="1:11">
      <c r="A390" s="137">
        <v>24</v>
      </c>
      <c r="C390" s="10"/>
      <c r="E390" s="137">
        <v>24</v>
      </c>
      <c r="F390" s="70"/>
      <c r="G390" s="20"/>
      <c r="H390" s="149"/>
      <c r="I390" s="70"/>
      <c r="J390" s="20"/>
      <c r="K390" s="149"/>
    </row>
    <row r="391" spans="1:11">
      <c r="A391" s="73"/>
      <c r="C391" s="10"/>
      <c r="E391" s="73"/>
      <c r="F391" s="70" t="s">
        <v>6</v>
      </c>
      <c r="G391" s="20" t="s">
        <v>6</v>
      </c>
      <c r="H391" s="21"/>
      <c r="I391" s="70"/>
      <c r="J391" s="20"/>
      <c r="K391" s="21"/>
    </row>
    <row r="392" spans="1:11">
      <c r="A392" s="73">
        <v>25</v>
      </c>
      <c r="C392" s="9" t="s">
        <v>153</v>
      </c>
      <c r="E392" s="73">
        <v>25</v>
      </c>
      <c r="G392" s="96"/>
      <c r="H392" s="100">
        <f>SUM(H366:H390)</f>
        <v>20298659.258639999</v>
      </c>
      <c r="I392" s="100"/>
      <c r="J392" s="96"/>
      <c r="K392" s="100">
        <f>SUM(K366:K390)</f>
        <v>19720831</v>
      </c>
    </row>
    <row r="393" spans="1:11">
      <c r="A393" s="73"/>
      <c r="C393" s="9"/>
      <c r="E393" s="73"/>
      <c r="F393" s="70" t="s">
        <v>6</v>
      </c>
      <c r="G393" s="20" t="s">
        <v>6</v>
      </c>
      <c r="H393" s="21"/>
      <c r="I393" s="70"/>
      <c r="J393" s="20"/>
      <c r="K393" s="21"/>
    </row>
    <row r="394" spans="1:11" ht="13.5">
      <c r="A394" s="73">
        <v>26</v>
      </c>
      <c r="C394" s="9" t="s">
        <v>245</v>
      </c>
      <c r="E394" s="73">
        <v>26</v>
      </c>
      <c r="G394" s="96"/>
      <c r="H394" s="96">
        <v>245708.5</v>
      </c>
      <c r="I394" s="100"/>
      <c r="J394" s="96"/>
      <c r="K394" s="96">
        <v>0</v>
      </c>
    </row>
    <row r="395" spans="1:11">
      <c r="A395" s="73">
        <v>27</v>
      </c>
      <c r="E395" s="73">
        <v>27</v>
      </c>
      <c r="G395" s="96"/>
      <c r="H395" s="96"/>
      <c r="I395" s="100"/>
      <c r="J395" s="96"/>
      <c r="K395" s="96"/>
    </row>
    <row r="396" spans="1:11">
      <c r="A396" s="73">
        <v>28</v>
      </c>
      <c r="E396" s="73">
        <v>28</v>
      </c>
      <c r="G396" s="100"/>
      <c r="H396" s="100"/>
      <c r="I396" s="100"/>
      <c r="J396" s="100"/>
      <c r="K396" s="100"/>
    </row>
    <row r="397" spans="1:11">
      <c r="A397" s="73">
        <v>29</v>
      </c>
      <c r="C397" s="137" t="s">
        <v>38</v>
      </c>
      <c r="E397" s="73">
        <v>29</v>
      </c>
      <c r="G397" s="100"/>
      <c r="H397" s="100"/>
      <c r="I397" s="100"/>
      <c r="J397" s="100"/>
      <c r="K397" s="100"/>
    </row>
    <row r="398" spans="1:11">
      <c r="A398" s="73"/>
      <c r="C398" s="74"/>
      <c r="E398" s="73"/>
      <c r="F398" s="70" t="s">
        <v>6</v>
      </c>
      <c r="G398" s="20" t="s">
        <v>6</v>
      </c>
      <c r="H398" s="21"/>
      <c r="I398" s="70"/>
      <c r="J398" s="20"/>
      <c r="K398" s="21"/>
    </row>
    <row r="399" spans="1:11">
      <c r="A399" s="73">
        <v>30</v>
      </c>
      <c r="C399" s="74" t="s">
        <v>154</v>
      </c>
      <c r="E399" s="73">
        <v>30</v>
      </c>
      <c r="G399" s="96"/>
      <c r="H399" s="100">
        <f>SUM(H392:H397)</f>
        <v>20544367.758639999</v>
      </c>
      <c r="I399" s="100"/>
      <c r="J399" s="96"/>
      <c r="K399" s="100">
        <f>SUM(K392:K397)</f>
        <v>19720831</v>
      </c>
    </row>
    <row r="400" spans="1:11">
      <c r="A400" s="76"/>
      <c r="C400" s="9"/>
      <c r="E400" s="35"/>
      <c r="F400" s="70" t="s">
        <v>6</v>
      </c>
      <c r="G400" s="20" t="s">
        <v>6</v>
      </c>
      <c r="H400" s="21" t="s">
        <v>6</v>
      </c>
      <c r="I400" s="70" t="s">
        <v>6</v>
      </c>
      <c r="J400" s="20" t="s">
        <v>6</v>
      </c>
      <c r="K400" s="21" t="s">
        <v>6</v>
      </c>
    </row>
    <row r="401" spans="1:11" ht="13.5">
      <c r="C401" s="137" t="s">
        <v>254</v>
      </c>
      <c r="F401" s="70"/>
      <c r="G401" s="20"/>
      <c r="H401" s="40"/>
      <c r="I401" s="70"/>
      <c r="J401" s="20"/>
      <c r="K401" s="40"/>
    </row>
    <row r="402" spans="1:11" ht="13.5">
      <c r="C402" s="137" t="s">
        <v>253</v>
      </c>
      <c r="F402" s="70"/>
      <c r="G402" s="20"/>
      <c r="H402" s="40"/>
      <c r="I402" s="70"/>
      <c r="J402" s="20"/>
      <c r="K402" s="40"/>
    </row>
    <row r="403" spans="1:11" ht="13.5">
      <c r="C403" s="137" t="s">
        <v>242</v>
      </c>
      <c r="F403" s="70"/>
      <c r="G403" s="20"/>
      <c r="H403" s="40"/>
      <c r="I403" s="70"/>
      <c r="J403" s="20"/>
      <c r="K403" s="40"/>
    </row>
    <row r="404" spans="1:11">
      <c r="C404" s="137" t="s">
        <v>155</v>
      </c>
      <c r="F404" s="70"/>
      <c r="G404" s="20"/>
      <c r="H404" s="40"/>
      <c r="I404" s="70"/>
      <c r="J404" s="20"/>
      <c r="K404" s="40"/>
    </row>
    <row r="405" spans="1:11" ht="13.5">
      <c r="C405" s="137" t="s">
        <v>243</v>
      </c>
      <c r="F405" s="70"/>
      <c r="G405" s="20"/>
      <c r="H405" s="40"/>
      <c r="I405" s="70"/>
      <c r="J405" s="20"/>
      <c r="K405" s="40"/>
    </row>
    <row r="406" spans="1:11">
      <c r="C406" s="137" t="s">
        <v>156</v>
      </c>
      <c r="F406" s="70"/>
      <c r="G406" s="20"/>
      <c r="H406" s="40"/>
      <c r="I406" s="70"/>
      <c r="J406" s="20"/>
      <c r="K406" s="40"/>
    </row>
    <row r="407" spans="1:11" ht="13.5">
      <c r="C407" s="137" t="s">
        <v>244</v>
      </c>
      <c r="F407" s="70"/>
      <c r="G407" s="20"/>
      <c r="H407" s="40"/>
      <c r="I407" s="70"/>
      <c r="J407" s="20"/>
      <c r="K407" s="40"/>
    </row>
    <row r="408" spans="1:11">
      <c r="A408" s="76"/>
      <c r="C408" s="137" t="s">
        <v>240</v>
      </c>
      <c r="E408" s="35"/>
      <c r="F408" s="70"/>
      <c r="G408" s="20"/>
      <c r="H408" s="21"/>
      <c r="I408" s="70"/>
      <c r="J408" s="20"/>
      <c r="K408" s="21"/>
    </row>
    <row r="409" spans="1:11" ht="13.5" customHeight="1"/>
    <row r="410" spans="1:11">
      <c r="A410" s="16" t="str">
        <f>$A$83</f>
        <v xml:space="preserve">Institution No.:  </v>
      </c>
      <c r="B410" s="36"/>
      <c r="C410" s="36"/>
      <c r="D410" s="36"/>
      <c r="E410" s="37"/>
      <c r="F410" s="36"/>
      <c r="G410" s="38"/>
      <c r="H410" s="39"/>
      <c r="I410" s="36"/>
      <c r="J410" s="38"/>
      <c r="K410" s="15" t="s">
        <v>262</v>
      </c>
    </row>
    <row r="411" spans="1:11">
      <c r="A411" s="36"/>
      <c r="B411" s="36"/>
      <c r="C411" s="36"/>
      <c r="D411" s="58" t="s">
        <v>266</v>
      </c>
      <c r="E411" s="37"/>
      <c r="F411" s="36"/>
      <c r="G411" s="38"/>
      <c r="H411" s="39"/>
      <c r="I411" s="36"/>
      <c r="J411" s="38"/>
      <c r="K411" s="39"/>
    </row>
    <row r="412" spans="1:11" s="36" customFormat="1">
      <c r="A412" s="16" t="str">
        <f>$A$42</f>
        <v xml:space="preserve">NAME: </v>
      </c>
      <c r="B412" s="137"/>
      <c r="C412" s="137" t="str">
        <f>$D$20</f>
        <v>University of Colorado</v>
      </c>
      <c r="D412" s="137"/>
      <c r="E412" s="137"/>
      <c r="F412" s="72"/>
      <c r="G412" s="66"/>
      <c r="H412" s="40"/>
      <c r="I412" s="137"/>
      <c r="J412" s="14"/>
      <c r="K412" s="18" t="str">
        <f>$K$3</f>
        <v>Date: October 09, 2017</v>
      </c>
    </row>
    <row r="413" spans="1:11" ht="12.75" customHeight="1">
      <c r="A413" s="19" t="s">
        <v>6</v>
      </c>
      <c r="B413" s="19" t="s">
        <v>6</v>
      </c>
      <c r="C413" s="19" t="s">
        <v>6</v>
      </c>
      <c r="D413" s="19" t="s">
        <v>6</v>
      </c>
      <c r="E413" s="19" t="s">
        <v>6</v>
      </c>
      <c r="F413" s="19" t="s">
        <v>6</v>
      </c>
      <c r="G413" s="20" t="s">
        <v>6</v>
      </c>
      <c r="H413" s="21" t="s">
        <v>6</v>
      </c>
      <c r="I413" s="19" t="s">
        <v>6</v>
      </c>
      <c r="J413" s="20" t="s">
        <v>6</v>
      </c>
      <c r="K413" s="21" t="s">
        <v>6</v>
      </c>
    </row>
    <row r="414" spans="1:11">
      <c r="A414" s="22" t="s">
        <v>7</v>
      </c>
      <c r="E414" s="22" t="s">
        <v>7</v>
      </c>
      <c r="G414" s="24"/>
      <c r="H414" s="25" t="s">
        <v>257</v>
      </c>
      <c r="I414" s="23"/>
      <c r="J414" s="24"/>
      <c r="K414" s="25" t="s">
        <v>261</v>
      </c>
    </row>
    <row r="415" spans="1:11">
      <c r="A415" s="22" t="s">
        <v>9</v>
      </c>
      <c r="C415" s="26" t="s">
        <v>51</v>
      </c>
      <c r="E415" s="22" t="s">
        <v>9</v>
      </c>
      <c r="G415" s="14"/>
      <c r="H415" s="25" t="s">
        <v>12</v>
      </c>
      <c r="J415" s="14"/>
      <c r="K415" s="25" t="s">
        <v>13</v>
      </c>
    </row>
    <row r="416" spans="1:11">
      <c r="A416" s="19" t="s">
        <v>6</v>
      </c>
      <c r="B416" s="19" t="s">
        <v>6</v>
      </c>
      <c r="C416" s="19" t="s">
        <v>6</v>
      </c>
      <c r="D416" s="19" t="s">
        <v>6</v>
      </c>
      <c r="E416" s="19" t="s">
        <v>6</v>
      </c>
      <c r="F416" s="19" t="s">
        <v>6</v>
      </c>
      <c r="G416" s="20" t="s">
        <v>6</v>
      </c>
      <c r="H416" s="21" t="s">
        <v>6</v>
      </c>
      <c r="I416" s="19" t="s">
        <v>6</v>
      </c>
      <c r="J416" s="20" t="s">
        <v>6</v>
      </c>
      <c r="K416" s="21" t="s">
        <v>6</v>
      </c>
    </row>
    <row r="417" spans="1:11">
      <c r="A417" s="73"/>
      <c r="C417" s="31" t="s">
        <v>265</v>
      </c>
      <c r="E417" s="73"/>
      <c r="G417" s="96"/>
      <c r="H417" s="96"/>
      <c r="I417" s="100"/>
      <c r="J417" s="96"/>
      <c r="K417" s="96"/>
    </row>
    <row r="418" spans="1:11">
      <c r="A418" s="73">
        <v>1</v>
      </c>
      <c r="C418" s="9" t="s">
        <v>263</v>
      </c>
      <c r="E418" s="73">
        <v>1</v>
      </c>
      <c r="G418" s="96"/>
      <c r="H418" s="148"/>
      <c r="I418" s="100"/>
      <c r="J418" s="96"/>
      <c r="K418" s="148"/>
    </row>
    <row r="419" spans="1:11">
      <c r="A419" s="73">
        <v>2</v>
      </c>
      <c r="C419" s="10"/>
      <c r="E419" s="73">
        <v>2</v>
      </c>
      <c r="F419" s="10"/>
      <c r="G419" s="103"/>
      <c r="H419" s="145"/>
      <c r="I419" s="103"/>
      <c r="J419" s="103"/>
      <c r="K419" s="145"/>
    </row>
    <row r="420" spans="1:11">
      <c r="A420" s="73">
        <v>3</v>
      </c>
      <c r="C420" s="10"/>
      <c r="E420" s="73">
        <v>3</v>
      </c>
      <c r="F420" s="10"/>
      <c r="G420" s="103"/>
      <c r="H420" s="145"/>
      <c r="I420" s="103"/>
      <c r="J420" s="103"/>
      <c r="K420" s="145"/>
    </row>
    <row r="421" spans="1:11">
      <c r="A421" s="73">
        <v>4</v>
      </c>
      <c r="C421" s="10"/>
      <c r="E421" s="73">
        <v>4</v>
      </c>
      <c r="F421" s="10"/>
      <c r="G421" s="103"/>
      <c r="H421" s="145"/>
      <c r="I421" s="103"/>
      <c r="J421" s="103"/>
      <c r="K421" s="145"/>
    </row>
    <row r="422" spans="1:11">
      <c r="A422" s="73">
        <v>5</v>
      </c>
      <c r="C422" s="10"/>
      <c r="E422" s="73">
        <v>5</v>
      </c>
      <c r="F422" s="10"/>
      <c r="G422" s="103"/>
      <c r="H422" s="145"/>
      <c r="I422" s="103"/>
      <c r="J422" s="103"/>
      <c r="K422" s="145"/>
    </row>
    <row r="423" spans="1:11">
      <c r="A423" s="73">
        <v>6</v>
      </c>
      <c r="C423" s="10"/>
      <c r="E423" s="73">
        <v>6</v>
      </c>
      <c r="F423" s="10"/>
      <c r="G423" s="103"/>
      <c r="H423" s="145"/>
      <c r="I423" s="103"/>
      <c r="J423" s="103"/>
      <c r="K423" s="145"/>
    </row>
    <row r="424" spans="1:11">
      <c r="A424" s="73">
        <v>7</v>
      </c>
      <c r="C424" s="10"/>
      <c r="E424" s="73">
        <v>7</v>
      </c>
      <c r="F424" s="10"/>
      <c r="G424" s="103"/>
      <c r="H424" s="145"/>
      <c r="I424" s="103"/>
      <c r="J424" s="103"/>
      <c r="K424" s="145"/>
    </row>
    <row r="425" spans="1:11">
      <c r="A425" s="73">
        <v>8</v>
      </c>
      <c r="C425" s="10"/>
      <c r="E425" s="73">
        <v>8</v>
      </c>
      <c r="F425" s="70"/>
      <c r="G425" s="20"/>
      <c r="H425" s="149"/>
      <c r="I425" s="70"/>
      <c r="J425" s="20"/>
      <c r="K425" s="149"/>
    </row>
    <row r="426" spans="1:11">
      <c r="A426" s="73">
        <v>9</v>
      </c>
      <c r="E426" s="73">
        <v>9</v>
      </c>
      <c r="F426" s="70"/>
      <c r="G426" s="20"/>
      <c r="H426" s="149"/>
      <c r="I426" s="70"/>
      <c r="J426" s="20"/>
      <c r="K426" s="149"/>
    </row>
    <row r="427" spans="1:11">
      <c r="A427" s="73">
        <v>10</v>
      </c>
      <c r="C427" s="10"/>
      <c r="E427" s="73">
        <v>10</v>
      </c>
      <c r="F427" s="70"/>
      <c r="G427" s="20"/>
      <c r="H427" s="149"/>
      <c r="I427" s="70"/>
      <c r="J427" s="20"/>
      <c r="K427" s="149"/>
    </row>
    <row r="428" spans="1:11">
      <c r="A428" s="73">
        <v>11</v>
      </c>
      <c r="C428" s="10"/>
      <c r="E428" s="73">
        <v>11</v>
      </c>
      <c r="F428" s="70"/>
      <c r="G428" s="20"/>
      <c r="H428" s="149"/>
      <c r="I428" s="70"/>
      <c r="J428" s="20"/>
      <c r="K428" s="149"/>
    </row>
    <row r="429" spans="1:11">
      <c r="A429" s="73">
        <v>12</v>
      </c>
      <c r="C429" s="10"/>
      <c r="E429" s="73">
        <v>12</v>
      </c>
      <c r="F429" s="70"/>
      <c r="G429" s="20"/>
      <c r="H429" s="149"/>
      <c r="I429" s="70"/>
      <c r="J429" s="20"/>
      <c r="K429" s="149"/>
    </row>
    <row r="430" spans="1:11">
      <c r="A430" s="73">
        <v>13</v>
      </c>
      <c r="C430" s="10"/>
      <c r="E430" s="73">
        <v>13</v>
      </c>
      <c r="F430" s="70"/>
      <c r="G430" s="20"/>
      <c r="H430" s="149"/>
      <c r="I430" s="70"/>
      <c r="J430" s="20"/>
      <c r="K430" s="149"/>
    </row>
    <row r="431" spans="1:11">
      <c r="A431" s="73">
        <v>14</v>
      </c>
      <c r="C431" s="10"/>
      <c r="E431" s="73">
        <v>14</v>
      </c>
      <c r="F431" s="70"/>
      <c r="G431" s="20"/>
      <c r="H431" s="149"/>
      <c r="I431" s="70"/>
      <c r="J431" s="20"/>
      <c r="K431" s="149"/>
    </row>
    <row r="432" spans="1:11">
      <c r="A432" s="73">
        <v>15</v>
      </c>
      <c r="E432" s="73">
        <v>15</v>
      </c>
      <c r="F432" s="10"/>
      <c r="G432" s="103"/>
      <c r="H432" s="145"/>
      <c r="I432" s="103"/>
      <c r="J432" s="103"/>
      <c r="K432" s="145"/>
    </row>
    <row r="433" spans="1:11">
      <c r="A433" s="73"/>
      <c r="C433" s="10"/>
      <c r="E433" s="73"/>
      <c r="F433" s="10"/>
      <c r="G433" s="103"/>
      <c r="H433" s="145"/>
      <c r="I433" s="103"/>
      <c r="J433" s="103"/>
      <c r="K433" s="145"/>
    </row>
    <row r="434" spans="1:11">
      <c r="A434" s="73">
        <v>16</v>
      </c>
      <c r="C434" s="10"/>
      <c r="E434" s="73">
        <v>16</v>
      </c>
      <c r="F434" s="10"/>
      <c r="G434" s="103"/>
      <c r="H434" s="145"/>
      <c r="I434" s="103"/>
      <c r="J434" s="103"/>
      <c r="K434" s="145"/>
    </row>
    <row r="435" spans="1:11">
      <c r="A435" s="73">
        <v>17</v>
      </c>
      <c r="C435" s="10"/>
      <c r="E435" s="73">
        <v>17</v>
      </c>
      <c r="F435" s="10"/>
      <c r="G435" s="103"/>
      <c r="H435" s="145"/>
      <c r="I435" s="103"/>
      <c r="J435" s="103"/>
      <c r="K435" s="145"/>
    </row>
    <row r="436" spans="1:11">
      <c r="A436" s="73">
        <v>18</v>
      </c>
      <c r="C436" s="10"/>
      <c r="E436" s="73">
        <v>18</v>
      </c>
      <c r="F436" s="10"/>
      <c r="G436" s="103"/>
      <c r="H436" s="145"/>
      <c r="I436" s="103"/>
      <c r="J436" s="103"/>
      <c r="K436" s="145"/>
    </row>
    <row r="437" spans="1:11">
      <c r="A437" s="73">
        <v>19</v>
      </c>
      <c r="C437" s="10" t="s">
        <v>38</v>
      </c>
      <c r="E437" s="73">
        <v>19</v>
      </c>
      <c r="F437" s="10"/>
      <c r="G437" s="103"/>
      <c r="H437" s="145"/>
      <c r="I437" s="103"/>
      <c r="J437" s="103"/>
      <c r="K437" s="145"/>
    </row>
    <row r="438" spans="1:11">
      <c r="A438" s="137">
        <v>20</v>
      </c>
      <c r="C438" s="10"/>
      <c r="E438" s="137">
        <v>20</v>
      </c>
      <c r="F438" s="70"/>
      <c r="G438" s="20"/>
      <c r="H438" s="149"/>
      <c r="I438" s="70"/>
      <c r="J438" s="20"/>
      <c r="K438" s="149"/>
    </row>
    <row r="439" spans="1:11">
      <c r="A439" s="137">
        <v>21</v>
      </c>
      <c r="C439" s="10"/>
      <c r="E439" s="137">
        <v>21</v>
      </c>
      <c r="F439" s="70"/>
      <c r="G439" s="20"/>
      <c r="H439" s="149"/>
      <c r="I439" s="70"/>
      <c r="J439" s="20"/>
      <c r="K439" s="149"/>
    </row>
    <row r="440" spans="1:11">
      <c r="A440" s="137">
        <v>22</v>
      </c>
      <c r="C440" s="10"/>
      <c r="E440" s="137">
        <v>22</v>
      </c>
      <c r="F440" s="70"/>
      <c r="G440" s="20"/>
      <c r="H440" s="149"/>
      <c r="I440" s="70"/>
      <c r="J440" s="20"/>
      <c r="K440" s="149"/>
    </row>
    <row r="441" spans="1:11">
      <c r="A441" s="137">
        <v>23</v>
      </c>
      <c r="C441" s="10"/>
      <c r="E441" s="137">
        <v>23</v>
      </c>
      <c r="F441" s="70"/>
      <c r="G441" s="20"/>
      <c r="H441" s="149"/>
      <c r="I441" s="70"/>
      <c r="J441" s="20"/>
      <c r="K441" s="149"/>
    </row>
    <row r="442" spans="1:11">
      <c r="A442" s="137">
        <v>24</v>
      </c>
      <c r="C442" s="10"/>
      <c r="E442" s="137">
        <v>24</v>
      </c>
      <c r="F442" s="70"/>
      <c r="G442" s="20"/>
      <c r="H442" s="149"/>
      <c r="I442" s="70"/>
      <c r="J442" s="20"/>
      <c r="K442" s="149"/>
    </row>
    <row r="443" spans="1:11">
      <c r="A443" s="73"/>
      <c r="C443" s="10"/>
      <c r="E443" s="73"/>
      <c r="F443" s="70" t="s">
        <v>6</v>
      </c>
      <c r="G443" s="20" t="s">
        <v>6</v>
      </c>
      <c r="H443" s="21"/>
      <c r="I443" s="70"/>
      <c r="J443" s="20"/>
      <c r="K443" s="21"/>
    </row>
    <row r="444" spans="1:11">
      <c r="A444" s="73">
        <v>25</v>
      </c>
      <c r="C444" s="9"/>
      <c r="E444" s="73">
        <v>25</v>
      </c>
      <c r="G444" s="96"/>
      <c r="H444" s="100">
        <f>SUM(H418:H442)</f>
        <v>0</v>
      </c>
      <c r="I444" s="100"/>
      <c r="J444" s="96"/>
      <c r="K444" s="100">
        <f>SUM(K418:K442)</f>
        <v>0</v>
      </c>
    </row>
    <row r="445" spans="1:11">
      <c r="A445" s="73"/>
      <c r="C445" s="9"/>
      <c r="E445" s="73"/>
      <c r="F445" s="70" t="s">
        <v>6</v>
      </c>
      <c r="G445" s="20" t="s">
        <v>6</v>
      </c>
      <c r="H445" s="21"/>
      <c r="I445" s="70"/>
      <c r="J445" s="20"/>
      <c r="K445" s="21"/>
    </row>
    <row r="446" spans="1:11">
      <c r="A446" s="73">
        <v>26</v>
      </c>
      <c r="C446" s="9"/>
      <c r="E446" s="73">
        <v>26</v>
      </c>
      <c r="G446" s="96"/>
      <c r="H446" s="96">
        <v>0</v>
      </c>
      <c r="I446" s="100"/>
      <c r="J446" s="96"/>
      <c r="K446" s="96">
        <v>0</v>
      </c>
    </row>
    <row r="447" spans="1:11">
      <c r="A447" s="73">
        <v>27</v>
      </c>
      <c r="E447" s="73">
        <v>27</v>
      </c>
      <c r="G447" s="96"/>
      <c r="H447" s="96"/>
      <c r="I447" s="100"/>
      <c r="J447" s="96"/>
      <c r="K447" s="96"/>
    </row>
    <row r="448" spans="1:11">
      <c r="A448" s="73">
        <v>28</v>
      </c>
      <c r="E448" s="73">
        <v>28</v>
      </c>
      <c r="G448" s="100"/>
      <c r="H448" s="100"/>
      <c r="I448" s="100"/>
      <c r="J448" s="100"/>
      <c r="K448" s="100"/>
    </row>
    <row r="449" spans="1:11">
      <c r="A449" s="73">
        <v>29</v>
      </c>
      <c r="C449" s="137" t="s">
        <v>38</v>
      </c>
      <c r="E449" s="73">
        <v>29</v>
      </c>
      <c r="G449" s="100"/>
      <c r="H449" s="100"/>
      <c r="I449" s="100"/>
      <c r="J449" s="100"/>
      <c r="K449" s="100"/>
    </row>
    <row r="450" spans="1:11" s="36" customFormat="1">
      <c r="A450" s="73"/>
      <c r="B450" s="137"/>
      <c r="C450" s="74"/>
      <c r="D450" s="137"/>
      <c r="E450" s="73"/>
      <c r="F450" s="70" t="s">
        <v>6</v>
      </c>
      <c r="G450" s="20" t="s">
        <v>6</v>
      </c>
      <c r="H450" s="21"/>
      <c r="I450" s="70"/>
      <c r="J450" s="20"/>
      <c r="K450" s="21"/>
    </row>
    <row r="451" spans="1:11" s="36" customFormat="1">
      <c r="A451" s="73">
        <v>30</v>
      </c>
      <c r="B451" s="137"/>
      <c r="C451" s="74" t="s">
        <v>267</v>
      </c>
      <c r="D451" s="137"/>
      <c r="E451" s="73">
        <v>30</v>
      </c>
      <c r="F451" s="137"/>
      <c r="G451" s="96"/>
      <c r="H451" s="100"/>
      <c r="I451" s="100"/>
      <c r="J451" s="96"/>
      <c r="K451" s="100">
        <f>SUM(K444:K449)</f>
        <v>0</v>
      </c>
    </row>
    <row r="452" spans="1:11">
      <c r="A452" s="76"/>
      <c r="C452" s="9"/>
      <c r="E452" s="35"/>
      <c r="F452" s="70" t="s">
        <v>6</v>
      </c>
      <c r="G452" s="20" t="s">
        <v>6</v>
      </c>
      <c r="H452" s="21" t="s">
        <v>6</v>
      </c>
      <c r="I452" s="70" t="s">
        <v>6</v>
      </c>
      <c r="J452" s="20" t="s">
        <v>6</v>
      </c>
      <c r="K452" s="21" t="s">
        <v>6</v>
      </c>
    </row>
    <row r="453" spans="1:11">
      <c r="F453" s="70"/>
      <c r="G453" s="20"/>
      <c r="H453" s="40"/>
      <c r="I453" s="70"/>
      <c r="J453" s="20"/>
      <c r="K453" s="40"/>
    </row>
    <row r="454" spans="1:11">
      <c r="F454" s="70"/>
      <c r="G454" s="20"/>
      <c r="H454" s="40"/>
      <c r="I454" s="70"/>
      <c r="J454" s="20"/>
      <c r="K454" s="40"/>
    </row>
    <row r="455" spans="1:11">
      <c r="C455" s="137" t="s">
        <v>38</v>
      </c>
      <c r="F455" s="70"/>
      <c r="G455" s="20"/>
      <c r="H455" s="40"/>
      <c r="I455" s="70"/>
      <c r="J455" s="20"/>
      <c r="K455" s="40"/>
    </row>
    <row r="456" spans="1:11">
      <c r="F456" s="70"/>
      <c r="G456" s="20"/>
      <c r="H456" s="40"/>
      <c r="I456" s="70"/>
      <c r="J456" s="20"/>
      <c r="K456" s="40"/>
    </row>
    <row r="457" spans="1:11">
      <c r="C457" s="137" t="s">
        <v>38</v>
      </c>
      <c r="F457" s="70"/>
      <c r="G457" s="20"/>
      <c r="H457" s="40"/>
      <c r="I457" s="70"/>
      <c r="J457" s="20"/>
      <c r="K457" s="40"/>
    </row>
    <row r="458" spans="1:11">
      <c r="F458" s="70"/>
      <c r="G458" s="20"/>
      <c r="H458" s="40"/>
      <c r="I458" s="70"/>
      <c r="J458" s="20"/>
      <c r="K458" s="40"/>
    </row>
    <row r="459" spans="1:11">
      <c r="F459" s="70"/>
      <c r="G459" s="20"/>
      <c r="H459" s="40"/>
      <c r="I459" s="70"/>
      <c r="J459" s="20"/>
      <c r="K459" s="40"/>
    </row>
    <row r="460" spans="1:11">
      <c r="A460" s="76"/>
      <c r="E460" s="35"/>
      <c r="F460" s="70"/>
      <c r="G460" s="20"/>
      <c r="H460" s="21"/>
      <c r="I460" s="70"/>
      <c r="J460" s="20"/>
      <c r="K460" s="21"/>
    </row>
    <row r="463" spans="1:11">
      <c r="A463" s="16" t="str">
        <f>$A$83</f>
        <v xml:space="preserve">Institution No.:  </v>
      </c>
      <c r="B463" s="36"/>
      <c r="C463" s="36"/>
      <c r="D463" s="36"/>
      <c r="E463" s="37"/>
      <c r="F463" s="36"/>
      <c r="G463" s="38"/>
      <c r="H463" s="39"/>
      <c r="I463" s="36"/>
      <c r="J463" s="38"/>
      <c r="K463" s="15" t="s">
        <v>157</v>
      </c>
    </row>
    <row r="464" spans="1:11">
      <c r="A464" s="222" t="s">
        <v>158</v>
      </c>
      <c r="B464" s="222"/>
      <c r="C464" s="222"/>
      <c r="D464" s="222"/>
      <c r="E464" s="222"/>
      <c r="F464" s="222"/>
      <c r="G464" s="222"/>
      <c r="H464" s="222"/>
      <c r="I464" s="222"/>
      <c r="J464" s="222"/>
      <c r="K464" s="222"/>
    </row>
    <row r="465" spans="1:11">
      <c r="A465" s="16" t="str">
        <f>$A$42</f>
        <v xml:space="preserve">NAME: </v>
      </c>
      <c r="C465" s="137" t="str">
        <f>$D$20</f>
        <v>University of Colorado</v>
      </c>
      <c r="H465" s="40"/>
      <c r="J465" s="14"/>
      <c r="K465" s="18" t="str">
        <f>$K$3</f>
        <v>Date: October 09, 2017</v>
      </c>
    </row>
    <row r="466" spans="1:11">
      <c r="A466" s="19" t="s">
        <v>6</v>
      </c>
      <c r="B466" s="19" t="s">
        <v>6</v>
      </c>
      <c r="C466" s="19" t="s">
        <v>6</v>
      </c>
      <c r="D466" s="19" t="s">
        <v>6</v>
      </c>
      <c r="E466" s="19" t="s">
        <v>6</v>
      </c>
      <c r="F466" s="19" t="s">
        <v>6</v>
      </c>
      <c r="G466" s="20" t="s">
        <v>6</v>
      </c>
      <c r="H466" s="21" t="s">
        <v>6</v>
      </c>
      <c r="I466" s="19" t="s">
        <v>6</v>
      </c>
      <c r="J466" s="20" t="s">
        <v>6</v>
      </c>
      <c r="K466" s="21" t="s">
        <v>6</v>
      </c>
    </row>
    <row r="467" spans="1:11">
      <c r="A467" s="22" t="s">
        <v>7</v>
      </c>
      <c r="E467" s="22" t="s">
        <v>7</v>
      </c>
      <c r="F467" s="23"/>
      <c r="G467" s="24"/>
      <c r="H467" s="25" t="str">
        <f>H362</f>
        <v>2016-17</v>
      </c>
      <c r="I467" s="23"/>
      <c r="J467" s="24"/>
      <c r="K467" s="25" t="str">
        <f>K362</f>
        <v>2017-18</v>
      </c>
    </row>
    <row r="468" spans="1:11">
      <c r="A468" s="22" t="s">
        <v>9</v>
      </c>
      <c r="C468" s="26" t="s">
        <v>51</v>
      </c>
      <c r="E468" s="22" t="s">
        <v>9</v>
      </c>
      <c r="F468" s="23"/>
      <c r="G468" s="24"/>
      <c r="H468" s="25" t="s">
        <v>12</v>
      </c>
      <c r="I468" s="23"/>
      <c r="J468" s="24"/>
      <c r="K468" s="25" t="s">
        <v>13</v>
      </c>
    </row>
    <row r="469" spans="1:11">
      <c r="A469" s="19" t="s">
        <v>6</v>
      </c>
      <c r="B469" s="19" t="s">
        <v>6</v>
      </c>
      <c r="C469" s="19" t="s">
        <v>6</v>
      </c>
      <c r="D469" s="19" t="s">
        <v>6</v>
      </c>
      <c r="E469" s="19" t="s">
        <v>6</v>
      </c>
      <c r="F469" s="19" t="s">
        <v>6</v>
      </c>
      <c r="G469" s="20" t="s">
        <v>6</v>
      </c>
      <c r="H469" s="21" t="s">
        <v>6</v>
      </c>
      <c r="I469" s="19" t="s">
        <v>6</v>
      </c>
      <c r="J469" s="20" t="s">
        <v>6</v>
      </c>
      <c r="K469" s="21" t="s">
        <v>6</v>
      </c>
    </row>
    <row r="470" spans="1:11">
      <c r="A470" s="78">
        <v>1</v>
      </c>
      <c r="C470" s="9" t="s">
        <v>159</v>
      </c>
      <c r="E470" s="78">
        <v>1</v>
      </c>
      <c r="F470" s="10"/>
      <c r="G470" s="11"/>
      <c r="H470" s="150"/>
      <c r="I470" s="10"/>
      <c r="J470" s="11"/>
      <c r="K470" s="152"/>
    </row>
    <row r="471" spans="1:11">
      <c r="A471" s="78">
        <f t="shared" ref="A471:A493" si="1">(A470+1)</f>
        <v>2</v>
      </c>
      <c r="C471" s="9" t="s">
        <v>160</v>
      </c>
      <c r="E471" s="78">
        <f t="shared" ref="E471:E493" si="2">(E470+1)</f>
        <v>2</v>
      </c>
      <c r="F471" s="10"/>
      <c r="G471" s="106"/>
      <c r="H471" s="151"/>
      <c r="I471" s="106"/>
      <c r="J471" s="106"/>
      <c r="K471" s="151"/>
    </row>
    <row r="472" spans="1:11">
      <c r="A472" s="78">
        <f t="shared" si="1"/>
        <v>3</v>
      </c>
      <c r="C472" s="9"/>
      <c r="E472" s="78">
        <f t="shared" si="2"/>
        <v>3</v>
      </c>
      <c r="F472" s="10"/>
      <c r="G472" s="106"/>
      <c r="H472" s="151"/>
      <c r="I472" s="106"/>
      <c r="J472" s="106"/>
      <c r="K472" s="151"/>
    </row>
    <row r="473" spans="1:11">
      <c r="A473" s="78">
        <f t="shared" si="1"/>
        <v>4</v>
      </c>
      <c r="C473" s="9"/>
      <c r="E473" s="78">
        <f t="shared" si="2"/>
        <v>4</v>
      </c>
      <c r="F473" s="10"/>
      <c r="G473" s="106"/>
      <c r="H473" s="151"/>
      <c r="I473" s="106"/>
      <c r="J473" s="106"/>
      <c r="K473" s="151"/>
    </row>
    <row r="474" spans="1:11">
      <c r="A474" s="78">
        <f>(A473+1)</f>
        <v>5</v>
      </c>
      <c r="C474" s="10"/>
      <c r="E474" s="78">
        <f>(E473+1)</f>
        <v>5</v>
      </c>
      <c r="F474" s="10"/>
      <c r="G474" s="106"/>
      <c r="H474" s="151"/>
      <c r="I474" s="106"/>
      <c r="J474" s="106"/>
      <c r="K474" s="151"/>
    </row>
    <row r="475" spans="1:11">
      <c r="A475" s="78">
        <f t="shared" si="1"/>
        <v>6</v>
      </c>
      <c r="C475" s="10"/>
      <c r="E475" s="78">
        <f t="shared" si="2"/>
        <v>6</v>
      </c>
      <c r="F475" s="10"/>
      <c r="G475" s="106"/>
      <c r="H475" s="151"/>
      <c r="I475" s="106"/>
      <c r="J475" s="106"/>
      <c r="K475" s="151"/>
    </row>
    <row r="476" spans="1:11" ht="12" customHeight="1">
      <c r="A476" s="78">
        <f>(A475+1)</f>
        <v>7</v>
      </c>
      <c r="C476" s="9"/>
      <c r="E476" s="78">
        <f>(E475+1)</f>
        <v>7</v>
      </c>
      <c r="F476" s="10"/>
      <c r="G476" s="106"/>
      <c r="H476" s="151"/>
      <c r="I476" s="106"/>
      <c r="J476" s="106"/>
      <c r="K476" s="151"/>
    </row>
    <row r="477" spans="1:11" s="82" customFormat="1" ht="12" customHeight="1">
      <c r="A477" s="78">
        <f>(A476+1)</f>
        <v>8</v>
      </c>
      <c r="B477" s="137"/>
      <c r="C477" s="10"/>
      <c r="D477" s="137"/>
      <c r="E477" s="78">
        <f>(E476+1)</f>
        <v>8</v>
      </c>
      <c r="F477" s="10"/>
      <c r="G477" s="106"/>
      <c r="H477" s="151"/>
      <c r="I477" s="106"/>
      <c r="J477" s="106"/>
      <c r="K477" s="151"/>
    </row>
    <row r="478" spans="1:11">
      <c r="A478" s="78">
        <f t="shared" si="1"/>
        <v>9</v>
      </c>
      <c r="C478" s="10"/>
      <c r="E478" s="78">
        <f t="shared" si="2"/>
        <v>9</v>
      </c>
      <c r="F478" s="10"/>
      <c r="G478" s="106"/>
      <c r="H478" s="151"/>
      <c r="I478" s="106"/>
      <c r="J478" s="106"/>
      <c r="K478" s="151"/>
    </row>
    <row r="479" spans="1:11">
      <c r="A479" s="78">
        <f t="shared" si="1"/>
        <v>10</v>
      </c>
      <c r="E479" s="78">
        <f t="shared" si="2"/>
        <v>10</v>
      </c>
      <c r="F479" s="10"/>
      <c r="G479" s="106"/>
      <c r="H479" s="151"/>
      <c r="I479" s="106"/>
      <c r="J479" s="106"/>
      <c r="K479" s="151"/>
    </row>
    <row r="480" spans="1:11">
      <c r="A480" s="78">
        <f t="shared" si="1"/>
        <v>11</v>
      </c>
      <c r="E480" s="78">
        <f t="shared" si="2"/>
        <v>11</v>
      </c>
      <c r="F480" s="10"/>
      <c r="G480" s="106"/>
      <c r="H480" s="151"/>
      <c r="I480" s="106"/>
      <c r="J480" s="106"/>
      <c r="K480" s="151"/>
    </row>
    <row r="481" spans="1:11">
      <c r="A481" s="78">
        <f t="shared" si="1"/>
        <v>12</v>
      </c>
      <c r="E481" s="78">
        <f t="shared" si="2"/>
        <v>12</v>
      </c>
      <c r="F481" s="10"/>
      <c r="G481" s="106"/>
      <c r="H481" s="151"/>
      <c r="I481" s="106"/>
      <c r="J481" s="106"/>
      <c r="K481" s="151"/>
    </row>
    <row r="482" spans="1:11">
      <c r="A482" s="78">
        <f t="shared" si="1"/>
        <v>13</v>
      </c>
      <c r="C482" s="10"/>
      <c r="E482" s="78">
        <f t="shared" si="2"/>
        <v>13</v>
      </c>
      <c r="F482" s="10"/>
      <c r="G482" s="106"/>
      <c r="H482" s="151"/>
      <c r="I482" s="106"/>
      <c r="J482" s="106"/>
      <c r="K482" s="151"/>
    </row>
    <row r="483" spans="1:11">
      <c r="A483" s="78">
        <f t="shared" si="1"/>
        <v>14</v>
      </c>
      <c r="C483" s="10" t="s">
        <v>161</v>
      </c>
      <c r="E483" s="78">
        <f t="shared" si="2"/>
        <v>14</v>
      </c>
      <c r="F483" s="10"/>
      <c r="G483" s="106"/>
      <c r="H483" s="151"/>
      <c r="I483" s="106"/>
      <c r="J483" s="106"/>
      <c r="K483" s="151"/>
    </row>
    <row r="484" spans="1:11">
      <c r="A484" s="78">
        <f t="shared" si="1"/>
        <v>15</v>
      </c>
      <c r="C484" s="10"/>
      <c r="E484" s="78">
        <f t="shared" si="2"/>
        <v>15</v>
      </c>
      <c r="F484" s="10"/>
      <c r="G484" s="106"/>
      <c r="H484" s="151"/>
      <c r="I484" s="106"/>
      <c r="J484" s="106"/>
      <c r="K484" s="151"/>
    </row>
    <row r="485" spans="1:11" ht="20.25" customHeight="1">
      <c r="A485" s="78">
        <f t="shared" si="1"/>
        <v>16</v>
      </c>
      <c r="C485" s="10"/>
      <c r="E485" s="78">
        <f t="shared" si="2"/>
        <v>16</v>
      </c>
      <c r="F485" s="10"/>
      <c r="G485" s="106"/>
      <c r="H485" s="151"/>
      <c r="I485" s="106"/>
      <c r="J485" s="106"/>
      <c r="K485" s="151"/>
    </row>
    <row r="486" spans="1:11">
      <c r="A486" s="78">
        <f t="shared" si="1"/>
        <v>17</v>
      </c>
      <c r="C486" s="10"/>
      <c r="E486" s="78">
        <f t="shared" si="2"/>
        <v>17</v>
      </c>
      <c r="F486" s="10"/>
      <c r="G486" s="106"/>
      <c r="H486" s="151"/>
      <c r="I486" s="106"/>
      <c r="J486" s="106"/>
      <c r="K486" s="151"/>
    </row>
    <row r="487" spans="1:11">
      <c r="A487" s="78">
        <f t="shared" si="1"/>
        <v>18</v>
      </c>
      <c r="C487" s="10"/>
      <c r="E487" s="78">
        <f t="shared" si="2"/>
        <v>18</v>
      </c>
      <c r="F487" s="10"/>
      <c r="G487" s="106"/>
      <c r="H487" s="151"/>
      <c r="I487" s="106"/>
      <c r="J487" s="106"/>
      <c r="K487" s="151"/>
    </row>
    <row r="488" spans="1:11">
      <c r="A488" s="78">
        <f t="shared" si="1"/>
        <v>19</v>
      </c>
      <c r="C488" s="10"/>
      <c r="E488" s="78">
        <f t="shared" si="2"/>
        <v>19</v>
      </c>
      <c r="F488" s="10"/>
      <c r="G488" s="106"/>
      <c r="H488" s="151"/>
      <c r="I488" s="106"/>
      <c r="J488" s="106"/>
      <c r="K488" s="151"/>
    </row>
    <row r="489" spans="1:11" s="36" customFormat="1">
      <c r="A489" s="78">
        <f t="shared" si="1"/>
        <v>20</v>
      </c>
      <c r="B489" s="137"/>
      <c r="C489" s="10"/>
      <c r="D489" s="137"/>
      <c r="E489" s="78">
        <f t="shared" si="2"/>
        <v>20</v>
      </c>
      <c r="F489" s="10"/>
      <c r="G489" s="106"/>
      <c r="H489" s="151"/>
      <c r="I489" s="106"/>
      <c r="J489" s="106"/>
      <c r="K489" s="151"/>
    </row>
    <row r="490" spans="1:11" s="36" customFormat="1">
      <c r="A490" s="78">
        <f t="shared" si="1"/>
        <v>21</v>
      </c>
      <c r="B490" s="137"/>
      <c r="C490" s="10"/>
      <c r="D490" s="137"/>
      <c r="E490" s="78">
        <f t="shared" si="2"/>
        <v>21</v>
      </c>
      <c r="F490" s="10"/>
      <c r="G490" s="106"/>
      <c r="H490" s="151"/>
      <c r="I490" s="106"/>
      <c r="J490" s="106"/>
      <c r="K490" s="151"/>
    </row>
    <row r="491" spans="1:11">
      <c r="A491" s="78">
        <f t="shared" si="1"/>
        <v>22</v>
      </c>
      <c r="C491" s="10"/>
      <c r="E491" s="78">
        <f t="shared" si="2"/>
        <v>22</v>
      </c>
      <c r="F491" s="10"/>
      <c r="G491" s="106"/>
      <c r="H491" s="151"/>
      <c r="I491" s="106"/>
      <c r="J491" s="106"/>
      <c r="K491" s="151"/>
    </row>
    <row r="492" spans="1:11">
      <c r="A492" s="78">
        <f t="shared" si="1"/>
        <v>23</v>
      </c>
      <c r="C492" s="10"/>
      <c r="E492" s="78">
        <f t="shared" si="2"/>
        <v>23</v>
      </c>
      <c r="F492" s="10"/>
      <c r="G492" s="106"/>
      <c r="H492" s="151"/>
      <c r="I492" s="106"/>
      <c r="J492" s="106"/>
      <c r="K492" s="151"/>
    </row>
    <row r="493" spans="1:11">
      <c r="A493" s="78">
        <f t="shared" si="1"/>
        <v>24</v>
      </c>
      <c r="C493" s="10"/>
      <c r="E493" s="78">
        <f t="shared" si="2"/>
        <v>24</v>
      </c>
      <c r="F493" s="10"/>
      <c r="G493" s="106"/>
      <c r="H493" s="151"/>
      <c r="I493" s="106"/>
      <c r="J493" s="106"/>
      <c r="K493" s="151"/>
    </row>
    <row r="494" spans="1:11">
      <c r="A494" s="79"/>
      <c r="E494" s="79"/>
      <c r="F494" s="70" t="s">
        <v>6</v>
      </c>
      <c r="G494" s="20" t="s">
        <v>6</v>
      </c>
      <c r="H494" s="21"/>
      <c r="I494" s="70"/>
      <c r="J494" s="20"/>
      <c r="K494" s="21"/>
    </row>
    <row r="495" spans="1:11">
      <c r="A495" s="78">
        <f>(A493+1)</f>
        <v>25</v>
      </c>
      <c r="C495" s="9" t="s">
        <v>162</v>
      </c>
      <c r="E495" s="78">
        <f>(E493+1)</f>
        <v>25</v>
      </c>
      <c r="G495" s="107"/>
      <c r="H495" s="108">
        <f>SUM(H470:H493)</f>
        <v>0</v>
      </c>
      <c r="I495" s="108"/>
      <c r="J495" s="107"/>
      <c r="K495" s="108">
        <f>SUM(K470:K493)</f>
        <v>0</v>
      </c>
    </row>
    <row r="496" spans="1:11">
      <c r="A496" s="78"/>
      <c r="C496" s="9"/>
      <c r="E496" s="78"/>
      <c r="F496" s="70" t="s">
        <v>6</v>
      </c>
      <c r="G496" s="20" t="s">
        <v>6</v>
      </c>
      <c r="H496" s="21"/>
      <c r="I496" s="70"/>
      <c r="J496" s="20"/>
      <c r="K496" s="21"/>
    </row>
    <row r="497" spans="1:11">
      <c r="E497" s="35"/>
    </row>
    <row r="498" spans="1:11">
      <c r="E498" s="35"/>
    </row>
    <row r="500" spans="1:11">
      <c r="E500" s="35"/>
      <c r="G500" s="14"/>
      <c r="H500" s="40"/>
      <c r="J500" s="14"/>
      <c r="K500" s="40"/>
    </row>
    <row r="501" spans="1:11">
      <c r="A501" s="16" t="str">
        <f>$A$83</f>
        <v xml:space="preserve">Institution No.:  </v>
      </c>
      <c r="B501" s="36"/>
      <c r="C501" s="36"/>
      <c r="D501" s="36"/>
      <c r="E501" s="37"/>
      <c r="F501" s="36"/>
      <c r="G501" s="38"/>
      <c r="H501" s="39"/>
      <c r="I501" s="36"/>
      <c r="J501" s="38"/>
      <c r="K501" s="15" t="s">
        <v>163</v>
      </c>
    </row>
    <row r="502" spans="1:11">
      <c r="A502" s="229" t="s">
        <v>164</v>
      </c>
      <c r="B502" s="229"/>
      <c r="C502" s="229"/>
      <c r="D502" s="229"/>
      <c r="E502" s="229"/>
      <c r="F502" s="229"/>
      <c r="G502" s="229"/>
      <c r="H502" s="229"/>
      <c r="I502" s="229"/>
      <c r="J502" s="229"/>
      <c r="K502" s="229"/>
    </row>
    <row r="503" spans="1:11">
      <c r="A503" s="16" t="str">
        <f>$A$42</f>
        <v xml:space="preserve">NAME: </v>
      </c>
      <c r="C503" s="137" t="str">
        <f>$D$20</f>
        <v>University of Colorado</v>
      </c>
      <c r="G503" s="80"/>
      <c r="H503" s="40"/>
      <c r="J503" s="14"/>
      <c r="K503" s="18" t="str">
        <f>$K$3</f>
        <v>Date: October 09, 2017</v>
      </c>
    </row>
    <row r="504" spans="1:11" ht="12.75" customHeight="1">
      <c r="A504" s="19" t="s">
        <v>6</v>
      </c>
      <c r="B504" s="19" t="s">
        <v>6</v>
      </c>
      <c r="C504" s="19" t="s">
        <v>6</v>
      </c>
      <c r="D504" s="19" t="s">
        <v>6</v>
      </c>
      <c r="E504" s="19" t="s">
        <v>6</v>
      </c>
      <c r="F504" s="19" t="s">
        <v>6</v>
      </c>
      <c r="G504" s="20" t="s">
        <v>6</v>
      </c>
      <c r="H504" s="21" t="s">
        <v>6</v>
      </c>
      <c r="I504" s="19" t="s">
        <v>6</v>
      </c>
      <c r="J504" s="20" t="s">
        <v>6</v>
      </c>
      <c r="K504" s="21" t="s">
        <v>6</v>
      </c>
    </row>
    <row r="505" spans="1:11">
      <c r="A505" s="22" t="s">
        <v>7</v>
      </c>
      <c r="E505" s="22" t="s">
        <v>7</v>
      </c>
      <c r="F505" s="23"/>
      <c r="G505" s="24"/>
      <c r="H505" s="25" t="str">
        <f>H467</f>
        <v>2016-17</v>
      </c>
      <c r="I505" s="23"/>
      <c r="J505" s="24"/>
      <c r="K505" s="25" t="str">
        <f>K467</f>
        <v>2017-18</v>
      </c>
    </row>
    <row r="506" spans="1:11">
      <c r="A506" s="22" t="s">
        <v>9</v>
      </c>
      <c r="C506" s="26" t="s">
        <v>51</v>
      </c>
      <c r="E506" s="22" t="s">
        <v>9</v>
      </c>
      <c r="F506" s="23"/>
      <c r="G506" s="24" t="s">
        <v>11</v>
      </c>
      <c r="H506" s="25" t="s">
        <v>12</v>
      </c>
      <c r="I506" s="23"/>
      <c r="J506" s="24" t="s">
        <v>11</v>
      </c>
      <c r="K506" s="25" t="s">
        <v>13</v>
      </c>
    </row>
    <row r="507" spans="1:11">
      <c r="A507" s="19" t="s">
        <v>6</v>
      </c>
      <c r="B507" s="19" t="s">
        <v>6</v>
      </c>
      <c r="C507" s="19" t="s">
        <v>6</v>
      </c>
      <c r="D507" s="19" t="s">
        <v>6</v>
      </c>
      <c r="E507" s="19" t="s">
        <v>6</v>
      </c>
      <c r="F507" s="19" t="s">
        <v>6</v>
      </c>
      <c r="G507" s="20" t="s">
        <v>6</v>
      </c>
      <c r="H507" s="21" t="s">
        <v>6</v>
      </c>
      <c r="I507" s="19" t="s">
        <v>6</v>
      </c>
      <c r="J507" s="20" t="s">
        <v>6</v>
      </c>
      <c r="K507" s="21" t="s">
        <v>6</v>
      </c>
    </row>
    <row r="508" spans="1:11">
      <c r="A508" s="8">
        <v>1</v>
      </c>
      <c r="B508" s="19"/>
      <c r="C508" s="9" t="s">
        <v>165</v>
      </c>
      <c r="D508" s="19"/>
      <c r="E508" s="8">
        <v>1</v>
      </c>
      <c r="F508" s="19"/>
      <c r="G508" s="153">
        <f>500.89+53.4+9.31+4.21+2.96+0.56+100.87</f>
        <v>672.19999999999993</v>
      </c>
      <c r="H508" s="156">
        <v>49508484.078000009</v>
      </c>
      <c r="I508" s="109"/>
      <c r="J508" s="144">
        <f>K508/((H508*1/G508))</f>
        <v>750.28803515004677</v>
      </c>
      <c r="K508" s="153">
        <f>56009778.7-750000</f>
        <v>55259778.700000003</v>
      </c>
    </row>
    <row r="509" spans="1:11">
      <c r="A509" s="8">
        <v>2</v>
      </c>
      <c r="B509" s="19"/>
      <c r="C509" s="9" t="s">
        <v>166</v>
      </c>
      <c r="D509" s="19"/>
      <c r="E509" s="8">
        <v>2</v>
      </c>
      <c r="F509" s="19"/>
      <c r="G509" s="20"/>
      <c r="H509" s="156">
        <v>14594540.305999991</v>
      </c>
      <c r="I509" s="19"/>
      <c r="J509" s="20"/>
      <c r="K509" s="155">
        <f>17213164.94-250000</f>
        <v>16963164.940000001</v>
      </c>
    </row>
    <row r="510" spans="1:11">
      <c r="A510" s="8">
        <v>3</v>
      </c>
      <c r="C510" s="9" t="s">
        <v>167</v>
      </c>
      <c r="E510" s="8">
        <v>3</v>
      </c>
      <c r="F510" s="10"/>
      <c r="G510" s="153">
        <f>139.57</f>
        <v>139.57</v>
      </c>
      <c r="H510" s="156">
        <v>11971001.629999999</v>
      </c>
      <c r="I510" s="110"/>
      <c r="J510" s="144">
        <f>K510/((H510*1/G510))</f>
        <v>75.607650502842674</v>
      </c>
      <c r="K510" s="156">
        <f>5641818+843095</f>
        <v>6484913</v>
      </c>
    </row>
    <row r="511" spans="1:11">
      <c r="A511" s="8">
        <v>4</v>
      </c>
      <c r="C511" s="9" t="s">
        <v>168</v>
      </c>
      <c r="E511" s="8">
        <v>4</v>
      </c>
      <c r="F511" s="10"/>
      <c r="G511" s="109"/>
      <c r="H511" s="156">
        <v>1933417.8100000003</v>
      </c>
      <c r="I511" s="110"/>
      <c r="J511" s="109"/>
      <c r="K511" s="156">
        <f>808048+4759</f>
        <v>812807</v>
      </c>
    </row>
    <row r="512" spans="1:11">
      <c r="A512" s="8">
        <v>5</v>
      </c>
      <c r="C512" s="9" t="s">
        <v>169</v>
      </c>
      <c r="E512" s="8">
        <v>5</v>
      </c>
      <c r="F512" s="10"/>
      <c r="G512" s="109">
        <f>G508+G510</f>
        <v>811.77</v>
      </c>
      <c r="H512" s="110">
        <f>SUM(H508:H511)</f>
        <v>78007443.824000001</v>
      </c>
      <c r="I512" s="110"/>
      <c r="J512" s="109">
        <f>SUM(J508:J511)</f>
        <v>825.89568565288948</v>
      </c>
      <c r="K512" s="109">
        <f>SUM(K508:K511)</f>
        <v>79520663.640000001</v>
      </c>
    </row>
    <row r="513" spans="1:11">
      <c r="A513" s="8">
        <v>6</v>
      </c>
      <c r="C513" s="9" t="s">
        <v>170</v>
      </c>
      <c r="E513" s="8">
        <v>6</v>
      </c>
      <c r="F513" s="10"/>
      <c r="G513" s="153">
        <f>58.37+1+17.28+1.95+0.43</f>
        <v>79.030000000000015</v>
      </c>
      <c r="H513" s="156">
        <v>6117578.3300000001</v>
      </c>
      <c r="I513" s="110"/>
      <c r="J513" s="144">
        <f>K513/((H513*1/G513))</f>
        <v>79.459937460547408</v>
      </c>
      <c r="K513" s="194">
        <v>6150859.0599999996</v>
      </c>
    </row>
    <row r="514" spans="1:11">
      <c r="A514" s="8">
        <v>7</v>
      </c>
      <c r="C514" s="9" t="s">
        <v>171</v>
      </c>
      <c r="E514" s="8">
        <v>7</v>
      </c>
      <c r="F514" s="10"/>
      <c r="G514" s="109"/>
      <c r="H514" s="156">
        <v>2094404.46</v>
      </c>
      <c r="I514" s="110"/>
      <c r="J514" s="109"/>
      <c r="K514" s="194">
        <v>2180462.25</v>
      </c>
    </row>
    <row r="515" spans="1:11" ht="12" customHeight="1">
      <c r="A515" s="8">
        <v>8</v>
      </c>
      <c r="C515" s="9" t="s">
        <v>172</v>
      </c>
      <c r="E515" s="8">
        <v>8</v>
      </c>
      <c r="F515" s="10"/>
      <c r="G515" s="109">
        <f>G512+G513+G514</f>
        <v>890.8</v>
      </c>
      <c r="H515" s="110">
        <f>H512+H513+H514</f>
        <v>86219426.613999993</v>
      </c>
      <c r="I515" s="109"/>
      <c r="J515" s="109">
        <f>J512+J513+J514</f>
        <v>905.35562311343688</v>
      </c>
      <c r="K515" s="109">
        <f>K512+K513+K514</f>
        <v>87851984.950000003</v>
      </c>
    </row>
    <row r="516" spans="1:11" s="82" customFormat="1" ht="12" customHeight="1">
      <c r="A516" s="8">
        <v>9</v>
      </c>
      <c r="B516" s="137"/>
      <c r="C516" s="137"/>
      <c r="D516" s="137"/>
      <c r="E516" s="8">
        <v>9</v>
      </c>
      <c r="F516" s="10"/>
      <c r="G516" s="109"/>
      <c r="H516" s="110"/>
      <c r="I516" s="108"/>
      <c r="J516" s="109"/>
      <c r="K516" s="110"/>
    </row>
    <row r="517" spans="1:11">
      <c r="A517" s="8">
        <v>10</v>
      </c>
      <c r="C517" s="9" t="s">
        <v>173</v>
      </c>
      <c r="E517" s="8">
        <v>10</v>
      </c>
      <c r="F517" s="10"/>
      <c r="G517" s="153">
        <v>0</v>
      </c>
      <c r="H517" s="156">
        <v>0</v>
      </c>
      <c r="I517" s="110"/>
      <c r="J517" s="153">
        <v>0</v>
      </c>
      <c r="K517" s="156">
        <v>0</v>
      </c>
    </row>
    <row r="518" spans="1:11">
      <c r="A518" s="8">
        <v>11</v>
      </c>
      <c r="C518" s="9" t="s">
        <v>174</v>
      </c>
      <c r="E518" s="8">
        <v>11</v>
      </c>
      <c r="F518" s="10"/>
      <c r="G518" s="153">
        <f>44.78+0.13</f>
        <v>44.910000000000004</v>
      </c>
      <c r="H518" s="156">
        <v>2444100.7899999996</v>
      </c>
      <c r="I518" s="110"/>
      <c r="J518" s="144">
        <f>K518/((H518*1/G518))</f>
        <v>46.123685880564707</v>
      </c>
      <c r="K518" s="156">
        <f>2510152.24</f>
        <v>2510152.2400000002</v>
      </c>
    </row>
    <row r="519" spans="1:11">
      <c r="A519" s="8">
        <v>12</v>
      </c>
      <c r="C519" s="9" t="s">
        <v>175</v>
      </c>
      <c r="E519" s="8">
        <v>12</v>
      </c>
      <c r="F519" s="10"/>
      <c r="G519" s="109"/>
      <c r="H519" s="156">
        <v>984528.5399999998</v>
      </c>
      <c r="I519" s="110"/>
      <c r="J519" s="109"/>
      <c r="K519" s="156">
        <v>1107290.1399999999</v>
      </c>
    </row>
    <row r="520" spans="1:11">
      <c r="A520" s="8">
        <v>13</v>
      </c>
      <c r="C520" s="9" t="s">
        <v>176</v>
      </c>
      <c r="E520" s="8">
        <v>13</v>
      </c>
      <c r="F520" s="10"/>
      <c r="G520" s="109">
        <f>SUM(G517:G519)</f>
        <v>44.910000000000004</v>
      </c>
      <c r="H520" s="110">
        <f>SUM(H517:H519)</f>
        <v>3428629.3299999991</v>
      </c>
      <c r="I520" s="107"/>
      <c r="J520" s="109">
        <f>SUM(J517:J519)</f>
        <v>46.123685880564707</v>
      </c>
      <c r="K520" s="110">
        <f>SUM(K517:K519)</f>
        <v>3617442.38</v>
      </c>
    </row>
    <row r="521" spans="1:11">
      <c r="A521" s="8">
        <v>14</v>
      </c>
      <c r="E521" s="8">
        <v>14</v>
      </c>
      <c r="F521" s="10"/>
      <c r="G521" s="111"/>
      <c r="H521" s="110"/>
      <c r="I521" s="108"/>
      <c r="J521" s="111"/>
      <c r="K521" s="110"/>
    </row>
    <row r="522" spans="1:11">
      <c r="A522" s="8">
        <v>15</v>
      </c>
      <c r="C522" s="9" t="s">
        <v>177</v>
      </c>
      <c r="E522" s="8">
        <v>15</v>
      </c>
      <c r="G522" s="112">
        <f>SUM(G515+G520)</f>
        <v>935.70999999999992</v>
      </c>
      <c r="H522" s="108">
        <f>SUM(H515+H520)</f>
        <v>89648055.943999991</v>
      </c>
      <c r="I522" s="108"/>
      <c r="J522" s="112">
        <f>SUM(J515+J520)</f>
        <v>951.4793089940016</v>
      </c>
      <c r="K522" s="108">
        <f>SUM(K515+K520)</f>
        <v>91469427.329999998</v>
      </c>
    </row>
    <row r="523" spans="1:11">
      <c r="A523" s="8">
        <v>16</v>
      </c>
      <c r="E523" s="8">
        <v>16</v>
      </c>
      <c r="G523" s="112"/>
      <c r="H523" s="108"/>
      <c r="I523" s="108"/>
      <c r="J523" s="112"/>
      <c r="K523" s="108"/>
    </row>
    <row r="524" spans="1:11">
      <c r="A524" s="8">
        <v>17</v>
      </c>
      <c r="C524" s="9" t="s">
        <v>178</v>
      </c>
      <c r="E524" s="8">
        <v>17</v>
      </c>
      <c r="F524" s="10"/>
      <c r="G524" s="109"/>
      <c r="H524" s="156">
        <v>912152.74</v>
      </c>
      <c r="I524" s="110"/>
      <c r="J524" s="109"/>
      <c r="K524" s="156">
        <v>776838</v>
      </c>
    </row>
    <row r="525" spans="1:11">
      <c r="A525" s="8">
        <v>18</v>
      </c>
      <c r="E525" s="8">
        <v>18</v>
      </c>
      <c r="F525" s="10"/>
      <c r="G525" s="109"/>
      <c r="H525" s="110"/>
      <c r="I525" s="110"/>
      <c r="J525" s="109"/>
      <c r="K525" s="110"/>
    </row>
    <row r="526" spans="1:11" s="36" customFormat="1">
      <c r="A526" s="8">
        <v>19</v>
      </c>
      <c r="B526" s="137"/>
      <c r="C526" s="9" t="s">
        <v>179</v>
      </c>
      <c r="D526" s="137"/>
      <c r="E526" s="8">
        <v>19</v>
      </c>
      <c r="F526" s="10"/>
      <c r="G526" s="109"/>
      <c r="H526" s="156">
        <v>1029076.26</v>
      </c>
      <c r="I526" s="110"/>
      <c r="J526" s="109"/>
      <c r="K526" s="156">
        <v>373306</v>
      </c>
    </row>
    <row r="527" spans="1:11" s="36" customFormat="1">
      <c r="A527" s="8">
        <v>20</v>
      </c>
      <c r="B527" s="137"/>
      <c r="C527" s="81" t="s">
        <v>180</v>
      </c>
      <c r="D527" s="137"/>
      <c r="E527" s="8">
        <v>20</v>
      </c>
      <c r="F527" s="10"/>
      <c r="G527" s="109"/>
      <c r="H527" s="156">
        <f>7207832.741+-410113.94+3142</f>
        <v>6800860.801</v>
      </c>
      <c r="I527" s="110"/>
      <c r="J527" s="109"/>
      <c r="K527" s="156">
        <v>8938370.7599999998</v>
      </c>
    </row>
    <row r="528" spans="1:11">
      <c r="A528" s="8">
        <v>21</v>
      </c>
      <c r="C528" s="81"/>
      <c r="E528" s="8">
        <v>21</v>
      </c>
      <c r="F528" s="10"/>
      <c r="G528" s="109"/>
      <c r="H528" s="110"/>
      <c r="I528" s="110"/>
      <c r="J528" s="109"/>
      <c r="K528" s="110"/>
    </row>
    <row r="529" spans="1:11">
      <c r="A529" s="8">
        <v>22</v>
      </c>
      <c r="C529" s="9"/>
      <c r="E529" s="8">
        <v>22</v>
      </c>
      <c r="G529" s="109"/>
      <c r="H529" s="110"/>
      <c r="I529" s="110"/>
      <c r="J529" s="109"/>
      <c r="K529" s="110"/>
    </row>
    <row r="530" spans="1:11">
      <c r="A530" s="8">
        <v>23</v>
      </c>
      <c r="C530" s="9" t="s">
        <v>181</v>
      </c>
      <c r="E530" s="8">
        <v>23</v>
      </c>
      <c r="G530" s="109"/>
      <c r="H530" s="156">
        <v>700821.45000000007</v>
      </c>
      <c r="I530" s="110"/>
      <c r="J530" s="109"/>
      <c r="K530" s="156">
        <v>0</v>
      </c>
    </row>
    <row r="531" spans="1:11">
      <c r="A531" s="8">
        <v>24</v>
      </c>
      <c r="C531" s="9"/>
      <c r="E531" s="8">
        <v>24</v>
      </c>
      <c r="G531" s="109"/>
      <c r="H531" s="110"/>
      <c r="I531" s="110"/>
      <c r="J531" s="109"/>
      <c r="K531" s="110"/>
    </row>
    <row r="532" spans="1:11">
      <c r="A532" s="8"/>
      <c r="E532" s="8"/>
      <c r="F532" s="70" t="s">
        <v>6</v>
      </c>
      <c r="G532" s="83"/>
      <c r="H532" s="21"/>
      <c r="I532" s="70"/>
      <c r="J532" s="83"/>
      <c r="K532" s="21"/>
    </row>
    <row r="533" spans="1:11">
      <c r="A533" s="8">
        <v>25</v>
      </c>
      <c r="C533" s="9" t="s">
        <v>182</v>
      </c>
      <c r="E533" s="8">
        <v>25</v>
      </c>
      <c r="G533" s="112">
        <f>SUM(G522:G531)</f>
        <v>935.70999999999992</v>
      </c>
      <c r="H533" s="108">
        <f>SUM(H522:H531)</f>
        <v>99090967.194999993</v>
      </c>
      <c r="I533" s="113"/>
      <c r="J533" s="112">
        <f>SUM(J522:J531)</f>
        <v>951.4793089940016</v>
      </c>
      <c r="K533" s="108">
        <f>SUM(K522:K531)</f>
        <v>101557942.09</v>
      </c>
    </row>
    <row r="534" spans="1:11">
      <c r="F534" s="70" t="s">
        <v>6</v>
      </c>
      <c r="G534" s="20"/>
      <c r="H534" s="21"/>
      <c r="I534" s="70"/>
      <c r="J534" s="20"/>
      <c r="K534" s="21"/>
    </row>
    <row r="535" spans="1:11">
      <c r="F535" s="70"/>
      <c r="G535" s="20"/>
      <c r="H535" s="21"/>
      <c r="I535" s="70"/>
      <c r="J535" s="20"/>
      <c r="K535" s="21"/>
    </row>
    <row r="536" spans="1:11" ht="15.75">
      <c r="C536" s="84"/>
      <c r="D536" s="84"/>
      <c r="E536" s="84"/>
      <c r="F536" s="70"/>
      <c r="G536" s="20"/>
      <c r="H536" s="21"/>
      <c r="I536" s="70"/>
      <c r="J536" s="20"/>
      <c r="K536" s="21"/>
    </row>
    <row r="537" spans="1:11">
      <c r="C537" s="137" t="s">
        <v>49</v>
      </c>
      <c r="F537" s="70"/>
      <c r="G537" s="20"/>
      <c r="H537" s="21"/>
      <c r="I537" s="70"/>
      <c r="J537" s="20"/>
      <c r="K537" s="21"/>
    </row>
    <row r="538" spans="1:11">
      <c r="A538" s="9"/>
    </row>
    <row r="539" spans="1:11">
      <c r="E539" s="35"/>
      <c r="G539" s="14"/>
      <c r="H539" s="40"/>
      <c r="J539" s="14"/>
      <c r="K539" s="40"/>
    </row>
    <row r="540" spans="1:11">
      <c r="A540" s="16" t="str">
        <f>$A$83</f>
        <v xml:space="preserve">Institution No.:  </v>
      </c>
      <c r="B540" s="36"/>
      <c r="C540" s="36"/>
      <c r="D540" s="36"/>
      <c r="E540" s="37"/>
      <c r="F540" s="36"/>
      <c r="G540" s="38"/>
      <c r="H540" s="39"/>
      <c r="I540" s="36"/>
      <c r="J540" s="38"/>
      <c r="K540" s="15" t="s">
        <v>183</v>
      </c>
    </row>
    <row r="541" spans="1:11">
      <c r="A541" s="229" t="s">
        <v>184</v>
      </c>
      <c r="B541" s="229"/>
      <c r="C541" s="229"/>
      <c r="D541" s="229"/>
      <c r="E541" s="229"/>
      <c r="F541" s="229"/>
      <c r="G541" s="229"/>
      <c r="H541" s="229"/>
      <c r="I541" s="229"/>
      <c r="J541" s="229"/>
      <c r="K541" s="229"/>
    </row>
    <row r="542" spans="1:11">
      <c r="A542" s="16" t="str">
        <f>$A$42</f>
        <v xml:space="preserve">NAME: </v>
      </c>
      <c r="C542" s="137" t="str">
        <f>$D$20</f>
        <v>University of Colorado</v>
      </c>
      <c r="G542" s="80"/>
      <c r="H542" s="40"/>
      <c r="J542" s="14"/>
      <c r="K542" s="18" t="str">
        <f>$K$3</f>
        <v>Date: October 09, 2017</v>
      </c>
    </row>
    <row r="543" spans="1:11">
      <c r="A543" s="19" t="s">
        <v>6</v>
      </c>
      <c r="B543" s="19" t="s">
        <v>6</v>
      </c>
      <c r="C543" s="19" t="s">
        <v>6</v>
      </c>
      <c r="D543" s="19" t="s">
        <v>6</v>
      </c>
      <c r="E543" s="19" t="s">
        <v>6</v>
      </c>
      <c r="F543" s="19" t="s">
        <v>6</v>
      </c>
      <c r="G543" s="20" t="s">
        <v>6</v>
      </c>
      <c r="H543" s="21" t="s">
        <v>6</v>
      </c>
      <c r="I543" s="19" t="s">
        <v>6</v>
      </c>
      <c r="J543" s="20" t="s">
        <v>6</v>
      </c>
      <c r="K543" s="21" t="s">
        <v>6</v>
      </c>
    </row>
    <row r="544" spans="1:11">
      <c r="A544" s="22" t="s">
        <v>7</v>
      </c>
      <c r="E544" s="22" t="s">
        <v>7</v>
      </c>
      <c r="F544" s="23"/>
      <c r="G544" s="24"/>
      <c r="H544" s="25" t="str">
        <f>H505</f>
        <v>2016-17</v>
      </c>
      <c r="I544" s="23"/>
      <c r="J544" s="24"/>
      <c r="K544" s="25" t="str">
        <f>K505</f>
        <v>2017-18</v>
      </c>
    </row>
    <row r="545" spans="1:11">
      <c r="A545" s="22" t="s">
        <v>9</v>
      </c>
      <c r="C545" s="26" t="s">
        <v>51</v>
      </c>
      <c r="E545" s="22" t="s">
        <v>9</v>
      </c>
      <c r="F545" s="23"/>
      <c r="G545" s="24" t="s">
        <v>11</v>
      </c>
      <c r="H545" s="25" t="s">
        <v>12</v>
      </c>
      <c r="I545" s="23"/>
      <c r="J545" s="24" t="s">
        <v>11</v>
      </c>
      <c r="K545" s="25" t="s">
        <v>13</v>
      </c>
    </row>
    <row r="546" spans="1:11">
      <c r="A546" s="19" t="s">
        <v>6</v>
      </c>
      <c r="B546" s="19" t="s">
        <v>6</v>
      </c>
      <c r="C546" s="19" t="s">
        <v>6</v>
      </c>
      <c r="D546" s="19" t="s">
        <v>6</v>
      </c>
      <c r="E546" s="19" t="s">
        <v>6</v>
      </c>
      <c r="F546" s="19" t="s">
        <v>6</v>
      </c>
      <c r="G546" s="20" t="s">
        <v>6</v>
      </c>
      <c r="H546" s="21" t="s">
        <v>6</v>
      </c>
      <c r="I546" s="19" t="s">
        <v>6</v>
      </c>
      <c r="J546" s="20" t="s">
        <v>6</v>
      </c>
      <c r="K546" s="21" t="s">
        <v>6</v>
      </c>
    </row>
    <row r="547" spans="1:11">
      <c r="A547" s="8">
        <v>1</v>
      </c>
      <c r="B547" s="19"/>
      <c r="C547" s="9" t="s">
        <v>165</v>
      </c>
      <c r="D547" s="19"/>
      <c r="E547" s="8">
        <v>1</v>
      </c>
      <c r="F547" s="19"/>
      <c r="G547" s="153">
        <v>0</v>
      </c>
      <c r="H547" s="153">
        <v>0</v>
      </c>
      <c r="I547" s="19"/>
      <c r="J547" s="153">
        <v>0</v>
      </c>
      <c r="K547" s="155">
        <v>0</v>
      </c>
    </row>
    <row r="548" spans="1:11">
      <c r="A548" s="8">
        <v>2</v>
      </c>
      <c r="B548" s="19"/>
      <c r="C548" s="9" t="s">
        <v>166</v>
      </c>
      <c r="D548" s="19"/>
      <c r="E548" s="8">
        <v>2</v>
      </c>
      <c r="F548" s="19"/>
      <c r="G548" s="109"/>
      <c r="H548" s="153">
        <v>0</v>
      </c>
      <c r="I548" s="109"/>
      <c r="J548" s="109"/>
      <c r="K548" s="155">
        <v>0</v>
      </c>
    </row>
    <row r="549" spans="1:11">
      <c r="A549" s="8">
        <v>3</v>
      </c>
      <c r="C549" s="9" t="s">
        <v>167</v>
      </c>
      <c r="E549" s="8">
        <v>3</v>
      </c>
      <c r="F549" s="10"/>
      <c r="G549" s="153"/>
      <c r="H549" s="156">
        <v>0</v>
      </c>
      <c r="I549" s="110"/>
      <c r="J549" s="153">
        <v>0</v>
      </c>
      <c r="K549" s="156"/>
    </row>
    <row r="550" spans="1:11">
      <c r="A550" s="8">
        <v>4</v>
      </c>
      <c r="C550" s="9" t="s">
        <v>168</v>
      </c>
      <c r="E550" s="8">
        <v>4</v>
      </c>
      <c r="F550" s="10"/>
      <c r="G550" s="109"/>
      <c r="H550" s="156">
        <v>0</v>
      </c>
      <c r="I550" s="110"/>
      <c r="J550" s="109"/>
      <c r="K550" s="156"/>
    </row>
    <row r="551" spans="1:11">
      <c r="A551" s="8">
        <v>5</v>
      </c>
      <c r="C551" s="9" t="s">
        <v>169</v>
      </c>
      <c r="E551" s="8">
        <v>5</v>
      </c>
      <c r="F551" s="10"/>
      <c r="G551" s="109">
        <f>SUM(G547:G550)</f>
        <v>0</v>
      </c>
      <c r="H551" s="109">
        <f>SUM(H547:H550)</f>
        <v>0</v>
      </c>
      <c r="I551" s="110"/>
      <c r="J551" s="109">
        <f>SUM(J547:J550)</f>
        <v>0</v>
      </c>
      <c r="K551" s="109">
        <f>SUM(K547:K550)</f>
        <v>0</v>
      </c>
    </row>
    <row r="552" spans="1:11">
      <c r="A552" s="8">
        <v>6</v>
      </c>
      <c r="C552" s="9" t="s">
        <v>170</v>
      </c>
      <c r="E552" s="8">
        <v>6</v>
      </c>
      <c r="F552" s="10"/>
      <c r="G552" s="109"/>
      <c r="H552" s="110">
        <v>0</v>
      </c>
      <c r="I552" s="110"/>
      <c r="J552" s="109"/>
      <c r="K552" s="110"/>
    </row>
    <row r="553" spans="1:11">
      <c r="A553" s="8">
        <v>7</v>
      </c>
      <c r="C553" s="9" t="s">
        <v>171</v>
      </c>
      <c r="E553" s="8">
        <v>7</v>
      </c>
      <c r="F553" s="10"/>
      <c r="G553" s="109"/>
      <c r="H553" s="110">
        <v>0</v>
      </c>
      <c r="I553" s="110"/>
      <c r="J553" s="109"/>
      <c r="K553" s="110"/>
    </row>
    <row r="554" spans="1:11">
      <c r="A554" s="8">
        <v>8</v>
      </c>
      <c r="C554" s="9" t="s">
        <v>185</v>
      </c>
      <c r="E554" s="8">
        <v>8</v>
      </c>
      <c r="F554" s="10"/>
      <c r="G554" s="109">
        <f>G551+G552+G553</f>
        <v>0</v>
      </c>
      <c r="H554" s="109">
        <f>H551+H552+H553</f>
        <v>0</v>
      </c>
      <c r="I554" s="109"/>
      <c r="J554" s="109">
        <f>J551+J552+J553</f>
        <v>0</v>
      </c>
      <c r="K554" s="109">
        <f>K551+K552+K553</f>
        <v>0</v>
      </c>
    </row>
    <row r="555" spans="1:11">
      <c r="A555" s="8">
        <v>9</v>
      </c>
      <c r="E555" s="8">
        <v>9</v>
      </c>
      <c r="F555" s="10"/>
      <c r="G555" s="109"/>
      <c r="H555" s="110"/>
      <c r="I555" s="108"/>
      <c r="J555" s="109"/>
      <c r="K555" s="110"/>
    </row>
    <row r="556" spans="1:11">
      <c r="A556" s="8">
        <v>10</v>
      </c>
      <c r="C556" s="9" t="s">
        <v>173</v>
      </c>
      <c r="E556" s="8">
        <v>10</v>
      </c>
      <c r="F556" s="10"/>
      <c r="G556" s="153">
        <v>0</v>
      </c>
      <c r="H556" s="156">
        <v>0</v>
      </c>
      <c r="I556" s="110"/>
      <c r="J556" s="153">
        <v>0</v>
      </c>
      <c r="K556" s="156">
        <v>0</v>
      </c>
    </row>
    <row r="557" spans="1:11">
      <c r="A557" s="8">
        <v>11</v>
      </c>
      <c r="C557" s="9" t="s">
        <v>174</v>
      </c>
      <c r="E557" s="8">
        <v>11</v>
      </c>
      <c r="F557" s="10"/>
      <c r="G557" s="153">
        <v>0</v>
      </c>
      <c r="H557" s="156">
        <v>0</v>
      </c>
      <c r="I557" s="110"/>
      <c r="J557" s="153">
        <v>0</v>
      </c>
      <c r="K557" s="156"/>
    </row>
    <row r="558" spans="1:11">
      <c r="A558" s="8">
        <v>12</v>
      </c>
      <c r="C558" s="9" t="s">
        <v>175</v>
      </c>
      <c r="E558" s="8">
        <v>12</v>
      </c>
      <c r="F558" s="10"/>
      <c r="G558" s="109"/>
      <c r="H558" s="156">
        <v>0</v>
      </c>
      <c r="I558" s="110"/>
      <c r="J558" s="109"/>
      <c r="K558" s="156"/>
    </row>
    <row r="559" spans="1:11">
      <c r="A559" s="8">
        <v>13</v>
      </c>
      <c r="C559" s="9" t="s">
        <v>186</v>
      </c>
      <c r="E559" s="8">
        <v>13</v>
      </c>
      <c r="F559" s="10"/>
      <c r="G559" s="109">
        <f>SUM(G556:G558)</f>
        <v>0</v>
      </c>
      <c r="H559" s="110">
        <f>SUM(H556:H558)</f>
        <v>0</v>
      </c>
      <c r="I559" s="107"/>
      <c r="J559" s="109">
        <f>SUM(J556:J558)</f>
        <v>0</v>
      </c>
      <c r="K559" s="110">
        <f>SUM(K556:K558)</f>
        <v>0</v>
      </c>
    </row>
    <row r="560" spans="1:11">
      <c r="A560" s="8">
        <v>14</v>
      </c>
      <c r="E560" s="8">
        <v>14</v>
      </c>
      <c r="F560" s="10"/>
      <c r="G560" s="111"/>
      <c r="H560" s="110"/>
      <c r="I560" s="108"/>
      <c r="J560" s="111"/>
      <c r="K560" s="110"/>
    </row>
    <row r="561" spans="1:11">
      <c r="A561" s="8">
        <v>15</v>
      </c>
      <c r="C561" s="9" t="s">
        <v>177</v>
      </c>
      <c r="E561" s="8">
        <v>15</v>
      </c>
      <c r="G561" s="112">
        <f>SUM(G554+G559)</f>
        <v>0</v>
      </c>
      <c r="H561" s="108">
        <f>SUM(H554+H559)</f>
        <v>0</v>
      </c>
      <c r="I561" s="108"/>
      <c r="J561" s="112">
        <f>SUM(J554+J559)</f>
        <v>0</v>
      </c>
      <c r="K561" s="108">
        <f>SUM(K554+K559)</f>
        <v>0</v>
      </c>
    </row>
    <row r="562" spans="1:11">
      <c r="A562" s="8">
        <v>16</v>
      </c>
      <c r="E562" s="8">
        <v>16</v>
      </c>
      <c r="G562" s="112"/>
      <c r="H562" s="108"/>
      <c r="I562" s="108"/>
      <c r="J562" s="112"/>
      <c r="K562" s="108"/>
    </row>
    <row r="563" spans="1:11" s="36" customFormat="1">
      <c r="A563" s="8">
        <v>17</v>
      </c>
      <c r="B563" s="137"/>
      <c r="C563" s="9" t="s">
        <v>178</v>
      </c>
      <c r="D563" s="137"/>
      <c r="E563" s="8">
        <v>17</v>
      </c>
      <c r="F563" s="10"/>
      <c r="G563" s="109"/>
      <c r="H563" s="156">
        <v>0</v>
      </c>
      <c r="I563" s="110"/>
      <c r="J563" s="109"/>
      <c r="K563" s="156"/>
    </row>
    <row r="564" spans="1:11" s="36" customFormat="1">
      <c r="A564" s="8">
        <v>18</v>
      </c>
      <c r="B564" s="137"/>
      <c r="C564" s="137"/>
      <c r="D564" s="137"/>
      <c r="E564" s="8">
        <v>18</v>
      </c>
      <c r="F564" s="10"/>
      <c r="G564" s="109"/>
      <c r="H564" s="110"/>
      <c r="I564" s="110"/>
      <c r="J564" s="109"/>
      <c r="K564" s="110"/>
    </row>
    <row r="565" spans="1:11">
      <c r="A565" s="8">
        <v>19</v>
      </c>
      <c r="C565" s="9" t="s">
        <v>179</v>
      </c>
      <c r="E565" s="8">
        <v>19</v>
      </c>
      <c r="F565" s="10"/>
      <c r="G565" s="109"/>
      <c r="H565" s="156">
        <v>0</v>
      </c>
      <c r="I565" s="110"/>
      <c r="J565" s="109"/>
      <c r="K565" s="156"/>
    </row>
    <row r="566" spans="1:11">
      <c r="A566" s="8">
        <v>20</v>
      </c>
      <c r="C566" s="81" t="s">
        <v>180</v>
      </c>
      <c r="E566" s="8">
        <v>20</v>
      </c>
      <c r="F566" s="10"/>
      <c r="G566" s="109"/>
      <c r="H566" s="156">
        <v>36036.300000000003</v>
      </c>
      <c r="I566" s="110"/>
      <c r="J566" s="109"/>
      <c r="K566" s="156">
        <v>36417</v>
      </c>
    </row>
    <row r="567" spans="1:11">
      <c r="A567" s="8">
        <v>21</v>
      </c>
      <c r="C567" s="81"/>
      <c r="E567" s="8">
        <v>21</v>
      </c>
      <c r="F567" s="10"/>
      <c r="G567" s="109"/>
      <c r="H567" s="110"/>
      <c r="I567" s="110"/>
      <c r="J567" s="109"/>
      <c r="K567" s="110"/>
    </row>
    <row r="568" spans="1:11">
      <c r="A568" s="8">
        <v>22</v>
      </c>
      <c r="C568" s="9"/>
      <c r="E568" s="8">
        <v>22</v>
      </c>
      <c r="G568" s="109"/>
      <c r="H568" s="110"/>
      <c r="I568" s="110"/>
      <c r="J568" s="109"/>
      <c r="K568" s="110"/>
    </row>
    <row r="569" spans="1:11">
      <c r="A569" s="8">
        <v>23</v>
      </c>
      <c r="C569" s="9" t="s">
        <v>181</v>
      </c>
      <c r="E569" s="8">
        <v>23</v>
      </c>
      <c r="G569" s="109"/>
      <c r="H569" s="156">
        <v>0</v>
      </c>
      <c r="I569" s="110"/>
      <c r="J569" s="109"/>
      <c r="K569" s="156">
        <v>0</v>
      </c>
    </row>
    <row r="570" spans="1:11">
      <c r="A570" s="8">
        <v>24</v>
      </c>
      <c r="C570" s="9"/>
      <c r="E570" s="8">
        <v>24</v>
      </c>
      <c r="G570" s="109"/>
      <c r="H570" s="110"/>
      <c r="I570" s="110"/>
      <c r="J570" s="109"/>
      <c r="K570" s="110"/>
    </row>
    <row r="571" spans="1:11">
      <c r="A571" s="8"/>
      <c r="E571" s="8"/>
      <c r="F571" s="70" t="s">
        <v>6</v>
      </c>
      <c r="G571" s="83"/>
      <c r="H571" s="21"/>
      <c r="I571" s="70"/>
      <c r="J571" s="83"/>
      <c r="K571" s="21"/>
    </row>
    <row r="572" spans="1:11">
      <c r="A572" s="8">
        <v>25</v>
      </c>
      <c r="C572" s="9" t="s">
        <v>187</v>
      </c>
      <c r="E572" s="8">
        <v>25</v>
      </c>
      <c r="G572" s="108">
        <f>SUM(G561:G570)</f>
        <v>0</v>
      </c>
      <c r="H572" s="108">
        <f>SUM(H561:H570)</f>
        <v>36036.300000000003</v>
      </c>
      <c r="I572" s="113"/>
      <c r="J572" s="108">
        <f>SUM(J561:J570)</f>
        <v>0</v>
      </c>
      <c r="K572" s="108">
        <f>SUM(K561:K570)</f>
        <v>36417</v>
      </c>
    </row>
    <row r="573" spans="1:11">
      <c r="F573" s="70" t="s">
        <v>6</v>
      </c>
      <c r="G573" s="20"/>
      <c r="H573" s="21"/>
      <c r="I573" s="70"/>
      <c r="J573" s="20"/>
      <c r="K573" s="21"/>
    </row>
    <row r="574" spans="1:11">
      <c r="C574" s="137" t="s">
        <v>49</v>
      </c>
      <c r="F574" s="70"/>
      <c r="G574" s="20"/>
      <c r="H574" s="21"/>
      <c r="I574" s="70"/>
      <c r="J574" s="20"/>
      <c r="K574" s="21"/>
    </row>
    <row r="575" spans="1:11">
      <c r="A575" s="9"/>
    </row>
    <row r="576" spans="1:11">
      <c r="H576" s="40"/>
      <c r="K576" s="40"/>
    </row>
    <row r="577" spans="1:11">
      <c r="A577" s="16" t="str">
        <f>$A$83</f>
        <v xml:space="preserve">Institution No.:  </v>
      </c>
      <c r="B577" s="36"/>
      <c r="C577" s="36"/>
      <c r="D577" s="36"/>
      <c r="E577" s="37"/>
      <c r="F577" s="36"/>
      <c r="G577" s="38"/>
      <c r="H577" s="39"/>
      <c r="I577" s="36"/>
      <c r="J577" s="38"/>
      <c r="K577" s="15" t="s">
        <v>188</v>
      </c>
    </row>
    <row r="578" spans="1:11">
      <c r="A578" s="229" t="s">
        <v>189</v>
      </c>
      <c r="B578" s="229"/>
      <c r="C578" s="229"/>
      <c r="D578" s="229"/>
      <c r="E578" s="229"/>
      <c r="F578" s="229"/>
      <c r="G578" s="229"/>
      <c r="H578" s="229"/>
      <c r="I578" s="229"/>
      <c r="J578" s="229"/>
      <c r="K578" s="229"/>
    </row>
    <row r="579" spans="1:11">
      <c r="A579" s="16" t="str">
        <f>$A$42</f>
        <v xml:space="preserve">NAME: </v>
      </c>
      <c r="C579" s="137" t="str">
        <f>$D$20</f>
        <v>University of Colorado</v>
      </c>
      <c r="G579" s="80"/>
      <c r="H579" s="67"/>
      <c r="J579" s="14"/>
      <c r="K579" s="18" t="str">
        <f>$K$3</f>
        <v>Date: October 09, 2017</v>
      </c>
    </row>
    <row r="580" spans="1:11">
      <c r="A580" s="19" t="s">
        <v>6</v>
      </c>
      <c r="B580" s="19" t="s">
        <v>6</v>
      </c>
      <c r="C580" s="19" t="s">
        <v>6</v>
      </c>
      <c r="D580" s="19" t="s">
        <v>6</v>
      </c>
      <c r="E580" s="19" t="s">
        <v>6</v>
      </c>
      <c r="F580" s="19" t="s">
        <v>6</v>
      </c>
      <c r="G580" s="20" t="s">
        <v>6</v>
      </c>
      <c r="H580" s="21" t="s">
        <v>6</v>
      </c>
      <c r="I580" s="19" t="s">
        <v>6</v>
      </c>
      <c r="J580" s="20" t="s">
        <v>6</v>
      </c>
      <c r="K580" s="21" t="s">
        <v>6</v>
      </c>
    </row>
    <row r="581" spans="1:11">
      <c r="A581" s="22" t="s">
        <v>7</v>
      </c>
      <c r="E581" s="22" t="s">
        <v>7</v>
      </c>
      <c r="F581" s="23"/>
      <c r="G581" s="24"/>
      <c r="H581" s="25" t="str">
        <f>H544</f>
        <v>2016-17</v>
      </c>
      <c r="I581" s="23"/>
      <c r="J581" s="24"/>
      <c r="K581" s="25" t="str">
        <f>K544</f>
        <v>2017-18</v>
      </c>
    </row>
    <row r="582" spans="1:11">
      <c r="A582" s="22" t="s">
        <v>9</v>
      </c>
      <c r="C582" s="26" t="s">
        <v>51</v>
      </c>
      <c r="E582" s="22" t="s">
        <v>9</v>
      </c>
      <c r="F582" s="23"/>
      <c r="G582" s="24" t="s">
        <v>11</v>
      </c>
      <c r="H582" s="25" t="s">
        <v>12</v>
      </c>
      <c r="I582" s="23"/>
      <c r="J582" s="24" t="s">
        <v>11</v>
      </c>
      <c r="K582" s="25" t="s">
        <v>13</v>
      </c>
    </row>
    <row r="583" spans="1:11">
      <c r="A583" s="19" t="s">
        <v>6</v>
      </c>
      <c r="B583" s="19" t="s">
        <v>6</v>
      </c>
      <c r="C583" s="19" t="s">
        <v>6</v>
      </c>
      <c r="D583" s="19" t="s">
        <v>6</v>
      </c>
      <c r="E583" s="19" t="s">
        <v>6</v>
      </c>
      <c r="F583" s="19" t="s">
        <v>6</v>
      </c>
      <c r="G583" s="20" t="s">
        <v>6</v>
      </c>
      <c r="H583" s="21" t="s">
        <v>6</v>
      </c>
      <c r="I583" s="19" t="s">
        <v>6</v>
      </c>
      <c r="J583" s="20" t="s">
        <v>6</v>
      </c>
      <c r="K583" s="21" t="s">
        <v>6</v>
      </c>
    </row>
    <row r="584" spans="1:11">
      <c r="A584" s="117">
        <v>1</v>
      </c>
      <c r="B584" s="118"/>
      <c r="C584" s="118" t="s">
        <v>227</v>
      </c>
      <c r="D584" s="118"/>
      <c r="E584" s="117">
        <v>1</v>
      </c>
      <c r="F584" s="119"/>
      <c r="G584" s="120"/>
      <c r="H584" s="121"/>
      <c r="I584" s="122"/>
      <c r="J584" s="123"/>
      <c r="K584" s="124"/>
    </row>
    <row r="585" spans="1:11">
      <c r="A585" s="117">
        <v>2</v>
      </c>
      <c r="B585" s="118"/>
      <c r="C585" s="118" t="s">
        <v>227</v>
      </c>
      <c r="D585" s="118"/>
      <c r="E585" s="117">
        <v>2</v>
      </c>
      <c r="F585" s="119"/>
      <c r="G585" s="120"/>
      <c r="H585" s="121"/>
      <c r="I585" s="122"/>
      <c r="J585" s="123"/>
      <c r="K585" s="121"/>
    </row>
    <row r="586" spans="1:11">
      <c r="A586" s="117">
        <v>3</v>
      </c>
      <c r="B586" s="118"/>
      <c r="C586" s="118" t="s">
        <v>227</v>
      </c>
      <c r="D586" s="118"/>
      <c r="E586" s="117">
        <v>3</v>
      </c>
      <c r="F586" s="119"/>
      <c r="G586" s="120"/>
      <c r="H586" s="121"/>
      <c r="I586" s="122"/>
      <c r="J586" s="123"/>
      <c r="K586" s="121"/>
    </row>
    <row r="587" spans="1:11">
      <c r="A587" s="117">
        <v>4</v>
      </c>
      <c r="B587" s="118"/>
      <c r="C587" s="118" t="s">
        <v>227</v>
      </c>
      <c r="D587" s="118"/>
      <c r="E587" s="117">
        <v>4</v>
      </c>
      <c r="F587" s="119"/>
      <c r="G587" s="120"/>
      <c r="H587" s="121"/>
      <c r="I587" s="125"/>
      <c r="J587" s="123"/>
      <c r="K587" s="121"/>
    </row>
    <row r="588" spans="1:11">
      <c r="A588" s="117">
        <v>5</v>
      </c>
      <c r="B588" s="118"/>
      <c r="C588" s="118" t="s">
        <v>227</v>
      </c>
      <c r="D588" s="118"/>
      <c r="E588" s="117">
        <v>5</v>
      </c>
      <c r="F588" s="119"/>
      <c r="G588" s="120"/>
      <c r="H588" s="121"/>
      <c r="I588" s="125"/>
      <c r="J588" s="123"/>
      <c r="K588" s="121"/>
    </row>
    <row r="589" spans="1:11">
      <c r="A589" s="8">
        <v>6</v>
      </c>
      <c r="C589" s="9" t="s">
        <v>190</v>
      </c>
      <c r="E589" s="8">
        <v>6</v>
      </c>
      <c r="F589" s="10"/>
      <c r="G589" s="157">
        <f>0.03</f>
        <v>0.03</v>
      </c>
      <c r="H589" s="145">
        <v>18048.650000000001</v>
      </c>
      <c r="I589" s="30"/>
      <c r="J589" s="144">
        <f>K589/((H589*1/G589))</f>
        <v>3.324348358464483E-2</v>
      </c>
      <c r="K589" s="145">
        <v>20000</v>
      </c>
    </row>
    <row r="590" spans="1:11">
      <c r="A590" s="8">
        <v>7</v>
      </c>
      <c r="C590" s="9" t="s">
        <v>191</v>
      </c>
      <c r="E590" s="8">
        <v>7</v>
      </c>
      <c r="F590" s="10"/>
      <c r="G590" s="114"/>
      <c r="H590" s="145">
        <v>5814.17</v>
      </c>
      <c r="I590" s="85"/>
      <c r="J590" s="104"/>
      <c r="K590" s="145">
        <v>6836</v>
      </c>
    </row>
    <row r="591" spans="1:11">
      <c r="A591" s="8">
        <v>8</v>
      </c>
      <c r="C591" s="9" t="s">
        <v>192</v>
      </c>
      <c r="E591" s="8">
        <v>8</v>
      </c>
      <c r="F591" s="10"/>
      <c r="G591" s="114">
        <f>SUM(G589:G590)</f>
        <v>0.03</v>
      </c>
      <c r="H591" s="114">
        <f>SUM(H589:H590)</f>
        <v>23862.82</v>
      </c>
      <c r="I591" s="85"/>
      <c r="J591" s="114">
        <f>SUM(J589:J590)</f>
        <v>3.324348358464483E-2</v>
      </c>
      <c r="K591" s="103">
        <f>SUM(K589:K590)</f>
        <v>26836</v>
      </c>
    </row>
    <row r="592" spans="1:11">
      <c r="A592" s="8">
        <v>9</v>
      </c>
      <c r="C592" s="9"/>
      <c r="E592" s="8">
        <v>9</v>
      </c>
      <c r="F592" s="10"/>
      <c r="G592" s="114"/>
      <c r="H592" s="103"/>
      <c r="I592" s="29"/>
      <c r="J592" s="104"/>
      <c r="K592" s="103"/>
    </row>
    <row r="593" spans="1:11">
      <c r="A593" s="8">
        <v>10</v>
      </c>
      <c r="C593" s="9"/>
      <c r="E593" s="8">
        <v>10</v>
      </c>
      <c r="F593" s="10"/>
      <c r="G593" s="114"/>
      <c r="H593" s="103"/>
      <c r="I593" s="30"/>
      <c r="J593" s="104"/>
      <c r="K593" s="103"/>
    </row>
    <row r="594" spans="1:11">
      <c r="A594" s="8">
        <v>11</v>
      </c>
      <c r="C594" s="9" t="s">
        <v>174</v>
      </c>
      <c r="E594" s="8">
        <v>11</v>
      </c>
      <c r="G594" s="143">
        <v>0</v>
      </c>
      <c r="H594" s="143">
        <v>0</v>
      </c>
      <c r="I594" s="29"/>
      <c r="J594" s="143"/>
      <c r="K594" s="146"/>
    </row>
    <row r="595" spans="1:11">
      <c r="A595" s="8">
        <v>12</v>
      </c>
      <c r="C595" s="9" t="s">
        <v>175</v>
      </c>
      <c r="E595" s="8">
        <v>12</v>
      </c>
      <c r="G595" s="115"/>
      <c r="H595" s="146">
        <v>0</v>
      </c>
      <c r="I595" s="30"/>
      <c r="J595" s="99"/>
      <c r="K595" s="146"/>
    </row>
    <row r="596" spans="1:11">
      <c r="A596" s="8">
        <v>13</v>
      </c>
      <c r="C596" s="9" t="s">
        <v>193</v>
      </c>
      <c r="E596" s="8">
        <v>13</v>
      </c>
      <c r="F596" s="10"/>
      <c r="G596" s="114">
        <f>SUM(G594:G595)</f>
        <v>0</v>
      </c>
      <c r="H596" s="114">
        <f>SUM(H594:H595)</f>
        <v>0</v>
      </c>
      <c r="I596" s="85"/>
      <c r="J596" s="114">
        <f>SUM(J594:J595)</f>
        <v>0</v>
      </c>
      <c r="K596" s="114">
        <f>SUM(K594:K595)</f>
        <v>0</v>
      </c>
    </row>
    <row r="597" spans="1:11">
      <c r="A597" s="8">
        <v>14</v>
      </c>
      <c r="E597" s="8">
        <v>14</v>
      </c>
      <c r="F597" s="10"/>
      <c r="G597" s="114"/>
      <c r="H597" s="103"/>
      <c r="I597" s="85"/>
      <c r="J597" s="104"/>
      <c r="K597" s="103"/>
    </row>
    <row r="598" spans="1:11">
      <c r="A598" s="8">
        <v>15</v>
      </c>
      <c r="C598" s="9" t="s">
        <v>177</v>
      </c>
      <c r="E598" s="8">
        <v>15</v>
      </c>
      <c r="F598" s="10"/>
      <c r="G598" s="114">
        <f>G591+G596</f>
        <v>0.03</v>
      </c>
      <c r="H598" s="114">
        <f>H591+H596</f>
        <v>23862.82</v>
      </c>
      <c r="I598" s="85"/>
      <c r="J598" s="114">
        <f>J591+J596</f>
        <v>3.324348358464483E-2</v>
      </c>
      <c r="K598" s="103">
        <f>K591+K596</f>
        <v>26836</v>
      </c>
    </row>
    <row r="599" spans="1:11">
      <c r="A599" s="8">
        <v>16</v>
      </c>
      <c r="E599" s="8">
        <v>16</v>
      </c>
      <c r="F599" s="10"/>
      <c r="G599" s="114"/>
      <c r="H599" s="103"/>
      <c r="I599" s="85"/>
      <c r="J599" s="104"/>
      <c r="K599" s="103"/>
    </row>
    <row r="600" spans="1:11" s="36" customFormat="1">
      <c r="A600" s="8">
        <v>17</v>
      </c>
      <c r="B600" s="137"/>
      <c r="C600" s="9" t="s">
        <v>178</v>
      </c>
      <c r="D600" s="137"/>
      <c r="E600" s="8">
        <v>17</v>
      </c>
      <c r="F600" s="10"/>
      <c r="G600" s="157"/>
      <c r="H600" s="145">
        <v>63.1</v>
      </c>
      <c r="I600" s="85"/>
      <c r="J600" s="144"/>
      <c r="K600" s="145"/>
    </row>
    <row r="601" spans="1:11" s="36" customFormat="1">
      <c r="A601" s="8">
        <v>18</v>
      </c>
      <c r="B601" s="137"/>
      <c r="C601" s="9"/>
      <c r="D601" s="137"/>
      <c r="E601" s="8">
        <v>18</v>
      </c>
      <c r="F601" s="10"/>
      <c r="G601" s="114"/>
      <c r="H601" s="103"/>
      <c r="I601" s="85"/>
      <c r="J601" s="104"/>
      <c r="K601" s="103"/>
    </row>
    <row r="602" spans="1:11">
      <c r="A602" s="8">
        <v>19</v>
      </c>
      <c r="C602" s="9" t="s">
        <v>179</v>
      </c>
      <c r="E602" s="8">
        <v>19</v>
      </c>
      <c r="F602" s="10"/>
      <c r="G602" s="157"/>
      <c r="H602" s="145">
        <v>222.44</v>
      </c>
      <c r="I602" s="85"/>
      <c r="J602" s="144"/>
      <c r="K602" s="145"/>
    </row>
    <row r="603" spans="1:11" ht="14.25">
      <c r="A603" s="8">
        <v>20</v>
      </c>
      <c r="C603" s="9" t="s">
        <v>180</v>
      </c>
      <c r="E603" s="8">
        <v>20</v>
      </c>
      <c r="F603" s="10"/>
      <c r="G603" s="157"/>
      <c r="H603" s="145">
        <v>15316.64</v>
      </c>
      <c r="I603" s="195"/>
      <c r="J603" s="144"/>
      <c r="K603" s="145">
        <v>14243</v>
      </c>
    </row>
    <row r="604" spans="1:11">
      <c r="A604" s="8">
        <v>21</v>
      </c>
      <c r="C604" s="9"/>
      <c r="E604" s="8">
        <v>21</v>
      </c>
      <c r="F604" s="10"/>
      <c r="G604" s="114"/>
      <c r="H604" s="103"/>
      <c r="I604" s="85"/>
      <c r="J604" s="104"/>
      <c r="K604" s="103"/>
    </row>
    <row r="605" spans="1:11">
      <c r="A605" s="8">
        <v>22</v>
      </c>
      <c r="C605" s="9"/>
      <c r="E605" s="8">
        <v>22</v>
      </c>
      <c r="F605" s="10"/>
      <c r="G605" s="114"/>
      <c r="H605" s="103"/>
      <c r="I605" s="85"/>
      <c r="J605" s="104"/>
      <c r="K605" s="103"/>
    </row>
    <row r="606" spans="1:11">
      <c r="A606" s="8">
        <v>23</v>
      </c>
      <c r="C606" s="9" t="s">
        <v>194</v>
      </c>
      <c r="E606" s="8">
        <v>23</v>
      </c>
      <c r="F606" s="10"/>
      <c r="G606" s="157"/>
      <c r="H606" s="145">
        <v>0</v>
      </c>
      <c r="I606" s="85"/>
      <c r="J606" s="144"/>
      <c r="K606" s="145"/>
    </row>
    <row r="607" spans="1:11">
      <c r="A607" s="8">
        <v>24</v>
      </c>
      <c r="C607" s="9"/>
      <c r="E607" s="8">
        <v>24</v>
      </c>
      <c r="F607" s="10"/>
      <c r="G607" s="114"/>
      <c r="H607" s="103"/>
      <c r="I607" s="85"/>
      <c r="J607" s="104"/>
      <c r="K607" s="103"/>
    </row>
    <row r="608" spans="1:11">
      <c r="E608" s="35"/>
      <c r="F608" s="70" t="s">
        <v>6</v>
      </c>
      <c r="G608" s="21" t="s">
        <v>6</v>
      </c>
      <c r="H608" s="21" t="s">
        <v>6</v>
      </c>
      <c r="I608" s="70" t="s">
        <v>6</v>
      </c>
      <c r="J608" s="21" t="s">
        <v>6</v>
      </c>
      <c r="K608" s="21" t="s">
        <v>6</v>
      </c>
    </row>
    <row r="609" spans="1:11">
      <c r="A609" s="8">
        <v>25</v>
      </c>
      <c r="C609" s="9" t="s">
        <v>195</v>
      </c>
      <c r="E609" s="8">
        <v>25</v>
      </c>
      <c r="G609" s="99">
        <f>SUM(G598:G608)</f>
        <v>0.03</v>
      </c>
      <c r="H609" s="99">
        <f>SUM(H598:H608)</f>
        <v>39465</v>
      </c>
      <c r="I609" s="100"/>
      <c r="J609" s="99">
        <f>SUM(J598:J608)</f>
        <v>3.324348358464483E-2</v>
      </c>
      <c r="K609" s="99">
        <f>SUM(K598:K608)</f>
        <v>41079</v>
      </c>
    </row>
    <row r="610" spans="1:11">
      <c r="E610" s="35"/>
      <c r="F610" s="70" t="s">
        <v>6</v>
      </c>
      <c r="G610" s="20" t="s">
        <v>6</v>
      </c>
      <c r="H610" s="21" t="s">
        <v>6</v>
      </c>
      <c r="I610" s="70" t="s">
        <v>6</v>
      </c>
      <c r="J610" s="20" t="s">
        <v>6</v>
      </c>
      <c r="K610" s="21" t="s">
        <v>6</v>
      </c>
    </row>
    <row r="611" spans="1:11">
      <c r="C611" s="137" t="s">
        <v>49</v>
      </c>
      <c r="E611" s="35"/>
      <c r="F611" s="70"/>
      <c r="G611" s="20"/>
      <c r="H611" s="21"/>
      <c r="I611" s="70"/>
      <c r="J611" s="20"/>
      <c r="K611" s="21"/>
    </row>
    <row r="612" spans="1:11">
      <c r="A612" s="9"/>
      <c r="H612" s="40"/>
      <c r="K612" s="40"/>
    </row>
    <row r="613" spans="1:11">
      <c r="H613" s="40"/>
      <c r="K613" s="40"/>
    </row>
    <row r="614" spans="1:11">
      <c r="A614" s="16" t="str">
        <f>$A$83</f>
        <v xml:space="preserve">Institution No.:  </v>
      </c>
      <c r="B614" s="36"/>
      <c r="C614" s="36"/>
      <c r="D614" s="36"/>
      <c r="E614" s="37"/>
      <c r="F614" s="36"/>
      <c r="G614" s="38"/>
      <c r="H614" s="39"/>
      <c r="I614" s="36"/>
      <c r="J614" s="38"/>
      <c r="K614" s="15" t="s">
        <v>196</v>
      </c>
    </row>
    <row r="615" spans="1:11">
      <c r="A615" s="229" t="s">
        <v>197</v>
      </c>
      <c r="B615" s="229"/>
      <c r="C615" s="229"/>
      <c r="D615" s="229"/>
      <c r="E615" s="229"/>
      <c r="F615" s="229"/>
      <c r="G615" s="229"/>
      <c r="H615" s="229"/>
      <c r="I615" s="229"/>
      <c r="J615" s="229"/>
      <c r="K615" s="229"/>
    </row>
    <row r="616" spans="1:11">
      <c r="A616" s="16" t="str">
        <f>$A$42</f>
        <v xml:space="preserve">NAME: </v>
      </c>
      <c r="B616" s="16"/>
      <c r="C616" s="137" t="str">
        <f>$D$20</f>
        <v>University of Colorado</v>
      </c>
      <c r="G616" s="80"/>
      <c r="H616" s="67"/>
      <c r="J616" s="14"/>
      <c r="K616" s="18" t="str">
        <f>$K$3</f>
        <v>Date: October 09, 2017</v>
      </c>
    </row>
    <row r="617" spans="1:11">
      <c r="A617" s="19" t="s">
        <v>6</v>
      </c>
      <c r="B617" s="19" t="s">
        <v>6</v>
      </c>
      <c r="C617" s="19" t="s">
        <v>6</v>
      </c>
      <c r="D617" s="19" t="s">
        <v>6</v>
      </c>
      <c r="E617" s="19" t="s">
        <v>6</v>
      </c>
      <c r="F617" s="19" t="s">
        <v>6</v>
      </c>
      <c r="G617" s="20" t="s">
        <v>6</v>
      </c>
      <c r="H617" s="21" t="s">
        <v>6</v>
      </c>
      <c r="I617" s="19" t="s">
        <v>6</v>
      </c>
      <c r="J617" s="20" t="s">
        <v>6</v>
      </c>
      <c r="K617" s="21" t="s">
        <v>6</v>
      </c>
    </row>
    <row r="618" spans="1:11">
      <c r="A618" s="22" t="s">
        <v>7</v>
      </c>
      <c r="E618" s="22" t="s">
        <v>7</v>
      </c>
      <c r="F618" s="23"/>
      <c r="G618" s="24"/>
      <c r="H618" s="25" t="str">
        <f>+H581</f>
        <v>2016-17</v>
      </c>
      <c r="I618" s="23"/>
      <c r="J618" s="24"/>
      <c r="K618" s="25" t="str">
        <f>+K581</f>
        <v>2017-18</v>
      </c>
    </row>
    <row r="619" spans="1:11">
      <c r="A619" s="22" t="s">
        <v>9</v>
      </c>
      <c r="C619" s="26" t="s">
        <v>51</v>
      </c>
      <c r="E619" s="22" t="s">
        <v>9</v>
      </c>
      <c r="F619" s="23"/>
      <c r="G619" s="24" t="s">
        <v>11</v>
      </c>
      <c r="H619" s="25" t="s">
        <v>12</v>
      </c>
      <c r="I619" s="23"/>
      <c r="J619" s="24" t="s">
        <v>11</v>
      </c>
      <c r="K619" s="25" t="s">
        <v>13</v>
      </c>
    </row>
    <row r="620" spans="1:11">
      <c r="A620" s="19" t="s">
        <v>6</v>
      </c>
      <c r="B620" s="19" t="s">
        <v>6</v>
      </c>
      <c r="C620" s="19" t="s">
        <v>6</v>
      </c>
      <c r="D620" s="19" t="s">
        <v>6</v>
      </c>
      <c r="E620" s="19" t="s">
        <v>6</v>
      </c>
      <c r="F620" s="19" t="s">
        <v>6</v>
      </c>
      <c r="G620" s="20" t="s">
        <v>6</v>
      </c>
      <c r="H620" s="21" t="s">
        <v>6</v>
      </c>
      <c r="I620" s="19" t="s">
        <v>6</v>
      </c>
      <c r="J620" s="86" t="s">
        <v>6</v>
      </c>
      <c r="K620" s="21" t="s">
        <v>6</v>
      </c>
    </row>
    <row r="621" spans="1:11">
      <c r="A621" s="117">
        <v>1</v>
      </c>
      <c r="B621" s="118"/>
      <c r="C621" s="118" t="s">
        <v>227</v>
      </c>
      <c r="D621" s="118"/>
      <c r="E621" s="117">
        <v>1</v>
      </c>
      <c r="F621" s="119"/>
      <c r="G621" s="120"/>
      <c r="H621" s="121"/>
      <c r="I621" s="122"/>
      <c r="J621" s="123"/>
      <c r="K621" s="124"/>
    </row>
    <row r="622" spans="1:11">
      <c r="A622" s="117">
        <v>2</v>
      </c>
      <c r="B622" s="118"/>
      <c r="C622" s="118" t="s">
        <v>227</v>
      </c>
      <c r="D622" s="118"/>
      <c r="E622" s="117">
        <v>2</v>
      </c>
      <c r="F622" s="119"/>
      <c r="G622" s="120"/>
      <c r="H622" s="121"/>
      <c r="I622" s="122"/>
      <c r="J622" s="123"/>
      <c r="K622" s="121"/>
    </row>
    <row r="623" spans="1:11">
      <c r="A623" s="117">
        <v>3</v>
      </c>
      <c r="B623" s="118"/>
      <c r="C623" s="118" t="s">
        <v>227</v>
      </c>
      <c r="D623" s="118"/>
      <c r="E623" s="117">
        <v>3</v>
      </c>
      <c r="F623" s="119"/>
      <c r="G623" s="120"/>
      <c r="H623" s="121"/>
      <c r="I623" s="122"/>
      <c r="J623" s="123"/>
      <c r="K623" s="121"/>
    </row>
    <row r="624" spans="1:11">
      <c r="A624" s="117">
        <v>4</v>
      </c>
      <c r="B624" s="118"/>
      <c r="C624" s="118" t="s">
        <v>227</v>
      </c>
      <c r="D624" s="118"/>
      <c r="E624" s="117">
        <v>4</v>
      </c>
      <c r="F624" s="119"/>
      <c r="G624" s="120"/>
      <c r="H624" s="121"/>
      <c r="I624" s="125"/>
      <c r="J624" s="123"/>
      <c r="K624" s="121"/>
    </row>
    <row r="625" spans="1:11">
      <c r="A625" s="117">
        <v>5</v>
      </c>
      <c r="B625" s="118"/>
      <c r="C625" s="118" t="s">
        <v>227</v>
      </c>
      <c r="D625" s="118"/>
      <c r="E625" s="117">
        <v>5</v>
      </c>
      <c r="F625" s="119"/>
      <c r="G625" s="123"/>
      <c r="H625" s="121"/>
      <c r="I625" s="125"/>
      <c r="J625" s="123"/>
      <c r="K625" s="121"/>
    </row>
    <row r="626" spans="1:11">
      <c r="A626" s="8">
        <v>6</v>
      </c>
      <c r="C626" s="9" t="s">
        <v>190</v>
      </c>
      <c r="E626" s="8">
        <v>6</v>
      </c>
      <c r="F626" s="10"/>
      <c r="G626" s="144">
        <f>89.94+6.7+32.42+8.4+0.46+0.05+0.05+0.72+0.72+24.03+2+0.03+3.5+1.88+0.07+6.68+0.13+8.89+0.03</f>
        <v>186.70000000000002</v>
      </c>
      <c r="H626" s="145">
        <v>14462090.347000003</v>
      </c>
      <c r="I626" s="30"/>
      <c r="J626" s="144">
        <f>K626/((H626*1/G626))</f>
        <v>198.57293782704923</v>
      </c>
      <c r="K626" s="145">
        <v>15381787.720000001</v>
      </c>
    </row>
    <row r="627" spans="1:11">
      <c r="A627" s="8">
        <v>7</v>
      </c>
      <c r="C627" s="9" t="s">
        <v>191</v>
      </c>
      <c r="E627" s="8">
        <v>7</v>
      </c>
      <c r="F627" s="10"/>
      <c r="G627" s="104"/>
      <c r="H627" s="145">
        <v>4654516.1090000002</v>
      </c>
      <c r="I627" s="85"/>
      <c r="J627" s="104"/>
      <c r="K627" s="145">
        <v>5241426</v>
      </c>
    </row>
    <row r="628" spans="1:11">
      <c r="A628" s="8">
        <v>8</v>
      </c>
      <c r="C628" s="9" t="s">
        <v>192</v>
      </c>
      <c r="E628" s="8">
        <v>8</v>
      </c>
      <c r="F628" s="10"/>
      <c r="G628" s="104">
        <f>SUM(G626:G627)</f>
        <v>186.70000000000002</v>
      </c>
      <c r="H628" s="103">
        <f>SUM(H626:H627)</f>
        <v>19116606.456000004</v>
      </c>
      <c r="I628" s="85"/>
      <c r="J628" s="114">
        <f>SUM(J626:J627)</f>
        <v>198.57293782704923</v>
      </c>
      <c r="K628" s="103">
        <f>SUM(K626:K627)</f>
        <v>20623213.719999999</v>
      </c>
    </row>
    <row r="629" spans="1:11">
      <c r="A629" s="8">
        <v>9</v>
      </c>
      <c r="C629" s="9"/>
      <c r="E629" s="8">
        <v>9</v>
      </c>
      <c r="F629" s="10"/>
      <c r="G629" s="104"/>
      <c r="H629" s="103"/>
      <c r="I629" s="29"/>
      <c r="J629" s="104"/>
      <c r="K629" s="103"/>
    </row>
    <row r="630" spans="1:11">
      <c r="A630" s="8">
        <v>10</v>
      </c>
      <c r="C630" s="9"/>
      <c r="E630" s="8">
        <v>10</v>
      </c>
      <c r="F630" s="10"/>
      <c r="G630" s="104"/>
      <c r="H630" s="103"/>
      <c r="I630" s="30"/>
      <c r="J630" s="104"/>
      <c r="K630" s="103"/>
    </row>
    <row r="631" spans="1:11">
      <c r="A631" s="8">
        <v>11</v>
      </c>
      <c r="C631" s="9" t="s">
        <v>174</v>
      </c>
      <c r="E631" s="8">
        <v>11</v>
      </c>
      <c r="G631" s="143">
        <f>27.2+8.25</f>
        <v>35.450000000000003</v>
      </c>
      <c r="H631" s="146">
        <v>1769060.7409999995</v>
      </c>
      <c r="I631" s="29"/>
      <c r="J631" s="144">
        <f>K631/((H631*1/G631))</f>
        <v>41.587153366148904</v>
      </c>
      <c r="K631" s="146">
        <v>2075323</v>
      </c>
    </row>
    <row r="632" spans="1:11">
      <c r="A632" s="8">
        <v>12</v>
      </c>
      <c r="C632" s="9" t="s">
        <v>175</v>
      </c>
      <c r="E632" s="8">
        <v>12</v>
      </c>
      <c r="G632" s="99"/>
      <c r="H632" s="146">
        <v>666291.64000000036</v>
      </c>
      <c r="I632" s="30"/>
      <c r="J632" s="99"/>
      <c r="K632" s="146">
        <v>934434.29</v>
      </c>
    </row>
    <row r="633" spans="1:11">
      <c r="A633" s="8">
        <v>13</v>
      </c>
      <c r="C633" s="9" t="s">
        <v>193</v>
      </c>
      <c r="E633" s="8">
        <v>13</v>
      </c>
      <c r="F633" s="10"/>
      <c r="G633" s="104">
        <f>SUM(G631:G632)</f>
        <v>35.450000000000003</v>
      </c>
      <c r="H633" s="103">
        <f>SUM(H631:H632)</f>
        <v>2435352.3810000001</v>
      </c>
      <c r="I633" s="85"/>
      <c r="J633" s="114">
        <f>SUM(J631:J632)</f>
        <v>41.587153366148904</v>
      </c>
      <c r="K633" s="103">
        <f>SUM(K631:K632)</f>
        <v>3009757.29</v>
      </c>
    </row>
    <row r="634" spans="1:11">
      <c r="A634" s="8">
        <v>14</v>
      </c>
      <c r="E634" s="8">
        <v>14</v>
      </c>
      <c r="F634" s="10"/>
      <c r="G634" s="104"/>
      <c r="H634" s="103"/>
      <c r="I634" s="85"/>
      <c r="J634" s="104"/>
      <c r="K634" s="103"/>
    </row>
    <row r="635" spans="1:11">
      <c r="A635" s="8">
        <v>15</v>
      </c>
      <c r="C635" s="9" t="s">
        <v>177</v>
      </c>
      <c r="E635" s="8">
        <v>15</v>
      </c>
      <c r="F635" s="10"/>
      <c r="G635" s="104">
        <f>G628+G633</f>
        <v>222.15000000000003</v>
      </c>
      <c r="H635" s="103">
        <f>H628+H633</f>
        <v>21551958.837000005</v>
      </c>
      <c r="I635" s="85"/>
      <c r="J635" s="114">
        <f>J628+J633</f>
        <v>240.16009119319813</v>
      </c>
      <c r="K635" s="103">
        <f>K628+K633</f>
        <v>23632971.009999998</v>
      </c>
    </row>
    <row r="636" spans="1:11">
      <c r="A636" s="8">
        <v>16</v>
      </c>
      <c r="E636" s="8">
        <v>16</v>
      </c>
      <c r="F636" s="10"/>
      <c r="G636" s="104"/>
      <c r="H636" s="103"/>
      <c r="I636" s="85"/>
      <c r="J636" s="104"/>
      <c r="K636" s="103"/>
    </row>
    <row r="637" spans="1:11" s="36" customFormat="1">
      <c r="A637" s="8">
        <v>17</v>
      </c>
      <c r="B637" s="137"/>
      <c r="C637" s="9" t="s">
        <v>178</v>
      </c>
      <c r="D637" s="137"/>
      <c r="E637" s="8">
        <v>17</v>
      </c>
      <c r="F637" s="10"/>
      <c r="G637" s="157"/>
      <c r="H637" s="145">
        <v>947169.58999999985</v>
      </c>
      <c r="I637" s="85"/>
      <c r="J637" s="144"/>
      <c r="K637" s="145">
        <v>592652</v>
      </c>
    </row>
    <row r="638" spans="1:11" s="36" customFormat="1">
      <c r="A638" s="8">
        <v>18</v>
      </c>
      <c r="B638" s="137"/>
      <c r="C638" s="9"/>
      <c r="D638" s="137"/>
      <c r="E638" s="8">
        <v>18</v>
      </c>
      <c r="F638" s="10"/>
      <c r="G638" s="114"/>
      <c r="H638" s="103"/>
      <c r="I638" s="85"/>
      <c r="J638" s="104"/>
      <c r="K638" s="103"/>
    </row>
    <row r="639" spans="1:11">
      <c r="A639" s="8">
        <v>19</v>
      </c>
      <c r="C639" s="9" t="s">
        <v>179</v>
      </c>
      <c r="E639" s="8">
        <v>19</v>
      </c>
      <c r="F639" s="10"/>
      <c r="G639" s="114"/>
      <c r="H639" s="145">
        <v>359323.48900000006</v>
      </c>
      <c r="I639" s="85"/>
      <c r="J639" s="104"/>
      <c r="K639" s="145">
        <v>91240</v>
      </c>
    </row>
    <row r="640" spans="1:11">
      <c r="A640" s="8">
        <v>20</v>
      </c>
      <c r="C640" s="9" t="s">
        <v>180</v>
      </c>
      <c r="E640" s="8">
        <v>20</v>
      </c>
      <c r="F640" s="10"/>
      <c r="G640" s="114"/>
      <c r="H640" s="145">
        <f>8970634.8458-5147735-9150-2149371.28-3141</f>
        <v>1661237.5657999995</v>
      </c>
      <c r="I640" s="85"/>
      <c r="J640" s="104"/>
      <c r="K640" s="145">
        <f>14995584.8-5236052-5135185-3606973</f>
        <v>1017374.8000000007</v>
      </c>
    </row>
    <row r="641" spans="1:11">
      <c r="A641" s="8">
        <v>21</v>
      </c>
      <c r="C641" s="9"/>
      <c r="E641" s="8">
        <v>21</v>
      </c>
      <c r="F641" s="10"/>
      <c r="G641" s="114"/>
      <c r="H641" s="103"/>
      <c r="I641" s="85"/>
      <c r="J641" s="104"/>
      <c r="K641" s="103"/>
    </row>
    <row r="642" spans="1:11">
      <c r="A642" s="8">
        <v>22</v>
      </c>
      <c r="C642" s="9"/>
      <c r="E642" s="8">
        <v>22</v>
      </c>
      <c r="F642" s="10"/>
      <c r="G642" s="114"/>
      <c r="H642" s="103"/>
      <c r="I642" s="85"/>
      <c r="J642" s="104"/>
      <c r="K642" s="103"/>
    </row>
    <row r="643" spans="1:11">
      <c r="A643" s="8">
        <v>23</v>
      </c>
      <c r="C643" s="9" t="s">
        <v>194</v>
      </c>
      <c r="E643" s="8">
        <v>23</v>
      </c>
      <c r="F643" s="10"/>
      <c r="G643" s="114"/>
      <c r="H643" s="145">
        <f>84922+2149371.28</f>
        <v>2234293.2799999998</v>
      </c>
      <c r="I643" s="85"/>
      <c r="J643" s="104"/>
      <c r="K643" s="145">
        <f>7380+3606973</f>
        <v>3614353</v>
      </c>
    </row>
    <row r="644" spans="1:11">
      <c r="A644" s="8">
        <v>24</v>
      </c>
      <c r="C644" s="9"/>
      <c r="E644" s="8">
        <v>24</v>
      </c>
      <c r="F644" s="10"/>
      <c r="G644" s="114"/>
      <c r="H644" s="103"/>
      <c r="I644" s="85"/>
      <c r="J644" s="104"/>
      <c r="K644" s="103"/>
    </row>
    <row r="645" spans="1:11">
      <c r="E645" s="35"/>
      <c r="F645" s="70" t="s">
        <v>6</v>
      </c>
      <c r="G645" s="21" t="s">
        <v>6</v>
      </c>
      <c r="H645" s="21" t="s">
        <v>6</v>
      </c>
      <c r="I645" s="70" t="s">
        <v>6</v>
      </c>
      <c r="J645" s="21" t="s">
        <v>6</v>
      </c>
      <c r="K645" s="21" t="s">
        <v>6</v>
      </c>
    </row>
    <row r="646" spans="1:11">
      <c r="A646" s="8">
        <v>25</v>
      </c>
      <c r="C646" s="9" t="s">
        <v>198</v>
      </c>
      <c r="E646" s="8">
        <v>25</v>
      </c>
      <c r="G646" s="99">
        <f>SUM(G635:G645)</f>
        <v>222.15000000000003</v>
      </c>
      <c r="H646" s="100">
        <f>SUM(H635:H645)</f>
        <v>26753982.761800006</v>
      </c>
      <c r="I646" s="100"/>
      <c r="J646" s="99">
        <f>SUM(J635:J645)</f>
        <v>240.16009119319813</v>
      </c>
      <c r="K646" s="100">
        <f>SUM(K635:K645)</f>
        <v>28948590.809999999</v>
      </c>
    </row>
    <row r="647" spans="1:11">
      <c r="A647" s="8"/>
      <c r="C647" s="9"/>
      <c r="E647" s="8"/>
      <c r="F647" s="70" t="s">
        <v>6</v>
      </c>
      <c r="G647" s="20" t="s">
        <v>6</v>
      </c>
      <c r="H647" s="21" t="s">
        <v>6</v>
      </c>
      <c r="I647" s="70" t="s">
        <v>6</v>
      </c>
      <c r="J647" s="20" t="s">
        <v>6</v>
      </c>
      <c r="K647" s="21" t="s">
        <v>6</v>
      </c>
    </row>
    <row r="648" spans="1:11">
      <c r="A648" s="8"/>
      <c r="C648" s="137" t="s">
        <v>49</v>
      </c>
      <c r="E648" s="8"/>
      <c r="G648" s="99"/>
      <c r="H648" s="99"/>
      <c r="I648" s="100"/>
      <c r="J648" s="99"/>
      <c r="K648" s="99"/>
    </row>
    <row r="649" spans="1:11">
      <c r="E649" s="35"/>
      <c r="F649" s="70"/>
      <c r="G649" s="20"/>
      <c r="H649" s="21"/>
      <c r="I649" s="70"/>
      <c r="J649" s="20"/>
      <c r="K649" s="21"/>
    </row>
    <row r="650" spans="1:11">
      <c r="A650" s="9"/>
      <c r="H650" s="40"/>
      <c r="K650" s="40"/>
    </row>
    <row r="651" spans="1:11">
      <c r="A651" s="16" t="str">
        <f>$A$83</f>
        <v xml:space="preserve">Institution No.:  </v>
      </c>
      <c r="B651" s="36"/>
      <c r="C651" s="36"/>
      <c r="D651" s="36"/>
      <c r="E651" s="37"/>
      <c r="F651" s="36"/>
      <c r="G651" s="38"/>
      <c r="H651" s="39"/>
      <c r="I651" s="36"/>
      <c r="J651" s="38"/>
      <c r="K651" s="15" t="s">
        <v>199</v>
      </c>
    </row>
    <row r="652" spans="1:11">
      <c r="A652" s="229" t="s">
        <v>200</v>
      </c>
      <c r="B652" s="229"/>
      <c r="C652" s="229"/>
      <c r="D652" s="229"/>
      <c r="E652" s="229"/>
      <c r="F652" s="229"/>
      <c r="G652" s="229"/>
      <c r="H652" s="229"/>
      <c r="I652" s="229"/>
      <c r="J652" s="229"/>
      <c r="K652" s="229"/>
    </row>
    <row r="653" spans="1:11">
      <c r="A653" s="16" t="str">
        <f>$A$42</f>
        <v xml:space="preserve">NAME: </v>
      </c>
      <c r="C653" s="137" t="str">
        <f>$D$20</f>
        <v>University of Colorado</v>
      </c>
      <c r="G653" s="80"/>
      <c r="H653" s="67"/>
      <c r="J653" s="14"/>
      <c r="K653" s="18" t="str">
        <f>$K$3</f>
        <v>Date: October 09, 2017</v>
      </c>
    </row>
    <row r="654" spans="1:11">
      <c r="A654" s="19" t="s">
        <v>6</v>
      </c>
      <c r="B654" s="19" t="s">
        <v>6</v>
      </c>
      <c r="C654" s="19" t="s">
        <v>6</v>
      </c>
      <c r="D654" s="19" t="s">
        <v>6</v>
      </c>
      <c r="E654" s="19" t="s">
        <v>6</v>
      </c>
      <c r="F654" s="19" t="s">
        <v>6</v>
      </c>
      <c r="G654" s="20" t="s">
        <v>6</v>
      </c>
      <c r="H654" s="21" t="s">
        <v>6</v>
      </c>
      <c r="I654" s="19" t="s">
        <v>6</v>
      </c>
      <c r="J654" s="20" t="s">
        <v>6</v>
      </c>
      <c r="K654" s="21" t="s">
        <v>6</v>
      </c>
    </row>
    <row r="655" spans="1:11">
      <c r="A655" s="22" t="s">
        <v>7</v>
      </c>
      <c r="E655" s="22" t="s">
        <v>7</v>
      </c>
      <c r="F655" s="23"/>
      <c r="G655" s="24"/>
      <c r="H655" s="25" t="str">
        <f>+H618</f>
        <v>2016-17</v>
      </c>
      <c r="I655" s="23"/>
      <c r="J655" s="24"/>
      <c r="K655" s="25" t="str">
        <f>+K618</f>
        <v>2017-18</v>
      </c>
    </row>
    <row r="656" spans="1:11">
      <c r="A656" s="22" t="s">
        <v>9</v>
      </c>
      <c r="C656" s="26" t="s">
        <v>51</v>
      </c>
      <c r="E656" s="22" t="s">
        <v>9</v>
      </c>
      <c r="F656" s="23"/>
      <c r="G656" s="24" t="s">
        <v>11</v>
      </c>
      <c r="H656" s="25" t="s">
        <v>12</v>
      </c>
      <c r="I656" s="23"/>
      <c r="J656" s="24" t="s">
        <v>11</v>
      </c>
      <c r="K656" s="25" t="s">
        <v>13</v>
      </c>
    </row>
    <row r="657" spans="1:11">
      <c r="A657" s="19" t="s">
        <v>6</v>
      </c>
      <c r="B657" s="19" t="s">
        <v>6</v>
      </c>
      <c r="C657" s="19" t="s">
        <v>6</v>
      </c>
      <c r="D657" s="19" t="s">
        <v>6</v>
      </c>
      <c r="E657" s="19" t="s">
        <v>6</v>
      </c>
      <c r="F657" s="19" t="s">
        <v>6</v>
      </c>
      <c r="G657" s="20" t="s">
        <v>6</v>
      </c>
      <c r="H657" s="21" t="s">
        <v>6</v>
      </c>
      <c r="I657" s="19" t="s">
        <v>6</v>
      </c>
      <c r="J657" s="20" t="s">
        <v>6</v>
      </c>
      <c r="K657" s="21" t="s">
        <v>6</v>
      </c>
    </row>
    <row r="658" spans="1:11">
      <c r="A658" s="117">
        <v>1</v>
      </c>
      <c r="B658" s="118"/>
      <c r="C658" s="118" t="s">
        <v>227</v>
      </c>
      <c r="D658" s="118"/>
      <c r="E658" s="117">
        <v>1</v>
      </c>
      <c r="F658" s="119"/>
      <c r="G658" s="120"/>
      <c r="H658" s="121"/>
      <c r="I658" s="122"/>
      <c r="J658" s="123"/>
      <c r="K658" s="124"/>
    </row>
    <row r="659" spans="1:11">
      <c r="A659" s="117">
        <v>2</v>
      </c>
      <c r="B659" s="118"/>
      <c r="C659" s="118" t="s">
        <v>227</v>
      </c>
      <c r="D659" s="118"/>
      <c r="E659" s="117">
        <v>2</v>
      </c>
      <c r="F659" s="119"/>
      <c r="G659" s="120"/>
      <c r="H659" s="121"/>
      <c r="I659" s="122"/>
      <c r="J659" s="123"/>
      <c r="K659" s="121"/>
    </row>
    <row r="660" spans="1:11">
      <c r="A660" s="117">
        <v>3</v>
      </c>
      <c r="B660" s="118"/>
      <c r="C660" s="118" t="s">
        <v>227</v>
      </c>
      <c r="D660" s="118"/>
      <c r="E660" s="117">
        <v>3</v>
      </c>
      <c r="F660" s="119"/>
      <c r="G660" s="120"/>
      <c r="H660" s="121"/>
      <c r="I660" s="122"/>
      <c r="J660" s="123"/>
      <c r="K660" s="121"/>
    </row>
    <row r="661" spans="1:11">
      <c r="A661" s="117">
        <v>4</v>
      </c>
      <c r="B661" s="118"/>
      <c r="C661" s="118" t="s">
        <v>227</v>
      </c>
      <c r="D661" s="118"/>
      <c r="E661" s="117">
        <v>4</v>
      </c>
      <c r="F661" s="119"/>
      <c r="G661" s="120"/>
      <c r="H661" s="121"/>
      <c r="I661" s="125"/>
      <c r="J661" s="123"/>
      <c r="K661" s="121"/>
    </row>
    <row r="662" spans="1:11">
      <c r="A662" s="117">
        <v>5</v>
      </c>
      <c r="B662" s="118"/>
      <c r="C662" s="118" t="s">
        <v>227</v>
      </c>
      <c r="D662" s="118"/>
      <c r="E662" s="117">
        <v>5</v>
      </c>
      <c r="F662" s="119"/>
      <c r="G662" s="120"/>
      <c r="H662" s="121"/>
      <c r="I662" s="125"/>
      <c r="J662" s="123"/>
      <c r="K662" s="121"/>
    </row>
    <row r="663" spans="1:11">
      <c r="A663" s="8">
        <v>6</v>
      </c>
      <c r="C663" s="9" t="s">
        <v>190</v>
      </c>
      <c r="E663" s="8">
        <v>6</v>
      </c>
      <c r="F663" s="10"/>
      <c r="G663" s="157">
        <f>47.25+0.37+2.1+22.02+1+0.03+11.52+0.78+0.78+0.78</f>
        <v>86.63</v>
      </c>
      <c r="H663" s="145">
        <v>5231524.6418000003</v>
      </c>
      <c r="I663" s="30"/>
      <c r="J663" s="144">
        <f>K663/((H663*1/G663))</f>
        <v>95.334652316231384</v>
      </c>
      <c r="K663" s="145">
        <v>5757192.46</v>
      </c>
    </row>
    <row r="664" spans="1:11">
      <c r="A664" s="8">
        <v>7</v>
      </c>
      <c r="C664" s="9" t="s">
        <v>191</v>
      </c>
      <c r="E664" s="8">
        <v>7</v>
      </c>
      <c r="F664" s="10"/>
      <c r="G664" s="114"/>
      <c r="H664" s="145">
        <v>1938205.3690000009</v>
      </c>
      <c r="I664" s="85"/>
      <c r="J664" s="104"/>
      <c r="K664" s="145">
        <v>2243511.2400000002</v>
      </c>
    </row>
    <row r="665" spans="1:11">
      <c r="A665" s="8">
        <v>8</v>
      </c>
      <c r="C665" s="9" t="s">
        <v>192</v>
      </c>
      <c r="E665" s="8">
        <v>8</v>
      </c>
      <c r="F665" s="10"/>
      <c r="G665" s="114">
        <f>SUM(G663:G664)</f>
        <v>86.63</v>
      </c>
      <c r="H665" s="103">
        <f>SUM(H663:H664)</f>
        <v>7169730.0108000012</v>
      </c>
      <c r="I665" s="85"/>
      <c r="J665" s="114">
        <f>SUM(J663:J664)</f>
        <v>95.334652316231384</v>
      </c>
      <c r="K665" s="103">
        <f>SUM(K663:K664)</f>
        <v>8000703.7000000002</v>
      </c>
    </row>
    <row r="666" spans="1:11">
      <c r="A666" s="8">
        <v>9</v>
      </c>
      <c r="C666" s="9"/>
      <c r="E666" s="8">
        <v>9</v>
      </c>
      <c r="F666" s="10"/>
      <c r="G666" s="114"/>
      <c r="H666" s="103"/>
      <c r="I666" s="29"/>
      <c r="J666" s="104"/>
      <c r="K666" s="103"/>
    </row>
    <row r="667" spans="1:11">
      <c r="A667" s="8">
        <v>10</v>
      </c>
      <c r="C667" s="9"/>
      <c r="E667" s="8">
        <v>10</v>
      </c>
      <c r="F667" s="10"/>
      <c r="G667" s="114"/>
      <c r="H667" s="103"/>
      <c r="I667" s="30"/>
      <c r="J667" s="104"/>
      <c r="K667" s="103"/>
    </row>
    <row r="668" spans="1:11">
      <c r="A668" s="8">
        <v>11</v>
      </c>
      <c r="C668" s="9" t="s">
        <v>174</v>
      </c>
      <c r="E668" s="8">
        <v>11</v>
      </c>
      <c r="G668" s="99">
        <f>15.82+3.16+0.22+0.22+0.22</f>
        <v>19.639999999999997</v>
      </c>
      <c r="H668" s="146">
        <v>847004.84480000008</v>
      </c>
      <c r="I668" s="29"/>
      <c r="J668" s="144">
        <f>K668/((H668*1/G668))</f>
        <v>19.251904578480161</v>
      </c>
      <c r="K668" s="146">
        <v>830267.64</v>
      </c>
    </row>
    <row r="669" spans="1:11">
      <c r="A669" s="8">
        <v>12</v>
      </c>
      <c r="C669" s="9" t="s">
        <v>175</v>
      </c>
      <c r="E669" s="8">
        <v>12</v>
      </c>
      <c r="G669" s="115"/>
      <c r="H669" s="146">
        <v>302526.73959999991</v>
      </c>
      <c r="I669" s="30"/>
      <c r="J669" s="99"/>
      <c r="K669" s="146">
        <v>319193.74</v>
      </c>
    </row>
    <row r="670" spans="1:11">
      <c r="A670" s="8">
        <v>13</v>
      </c>
      <c r="C670" s="9" t="s">
        <v>193</v>
      </c>
      <c r="E670" s="8">
        <v>13</v>
      </c>
      <c r="F670" s="10"/>
      <c r="G670" s="114">
        <f>SUM(G668:G669)</f>
        <v>19.639999999999997</v>
      </c>
      <c r="H670" s="103">
        <f>SUM(H668:H669)</f>
        <v>1149531.5844000001</v>
      </c>
      <c r="I670" s="85"/>
      <c r="J670" s="114">
        <f>SUM(J668:J669)</f>
        <v>19.251904578480161</v>
      </c>
      <c r="K670" s="103">
        <f>SUM(K668:K669)</f>
        <v>1149461.3799999999</v>
      </c>
    </row>
    <row r="671" spans="1:11">
      <c r="A671" s="8">
        <v>14</v>
      </c>
      <c r="E671" s="8">
        <v>14</v>
      </c>
      <c r="F671" s="10"/>
      <c r="G671" s="114"/>
      <c r="H671" s="103"/>
      <c r="I671" s="85"/>
      <c r="J671" s="104"/>
      <c r="K671" s="103"/>
    </row>
    <row r="672" spans="1:11">
      <c r="A672" s="8">
        <v>15</v>
      </c>
      <c r="C672" s="9" t="s">
        <v>177</v>
      </c>
      <c r="E672" s="8">
        <v>15</v>
      </c>
      <c r="F672" s="10"/>
      <c r="G672" s="114">
        <f>G665+G670</f>
        <v>106.27</v>
      </c>
      <c r="H672" s="103">
        <f>H665+H670</f>
        <v>8319261.5952000013</v>
      </c>
      <c r="I672" s="85"/>
      <c r="J672" s="114">
        <f>J665+J670</f>
        <v>114.58655689471155</v>
      </c>
      <c r="K672" s="103">
        <f>K665+K670</f>
        <v>9150165.0800000001</v>
      </c>
    </row>
    <row r="673" spans="1:11">
      <c r="A673" s="8">
        <v>16</v>
      </c>
      <c r="E673" s="8">
        <v>16</v>
      </c>
      <c r="F673" s="10"/>
      <c r="G673" s="114"/>
      <c r="H673" s="103"/>
      <c r="I673" s="85"/>
      <c r="J673" s="104"/>
      <c r="K673" s="103"/>
    </row>
    <row r="674" spans="1:11" s="36" customFormat="1">
      <c r="A674" s="8">
        <v>17</v>
      </c>
      <c r="B674" s="137"/>
      <c r="C674" s="9" t="s">
        <v>178</v>
      </c>
      <c r="D674" s="137"/>
      <c r="E674" s="8">
        <v>17</v>
      </c>
      <c r="F674" s="10"/>
      <c r="G674" s="114"/>
      <c r="H674" s="145">
        <v>413277.26279999991</v>
      </c>
      <c r="I674" s="85"/>
      <c r="J674" s="104"/>
      <c r="K674" s="145">
        <v>200291.63999999998</v>
      </c>
    </row>
    <row r="675" spans="1:11" s="36" customFormat="1">
      <c r="A675" s="8">
        <v>18</v>
      </c>
      <c r="B675" s="137"/>
      <c r="C675" s="9"/>
      <c r="D675" s="137"/>
      <c r="E675" s="8">
        <v>18</v>
      </c>
      <c r="F675" s="10"/>
      <c r="G675" s="114"/>
      <c r="H675" s="103"/>
      <c r="I675" s="85"/>
      <c r="J675" s="104"/>
      <c r="K675" s="103"/>
    </row>
    <row r="676" spans="1:11">
      <c r="A676" s="8">
        <v>19</v>
      </c>
      <c r="C676" s="9" t="s">
        <v>179</v>
      </c>
      <c r="E676" s="8">
        <v>19</v>
      </c>
      <c r="F676" s="10"/>
      <c r="G676" s="114"/>
      <c r="H676" s="145">
        <v>92558.560999999987</v>
      </c>
      <c r="I676" s="85"/>
      <c r="J676" s="104"/>
      <c r="K676" s="145">
        <v>1500</v>
      </c>
    </row>
    <row r="677" spans="1:11">
      <c r="A677" s="8">
        <v>20</v>
      </c>
      <c r="C677" s="9" t="s">
        <v>180</v>
      </c>
      <c r="E677" s="8">
        <v>20</v>
      </c>
      <c r="F677" s="10"/>
      <c r="G677" s="114"/>
      <c r="H677" s="145">
        <f>2643272.7286+'[1]ID Revenue by Nacubo'!$L$60</f>
        <v>2641600.7286</v>
      </c>
      <c r="I677" s="85"/>
      <c r="J677" s="104"/>
      <c r="K677" s="145">
        <v>2184793.7000000002</v>
      </c>
    </row>
    <row r="678" spans="1:11">
      <c r="A678" s="8">
        <v>21</v>
      </c>
      <c r="C678" s="9"/>
      <c r="E678" s="8">
        <v>21</v>
      </c>
      <c r="F678" s="10"/>
      <c r="G678" s="114"/>
      <c r="H678" s="103"/>
      <c r="I678" s="85"/>
      <c r="J678" s="104"/>
      <c r="K678" s="103"/>
    </row>
    <row r="679" spans="1:11">
      <c r="A679" s="8">
        <v>22</v>
      </c>
      <c r="C679" s="9"/>
      <c r="E679" s="8">
        <v>22</v>
      </c>
      <c r="F679" s="10"/>
      <c r="G679" s="114"/>
      <c r="H679" s="103"/>
      <c r="I679" s="85"/>
      <c r="J679" s="104"/>
      <c r="K679" s="103"/>
    </row>
    <row r="680" spans="1:11">
      <c r="A680" s="8">
        <v>23</v>
      </c>
      <c r="C680" s="9" t="s">
        <v>194</v>
      </c>
      <c r="E680" s="8">
        <v>23</v>
      </c>
      <c r="F680" s="10"/>
      <c r="G680" s="114"/>
      <c r="H680" s="145">
        <v>0</v>
      </c>
      <c r="I680" s="85"/>
      <c r="J680" s="104"/>
      <c r="K680" s="145"/>
    </row>
    <row r="681" spans="1:11">
      <c r="A681" s="8">
        <v>24</v>
      </c>
      <c r="C681" s="9"/>
      <c r="E681" s="8">
        <v>24</v>
      </c>
      <c r="F681" s="10"/>
      <c r="G681" s="114"/>
      <c r="H681" s="103"/>
      <c r="I681" s="85"/>
      <c r="J681" s="104"/>
      <c r="K681" s="103"/>
    </row>
    <row r="682" spans="1:11">
      <c r="E682" s="35"/>
      <c r="F682" s="70" t="s">
        <v>6</v>
      </c>
      <c r="G682" s="21" t="s">
        <v>6</v>
      </c>
      <c r="H682" s="21" t="s">
        <v>6</v>
      </c>
      <c r="I682" s="70" t="s">
        <v>6</v>
      </c>
      <c r="J682" s="21" t="s">
        <v>6</v>
      </c>
      <c r="K682" s="21" t="s">
        <v>6</v>
      </c>
    </row>
    <row r="683" spans="1:11">
      <c r="A683" s="8">
        <v>25</v>
      </c>
      <c r="C683" s="9" t="s">
        <v>201</v>
      </c>
      <c r="E683" s="8">
        <v>25</v>
      </c>
      <c r="G683" s="99">
        <f>SUM(G672:G682)</f>
        <v>106.27</v>
      </c>
      <c r="H683" s="100">
        <f>SUM(H672:H682)</f>
        <v>11466698.147600003</v>
      </c>
      <c r="I683" s="100"/>
      <c r="J683" s="99">
        <f>SUM(J672:J682)</f>
        <v>114.58655689471155</v>
      </c>
      <c r="K683" s="100">
        <f>SUM(K672:K682)</f>
        <v>11536750.420000002</v>
      </c>
    </row>
    <row r="684" spans="1:11">
      <c r="E684" s="35"/>
      <c r="F684" s="70" t="s">
        <v>6</v>
      </c>
      <c r="G684" s="20" t="s">
        <v>6</v>
      </c>
      <c r="H684" s="21" t="s">
        <v>6</v>
      </c>
      <c r="I684" s="70" t="s">
        <v>6</v>
      </c>
      <c r="J684" s="20" t="s">
        <v>6</v>
      </c>
      <c r="K684" s="21" t="s">
        <v>6</v>
      </c>
    </row>
    <row r="685" spans="1:11">
      <c r="C685" s="137" t="s">
        <v>49</v>
      </c>
      <c r="E685" s="35"/>
      <c r="F685" s="70"/>
      <c r="G685" s="20"/>
      <c r="H685" s="21"/>
      <c r="I685" s="70"/>
      <c r="J685" s="20"/>
      <c r="K685" s="21"/>
    </row>
    <row r="687" spans="1:11">
      <c r="A687" s="9"/>
    </row>
    <row r="688" spans="1:11">
      <c r="A688" s="16" t="str">
        <f>$A$83</f>
        <v xml:space="preserve">Institution No.:  </v>
      </c>
      <c r="B688" s="36"/>
      <c r="C688" s="36"/>
      <c r="D688" s="36"/>
      <c r="E688" s="37"/>
      <c r="F688" s="36"/>
      <c r="G688" s="38"/>
      <c r="H688" s="39"/>
      <c r="I688" s="36"/>
      <c r="J688" s="38"/>
      <c r="K688" s="15" t="s">
        <v>202</v>
      </c>
    </row>
    <row r="689" spans="1:11">
      <c r="A689" s="229" t="s">
        <v>203</v>
      </c>
      <c r="B689" s="229"/>
      <c r="C689" s="229"/>
      <c r="D689" s="229"/>
      <c r="E689" s="229"/>
      <c r="F689" s="229"/>
      <c r="G689" s="229"/>
      <c r="H689" s="229"/>
      <c r="I689" s="229"/>
      <c r="J689" s="229"/>
      <c r="K689" s="229"/>
    </row>
    <row r="690" spans="1:11">
      <c r="A690" s="16" t="str">
        <f>$A$42</f>
        <v xml:space="preserve">NAME: </v>
      </c>
      <c r="C690" s="137" t="str">
        <f>$D$20</f>
        <v>University of Colorado</v>
      </c>
      <c r="F690" s="72"/>
      <c r="G690" s="66"/>
      <c r="H690" s="40"/>
      <c r="J690" s="14"/>
      <c r="K690" s="18" t="str">
        <f>$K$3</f>
        <v>Date: October 09, 2017</v>
      </c>
    </row>
    <row r="691" spans="1:11">
      <c r="A691" s="19" t="s">
        <v>6</v>
      </c>
      <c r="B691" s="19" t="s">
        <v>6</v>
      </c>
      <c r="C691" s="19" t="s">
        <v>6</v>
      </c>
      <c r="D691" s="19" t="s">
        <v>6</v>
      </c>
      <c r="E691" s="19" t="s">
        <v>6</v>
      </c>
      <c r="F691" s="19" t="s">
        <v>6</v>
      </c>
      <c r="G691" s="20" t="s">
        <v>6</v>
      </c>
      <c r="H691" s="21" t="s">
        <v>6</v>
      </c>
      <c r="I691" s="19" t="s">
        <v>6</v>
      </c>
      <c r="J691" s="20" t="s">
        <v>6</v>
      </c>
      <c r="K691" s="21" t="s">
        <v>6</v>
      </c>
    </row>
    <row r="692" spans="1:11">
      <c r="A692" s="22" t="s">
        <v>7</v>
      </c>
      <c r="E692" s="22" t="s">
        <v>7</v>
      </c>
      <c r="F692" s="23"/>
      <c r="G692" s="24"/>
      <c r="H692" s="25" t="str">
        <f>H655</f>
        <v>2016-17</v>
      </c>
      <c r="I692" s="23"/>
      <c r="J692" s="24"/>
      <c r="K692" s="25" t="str">
        <f>K655</f>
        <v>2017-18</v>
      </c>
    </row>
    <row r="693" spans="1:11">
      <c r="A693" s="22" t="s">
        <v>9</v>
      </c>
      <c r="C693" s="26" t="s">
        <v>51</v>
      </c>
      <c r="E693" s="22" t="s">
        <v>9</v>
      </c>
      <c r="F693" s="23"/>
      <c r="G693" s="24" t="s">
        <v>11</v>
      </c>
      <c r="H693" s="25" t="s">
        <v>12</v>
      </c>
      <c r="I693" s="23"/>
      <c r="J693" s="24" t="s">
        <v>11</v>
      </c>
      <c r="K693" s="25" t="s">
        <v>13</v>
      </c>
    </row>
    <row r="694" spans="1:11">
      <c r="A694" s="19" t="s">
        <v>6</v>
      </c>
      <c r="B694" s="19" t="s">
        <v>6</v>
      </c>
      <c r="C694" s="19" t="s">
        <v>6</v>
      </c>
      <c r="D694" s="19" t="s">
        <v>6</v>
      </c>
      <c r="E694" s="19" t="s">
        <v>6</v>
      </c>
      <c r="F694" s="19" t="s">
        <v>6</v>
      </c>
      <c r="G694" s="20" t="s">
        <v>6</v>
      </c>
      <c r="H694" s="21" t="s">
        <v>6</v>
      </c>
      <c r="I694" s="19" t="s">
        <v>6</v>
      </c>
      <c r="J694" s="20" t="s">
        <v>6</v>
      </c>
      <c r="K694" s="21" t="s">
        <v>6</v>
      </c>
    </row>
    <row r="695" spans="1:11">
      <c r="A695" s="117">
        <v>1</v>
      </c>
      <c r="B695" s="118"/>
      <c r="C695" s="118" t="s">
        <v>227</v>
      </c>
      <c r="D695" s="118"/>
      <c r="E695" s="117">
        <v>1</v>
      </c>
      <c r="F695" s="119"/>
      <c r="G695" s="120"/>
      <c r="H695" s="121"/>
      <c r="I695" s="122"/>
      <c r="J695" s="123"/>
      <c r="K695" s="124"/>
    </row>
    <row r="696" spans="1:11">
      <c r="A696" s="117">
        <v>2</v>
      </c>
      <c r="B696" s="118"/>
      <c r="C696" s="118" t="s">
        <v>227</v>
      </c>
      <c r="D696" s="118"/>
      <c r="E696" s="117">
        <v>2</v>
      </c>
      <c r="F696" s="119"/>
      <c r="G696" s="120"/>
      <c r="H696" s="121"/>
      <c r="I696" s="122"/>
      <c r="J696" s="123"/>
      <c r="K696" s="121"/>
    </row>
    <row r="697" spans="1:11">
      <c r="A697" s="117">
        <v>3</v>
      </c>
      <c r="B697" s="118"/>
      <c r="C697" s="118" t="s">
        <v>227</v>
      </c>
      <c r="D697" s="118"/>
      <c r="E697" s="117">
        <v>3</v>
      </c>
      <c r="F697" s="119"/>
      <c r="G697" s="120"/>
      <c r="H697" s="121"/>
      <c r="I697" s="122"/>
      <c r="J697" s="123"/>
      <c r="K697" s="121"/>
    </row>
    <row r="698" spans="1:11">
      <c r="A698" s="117">
        <v>4</v>
      </c>
      <c r="B698" s="118"/>
      <c r="C698" s="118" t="s">
        <v>227</v>
      </c>
      <c r="D698" s="118"/>
      <c r="E698" s="117">
        <v>4</v>
      </c>
      <c r="F698" s="119"/>
      <c r="G698" s="120"/>
      <c r="H698" s="121"/>
      <c r="I698" s="125"/>
      <c r="J698" s="123"/>
      <c r="K698" s="121"/>
    </row>
    <row r="699" spans="1:11">
      <c r="A699" s="117">
        <v>5</v>
      </c>
      <c r="B699" s="118"/>
      <c r="C699" s="118" t="s">
        <v>227</v>
      </c>
      <c r="D699" s="118"/>
      <c r="E699" s="117">
        <v>5</v>
      </c>
      <c r="F699" s="119"/>
      <c r="G699" s="123"/>
      <c r="H699" s="121"/>
      <c r="I699" s="125"/>
      <c r="J699" s="123"/>
      <c r="K699" s="121"/>
    </row>
    <row r="700" spans="1:11">
      <c r="A700" s="8">
        <v>6</v>
      </c>
      <c r="C700" s="9" t="s">
        <v>190</v>
      </c>
      <c r="E700" s="8">
        <v>6</v>
      </c>
      <c r="F700" s="10"/>
      <c r="G700" s="144">
        <f>15.7+1.63+3+5.09+2+0.3+1.07+37.21+8.52+28.63+5.51+0.36+0.25+36-26.14</f>
        <v>119.12999999999998</v>
      </c>
      <c r="H700" s="145">
        <f>7777435.693572+3129227-2179536.66</f>
        <v>8727126.0335719995</v>
      </c>
      <c r="I700" s="30"/>
      <c r="J700" s="144">
        <f>K700/((H700*1/G700))</f>
        <v>114.48870102463114</v>
      </c>
      <c r="K700" s="145">
        <f>7214375.29+3352279-2179536.66</f>
        <v>8387117.629999999</v>
      </c>
    </row>
    <row r="701" spans="1:11">
      <c r="A701" s="8">
        <v>7</v>
      </c>
      <c r="C701" s="9" t="s">
        <v>191</v>
      </c>
      <c r="E701" s="8">
        <v>7</v>
      </c>
      <c r="F701" s="10"/>
      <c r="G701" s="104"/>
      <c r="H701" s="145">
        <f>2299371.4038+1032645-416931.38</f>
        <v>2915085.0238000001</v>
      </c>
      <c r="I701" s="85"/>
      <c r="J701" s="104"/>
      <c r="K701" s="145">
        <f>3206236.39+1139775-416931.38</f>
        <v>3929080.0100000007</v>
      </c>
    </row>
    <row r="702" spans="1:11">
      <c r="A702" s="8">
        <v>8</v>
      </c>
      <c r="C702" s="9" t="s">
        <v>192</v>
      </c>
      <c r="E702" s="8">
        <v>8</v>
      </c>
      <c r="F702" s="10"/>
      <c r="G702" s="104">
        <f>SUM(G700:G701)</f>
        <v>119.12999999999998</v>
      </c>
      <c r="H702" s="104">
        <f>SUM(H700:H701)</f>
        <v>11642211.057372</v>
      </c>
      <c r="I702" s="85"/>
      <c r="J702" s="114">
        <f>SUM(J700:J701)</f>
        <v>114.48870102463114</v>
      </c>
      <c r="K702" s="103">
        <f>SUM(K700:K701)</f>
        <v>12316197.640000001</v>
      </c>
    </row>
    <row r="703" spans="1:11">
      <c r="A703" s="8">
        <v>9</v>
      </c>
      <c r="C703" s="9"/>
      <c r="E703" s="8">
        <v>9</v>
      </c>
      <c r="F703" s="10"/>
      <c r="G703" s="114"/>
      <c r="H703" s="103"/>
      <c r="I703" s="29"/>
      <c r="J703" s="104"/>
      <c r="K703" s="103"/>
    </row>
    <row r="704" spans="1:11">
      <c r="A704" s="8">
        <v>10</v>
      </c>
      <c r="C704" s="9"/>
      <c r="E704" s="8">
        <v>10</v>
      </c>
      <c r="F704" s="10"/>
      <c r="G704" s="114"/>
      <c r="H704" s="103"/>
      <c r="I704" s="30"/>
      <c r="J704" s="104"/>
      <c r="K704" s="103"/>
    </row>
    <row r="705" spans="1:11">
      <c r="A705" s="8">
        <v>11</v>
      </c>
      <c r="C705" s="9" t="s">
        <v>174</v>
      </c>
      <c r="E705" s="8">
        <v>11</v>
      </c>
      <c r="G705" s="143">
        <f>18.79+1-5</f>
        <v>14.79</v>
      </c>
      <c r="H705" s="146">
        <f>970054.6547+58303-271846.63</f>
        <v>756511.02469999995</v>
      </c>
      <c r="I705" s="29"/>
      <c r="J705" s="144">
        <f>K705/((H705*1/G705))</f>
        <v>20.611636393512565</v>
      </c>
      <c r="K705" s="146">
        <f>1267283.35+58852-271846.63</f>
        <v>1054288.7200000002</v>
      </c>
    </row>
    <row r="706" spans="1:11">
      <c r="A706" s="8">
        <v>12</v>
      </c>
      <c r="C706" s="9" t="s">
        <v>175</v>
      </c>
      <c r="E706" s="8">
        <v>12</v>
      </c>
      <c r="G706" s="115"/>
      <c r="H706" s="146">
        <f>1497905.4563+19240-271606.31</f>
        <v>1245539.1462999999</v>
      </c>
      <c r="I706" s="30"/>
      <c r="J706" s="99"/>
      <c r="K706" s="196">
        <f>1247985.79+20010-271606.31</f>
        <v>996389.48</v>
      </c>
    </row>
    <row r="707" spans="1:11">
      <c r="A707" s="8">
        <v>13</v>
      </c>
      <c r="C707" s="9" t="s">
        <v>193</v>
      </c>
      <c r="E707" s="8">
        <v>13</v>
      </c>
      <c r="F707" s="10"/>
      <c r="G707" s="104">
        <f>SUM(G705:G706)</f>
        <v>14.79</v>
      </c>
      <c r="H707" s="103">
        <f>SUM(H705:H706)</f>
        <v>2002050.1709999999</v>
      </c>
      <c r="I707" s="85"/>
      <c r="J707" s="114">
        <f>SUM(J705:J706)</f>
        <v>20.611636393512565</v>
      </c>
      <c r="K707" s="103">
        <f>SUM(K705:K706)</f>
        <v>2050678.2000000002</v>
      </c>
    </row>
    <row r="708" spans="1:11">
      <c r="A708" s="8">
        <v>14</v>
      </c>
      <c r="E708" s="8">
        <v>14</v>
      </c>
      <c r="F708" s="10"/>
      <c r="G708" s="104"/>
      <c r="H708" s="103"/>
      <c r="I708" s="85"/>
      <c r="J708" s="104"/>
      <c r="K708" s="103"/>
    </row>
    <row r="709" spans="1:11">
      <c r="A709" s="8">
        <v>15</v>
      </c>
      <c r="C709" s="9" t="s">
        <v>177</v>
      </c>
      <c r="E709" s="8">
        <v>15</v>
      </c>
      <c r="F709" s="10"/>
      <c r="G709" s="104">
        <f>G702+G707</f>
        <v>133.91999999999999</v>
      </c>
      <c r="H709" s="103">
        <f>H702+H707</f>
        <v>13644261.228372</v>
      </c>
      <c r="I709" s="85"/>
      <c r="J709" s="114">
        <f>J702+J707</f>
        <v>135.10033741814371</v>
      </c>
      <c r="K709" s="103">
        <f>K702+K707</f>
        <v>14366875.84</v>
      </c>
    </row>
    <row r="710" spans="1:11">
      <c r="A710" s="8">
        <v>16</v>
      </c>
      <c r="E710" s="8">
        <v>16</v>
      </c>
      <c r="F710" s="10"/>
      <c r="G710" s="114"/>
      <c r="H710" s="103"/>
      <c r="I710" s="85"/>
      <c r="J710" s="104"/>
      <c r="K710" s="103"/>
    </row>
    <row r="711" spans="1:11" s="36" customFormat="1">
      <c r="A711" s="8">
        <v>17</v>
      </c>
      <c r="B711" s="137"/>
      <c r="C711" s="9" t="s">
        <v>178</v>
      </c>
      <c r="D711" s="137"/>
      <c r="E711" s="8">
        <v>17</v>
      </c>
      <c r="F711" s="10"/>
      <c r="G711" s="114"/>
      <c r="H711" s="145">
        <f>85925.717+27083+1954</f>
        <v>114962.717</v>
      </c>
      <c r="I711" s="85"/>
      <c r="J711" s="104"/>
      <c r="K711" s="145">
        <f>113705.2+1974+29075</f>
        <v>144754.20000000001</v>
      </c>
    </row>
    <row r="712" spans="1:11" s="36" customFormat="1">
      <c r="A712" s="8">
        <v>18</v>
      </c>
      <c r="B712" s="137"/>
      <c r="C712" s="9"/>
      <c r="D712" s="137"/>
      <c r="E712" s="8">
        <v>18</v>
      </c>
      <c r="F712" s="10"/>
      <c r="G712" s="114"/>
      <c r="H712" s="103"/>
      <c r="I712" s="85"/>
      <c r="J712" s="104"/>
      <c r="K712" s="103"/>
    </row>
    <row r="713" spans="1:11">
      <c r="A713" s="8">
        <v>19</v>
      </c>
      <c r="C713" s="9" t="s">
        <v>179</v>
      </c>
      <c r="E713" s="8">
        <v>19</v>
      </c>
      <c r="F713" s="10"/>
      <c r="G713" s="114"/>
      <c r="H713" s="145">
        <v>123945.69819999997</v>
      </c>
      <c r="I713" s="85"/>
      <c r="J713" s="104"/>
      <c r="K713" s="145"/>
    </row>
    <row r="714" spans="1:11">
      <c r="A714" s="8">
        <v>20</v>
      </c>
      <c r="C714" s="9" t="s">
        <v>180</v>
      </c>
      <c r="E714" s="8">
        <v>20</v>
      </c>
      <c r="F714" s="10"/>
      <c r="G714" s="114"/>
      <c r="H714" s="145">
        <f>8094318.62886-442126.33-4268453+3139920.97+2000000</f>
        <v>8523660.2688599993</v>
      </c>
      <c r="I714" s="85"/>
      <c r="J714" s="104"/>
      <c r="K714" s="145">
        <f>((8972283.34-10636.16)-6217103)+1615138+3139920.97+2000000</f>
        <v>9499603.1500000004</v>
      </c>
    </row>
    <row r="715" spans="1:11">
      <c r="A715" s="8">
        <v>21</v>
      </c>
      <c r="C715" s="9"/>
      <c r="E715" s="8">
        <v>21</v>
      </c>
      <c r="F715" s="10"/>
      <c r="G715" s="114"/>
      <c r="H715" s="103"/>
      <c r="I715" s="85"/>
      <c r="J715" s="104"/>
      <c r="K715" s="103"/>
    </row>
    <row r="716" spans="1:11">
      <c r="A716" s="8">
        <v>22</v>
      </c>
      <c r="C716" s="9"/>
      <c r="E716" s="8">
        <v>22</v>
      </c>
      <c r="F716" s="10"/>
      <c r="G716" s="114"/>
      <c r="H716" s="103"/>
      <c r="I716" s="85"/>
      <c r="J716" s="104"/>
      <c r="K716" s="103"/>
    </row>
    <row r="717" spans="1:11">
      <c r="A717" s="8">
        <v>23</v>
      </c>
      <c r="C717" s="9" t="s">
        <v>194</v>
      </c>
      <c r="E717" s="8">
        <v>23</v>
      </c>
      <c r="F717" s="10"/>
      <c r="G717" s="114"/>
      <c r="H717" s="145">
        <v>282976.55579999997</v>
      </c>
      <c r="I717" s="85"/>
      <c r="J717" s="104"/>
      <c r="K717" s="145">
        <v>0</v>
      </c>
    </row>
    <row r="718" spans="1:11">
      <c r="A718" s="8">
        <v>24</v>
      </c>
      <c r="C718" s="9"/>
      <c r="E718" s="8">
        <v>24</v>
      </c>
      <c r="F718" s="10"/>
      <c r="G718" s="114"/>
      <c r="H718" s="103"/>
      <c r="I718" s="85"/>
      <c r="J718" s="104"/>
      <c r="K718" s="103"/>
    </row>
    <row r="719" spans="1:11">
      <c r="E719" s="35"/>
      <c r="F719" s="70" t="s">
        <v>6</v>
      </c>
      <c r="G719" s="21" t="s">
        <v>6</v>
      </c>
      <c r="H719" s="21" t="s">
        <v>6</v>
      </c>
      <c r="I719" s="70" t="s">
        <v>6</v>
      </c>
      <c r="J719" s="21" t="s">
        <v>6</v>
      </c>
      <c r="K719" s="21" t="s">
        <v>6</v>
      </c>
    </row>
    <row r="720" spans="1:11">
      <c r="A720" s="8">
        <v>25</v>
      </c>
      <c r="C720" s="9" t="s">
        <v>204</v>
      </c>
      <c r="E720" s="8">
        <v>25</v>
      </c>
      <c r="G720" s="99">
        <f>SUM(G709:G719)</f>
        <v>133.91999999999999</v>
      </c>
      <c r="H720" s="99">
        <f>SUM(H709:H719)</f>
        <v>22689806.468231998</v>
      </c>
      <c r="I720" s="100"/>
      <c r="J720" s="99">
        <f>SUM(J709:J719)</f>
        <v>135.10033741814371</v>
      </c>
      <c r="K720" s="99">
        <f>SUM(K709:K719)</f>
        <v>24011233.189999998</v>
      </c>
    </row>
    <row r="721" spans="1:11">
      <c r="E721" s="35"/>
      <c r="F721" s="70" t="s">
        <v>6</v>
      </c>
      <c r="G721" s="20" t="s">
        <v>6</v>
      </c>
      <c r="H721" s="21" t="s">
        <v>6</v>
      </c>
      <c r="I721" s="70" t="s">
        <v>6</v>
      </c>
      <c r="J721" s="20" t="s">
        <v>6</v>
      </c>
      <c r="K721" s="21" t="s">
        <v>6</v>
      </c>
    </row>
    <row r="722" spans="1:11">
      <c r="C722" s="137" t="s">
        <v>49</v>
      </c>
    </row>
    <row r="725" spans="1:11">
      <c r="A725" s="16" t="str">
        <f>$A$83</f>
        <v xml:space="preserve">Institution No.:  </v>
      </c>
      <c r="B725" s="36"/>
      <c r="C725" s="36"/>
      <c r="D725" s="36"/>
      <c r="E725" s="37"/>
      <c r="F725" s="36"/>
      <c r="G725" s="38"/>
      <c r="H725" s="39"/>
      <c r="I725" s="36"/>
      <c r="J725" s="38"/>
      <c r="K725" s="15" t="s">
        <v>205</v>
      </c>
    </row>
    <row r="726" spans="1:11">
      <c r="A726" s="229" t="s">
        <v>206</v>
      </c>
      <c r="B726" s="229"/>
      <c r="C726" s="229"/>
      <c r="D726" s="229"/>
      <c r="E726" s="229"/>
      <c r="F726" s="229"/>
      <c r="G726" s="229"/>
      <c r="H726" s="229"/>
      <c r="I726" s="229"/>
      <c r="J726" s="229"/>
      <c r="K726" s="229"/>
    </row>
    <row r="727" spans="1:11">
      <c r="A727" s="16" t="str">
        <f>$A$42</f>
        <v xml:space="preserve">NAME: </v>
      </c>
      <c r="C727" s="137" t="str">
        <f>$D$20</f>
        <v>University of Colorado</v>
      </c>
      <c r="F727" s="72"/>
      <c r="G727" s="66"/>
      <c r="H727" s="67"/>
      <c r="J727" s="14"/>
      <c r="K727" s="18" t="str">
        <f>$K$3</f>
        <v>Date: October 09, 2017</v>
      </c>
    </row>
    <row r="728" spans="1:11">
      <c r="A728" s="19" t="s">
        <v>6</v>
      </c>
      <c r="B728" s="19" t="s">
        <v>6</v>
      </c>
      <c r="C728" s="19" t="s">
        <v>6</v>
      </c>
      <c r="D728" s="19" t="s">
        <v>6</v>
      </c>
      <c r="E728" s="19" t="s">
        <v>6</v>
      </c>
      <c r="F728" s="19" t="s">
        <v>6</v>
      </c>
      <c r="G728" s="20" t="s">
        <v>6</v>
      </c>
      <c r="H728" s="21" t="s">
        <v>6</v>
      </c>
      <c r="I728" s="19" t="s">
        <v>6</v>
      </c>
      <c r="J728" s="20" t="s">
        <v>6</v>
      </c>
      <c r="K728" s="21" t="s">
        <v>6</v>
      </c>
    </row>
    <row r="729" spans="1:11">
      <c r="A729" s="22" t="s">
        <v>7</v>
      </c>
      <c r="E729" s="22" t="s">
        <v>7</v>
      </c>
      <c r="F729" s="23"/>
      <c r="G729" s="24"/>
      <c r="H729" s="25" t="str">
        <f>H692</f>
        <v>2016-17</v>
      </c>
      <c r="I729" s="23"/>
      <c r="J729" s="24"/>
      <c r="K729" s="25" t="str">
        <f>K692</f>
        <v>2017-18</v>
      </c>
    </row>
    <row r="730" spans="1:11">
      <c r="A730" s="22" t="s">
        <v>9</v>
      </c>
      <c r="C730" s="26" t="s">
        <v>51</v>
      </c>
      <c r="E730" s="22" t="s">
        <v>9</v>
      </c>
      <c r="F730" s="23"/>
      <c r="G730" s="24" t="s">
        <v>11</v>
      </c>
      <c r="H730" s="25" t="s">
        <v>12</v>
      </c>
      <c r="I730" s="23"/>
      <c r="J730" s="24" t="s">
        <v>11</v>
      </c>
      <c r="K730" s="25" t="s">
        <v>13</v>
      </c>
    </row>
    <row r="731" spans="1:11">
      <c r="A731" s="19" t="s">
        <v>6</v>
      </c>
      <c r="B731" s="19" t="s">
        <v>6</v>
      </c>
      <c r="C731" s="19" t="s">
        <v>6</v>
      </c>
      <c r="D731" s="19" t="s">
        <v>6</v>
      </c>
      <c r="E731" s="19" t="s">
        <v>6</v>
      </c>
      <c r="F731" s="19" t="s">
        <v>6</v>
      </c>
      <c r="G731" s="20"/>
      <c r="H731" s="21"/>
      <c r="I731" s="19"/>
      <c r="J731" s="20"/>
      <c r="K731" s="21"/>
    </row>
    <row r="732" spans="1:11">
      <c r="A732" s="117">
        <v>1</v>
      </c>
      <c r="B732" s="118"/>
      <c r="C732" s="118" t="s">
        <v>227</v>
      </c>
      <c r="D732" s="118"/>
      <c r="E732" s="117">
        <v>1</v>
      </c>
      <c r="F732" s="119"/>
      <c r="G732" s="120"/>
      <c r="H732" s="121"/>
      <c r="I732" s="122"/>
      <c r="J732" s="123"/>
      <c r="K732" s="124"/>
    </row>
    <row r="733" spans="1:11">
      <c r="A733" s="117">
        <v>2</v>
      </c>
      <c r="B733" s="118"/>
      <c r="C733" s="118" t="s">
        <v>227</v>
      </c>
      <c r="D733" s="118"/>
      <c r="E733" s="117">
        <v>2</v>
      </c>
      <c r="F733" s="119"/>
      <c r="G733" s="120"/>
      <c r="H733" s="121"/>
      <c r="I733" s="122"/>
      <c r="J733" s="123"/>
      <c r="K733" s="121"/>
    </row>
    <row r="734" spans="1:11">
      <c r="A734" s="117">
        <v>3</v>
      </c>
      <c r="B734" s="118"/>
      <c r="C734" s="118" t="s">
        <v>227</v>
      </c>
      <c r="D734" s="118"/>
      <c r="E734" s="117">
        <v>3</v>
      </c>
      <c r="F734" s="119"/>
      <c r="G734" s="120"/>
      <c r="H734" s="121"/>
      <c r="I734" s="122"/>
      <c r="J734" s="123"/>
      <c r="K734" s="121"/>
    </row>
    <row r="735" spans="1:11">
      <c r="A735" s="117">
        <v>4</v>
      </c>
      <c r="B735" s="118"/>
      <c r="C735" s="118" t="s">
        <v>227</v>
      </c>
      <c r="D735" s="118"/>
      <c r="E735" s="117">
        <v>4</v>
      </c>
      <c r="F735" s="119"/>
      <c r="G735" s="120"/>
      <c r="H735" s="121"/>
      <c r="I735" s="125"/>
      <c r="J735" s="123"/>
      <c r="K735" s="121"/>
    </row>
    <row r="736" spans="1:11">
      <c r="A736" s="117">
        <v>5</v>
      </c>
      <c r="B736" s="118"/>
      <c r="C736" s="118" t="s">
        <v>227</v>
      </c>
      <c r="D736" s="118"/>
      <c r="E736" s="117">
        <v>5</v>
      </c>
      <c r="F736" s="119"/>
      <c r="G736" s="120"/>
      <c r="H736" s="121"/>
      <c r="I736" s="125"/>
      <c r="J736" s="123"/>
      <c r="K736" s="121"/>
    </row>
    <row r="737" spans="1:11">
      <c r="A737" s="8">
        <v>6</v>
      </c>
      <c r="C737" s="9" t="s">
        <v>190</v>
      </c>
      <c r="E737" s="8">
        <v>6</v>
      </c>
      <c r="F737" s="10"/>
      <c r="G737" s="157">
        <f>1+1.47+5.39+2.08+0.81</f>
        <v>10.75</v>
      </c>
      <c r="H737" s="145">
        <v>990101.84350000008</v>
      </c>
      <c r="I737" s="30"/>
      <c r="J737" s="144">
        <f>K737/((H737*1/G737))</f>
        <v>12.242162111477779</v>
      </c>
      <c r="K737" s="145">
        <v>1127533.7000000002</v>
      </c>
    </row>
    <row r="738" spans="1:11">
      <c r="A738" s="8">
        <v>7</v>
      </c>
      <c r="C738" s="9" t="s">
        <v>191</v>
      </c>
      <c r="E738" s="8">
        <v>7</v>
      </c>
      <c r="F738" s="10"/>
      <c r="G738" s="114"/>
      <c r="H738" s="145">
        <v>319880.63769999996</v>
      </c>
      <c r="I738" s="85"/>
      <c r="J738" s="104"/>
      <c r="K738" s="145">
        <v>373343.62999999995</v>
      </c>
    </row>
    <row r="739" spans="1:11">
      <c r="A739" s="8">
        <v>8</v>
      </c>
      <c r="C739" s="9" t="s">
        <v>192</v>
      </c>
      <c r="E739" s="8">
        <v>8</v>
      </c>
      <c r="F739" s="10"/>
      <c r="G739" s="114">
        <f>SUM(G737:G738)</f>
        <v>10.75</v>
      </c>
      <c r="H739" s="104">
        <f>SUM(H737:H738)</f>
        <v>1309982.4812</v>
      </c>
      <c r="I739" s="85"/>
      <c r="J739" s="114">
        <f>SUM(J737:J738)</f>
        <v>12.242162111477779</v>
      </c>
      <c r="K739" s="103">
        <f>SUM(K737:K738)</f>
        <v>1500877.33</v>
      </c>
    </row>
    <row r="740" spans="1:11">
      <c r="A740" s="8">
        <v>9</v>
      </c>
      <c r="C740" s="9"/>
      <c r="E740" s="8">
        <v>9</v>
      </c>
      <c r="F740" s="10"/>
      <c r="G740" s="114"/>
      <c r="H740" s="103"/>
      <c r="I740" s="29"/>
      <c r="J740" s="104"/>
      <c r="K740" s="103"/>
    </row>
    <row r="741" spans="1:11">
      <c r="A741" s="8">
        <v>10</v>
      </c>
      <c r="C741" s="9"/>
      <c r="E741" s="8">
        <v>10</v>
      </c>
      <c r="F741" s="10"/>
      <c r="G741" s="114"/>
      <c r="H741" s="103"/>
      <c r="I741" s="30"/>
      <c r="J741" s="104"/>
      <c r="K741" s="103"/>
    </row>
    <row r="742" spans="1:11">
      <c r="A742" s="8">
        <v>11</v>
      </c>
      <c r="C742" s="9" t="s">
        <v>174</v>
      </c>
      <c r="E742" s="8">
        <v>11</v>
      </c>
      <c r="G742" s="143">
        <v>21.74</v>
      </c>
      <c r="H742" s="146">
        <v>765194.23100000003</v>
      </c>
      <c r="I742" s="29"/>
      <c r="J742" s="144">
        <f>K742/((H742*1/G742))</f>
        <v>33.35542804399423</v>
      </c>
      <c r="K742" s="146">
        <f>1374028.57-200000</f>
        <v>1174028.57</v>
      </c>
    </row>
    <row r="743" spans="1:11">
      <c r="A743" s="8">
        <v>12</v>
      </c>
      <c r="C743" s="9" t="s">
        <v>175</v>
      </c>
      <c r="E743" s="8">
        <v>12</v>
      </c>
      <c r="G743" s="115"/>
      <c r="H743" s="146">
        <v>368867.65840000007</v>
      </c>
      <c r="I743" s="30"/>
      <c r="J743" s="99"/>
      <c r="K743" s="146">
        <f>516853.69-100000</f>
        <v>416853.69</v>
      </c>
    </row>
    <row r="744" spans="1:11">
      <c r="A744" s="8">
        <v>13</v>
      </c>
      <c r="C744" s="9" t="s">
        <v>193</v>
      </c>
      <c r="E744" s="8">
        <v>13</v>
      </c>
      <c r="F744" s="10"/>
      <c r="G744" s="114">
        <f>SUM(G742:G743)</f>
        <v>21.74</v>
      </c>
      <c r="H744" s="103">
        <f>SUM(H742:H743)</f>
        <v>1134061.8894000002</v>
      </c>
      <c r="I744" s="85"/>
      <c r="J744" s="114">
        <f>SUM(J742:J743)</f>
        <v>33.35542804399423</v>
      </c>
      <c r="K744" s="103">
        <f>SUM(K742:K743)</f>
        <v>1590882.26</v>
      </c>
    </row>
    <row r="745" spans="1:11">
      <c r="A745" s="8">
        <v>14</v>
      </c>
      <c r="E745" s="8">
        <v>14</v>
      </c>
      <c r="F745" s="10"/>
      <c r="G745" s="114"/>
      <c r="H745" s="103"/>
      <c r="I745" s="85"/>
      <c r="J745" s="104"/>
      <c r="K745" s="103"/>
    </row>
    <row r="746" spans="1:11" ht="24.75" customHeight="1">
      <c r="A746" s="8">
        <v>15</v>
      </c>
      <c r="C746" s="9" t="s">
        <v>177</v>
      </c>
      <c r="E746" s="8">
        <v>15</v>
      </c>
      <c r="F746" s="10"/>
      <c r="G746" s="114">
        <f>G739+G744</f>
        <v>32.489999999999995</v>
      </c>
      <c r="H746" s="114">
        <f>H739+H744</f>
        <v>2444044.3706</v>
      </c>
      <c r="I746" s="85"/>
      <c r="J746" s="114">
        <f>J739+J744</f>
        <v>45.597590155472005</v>
      </c>
      <c r="K746" s="103">
        <f>K739+K744</f>
        <v>3091759.59</v>
      </c>
    </row>
    <row r="747" spans="1:11" s="82" customFormat="1">
      <c r="A747" s="8">
        <v>16</v>
      </c>
      <c r="B747" s="137"/>
      <c r="C747" s="137"/>
      <c r="D747" s="137"/>
      <c r="E747" s="8">
        <v>16</v>
      </c>
      <c r="F747" s="10"/>
      <c r="G747" s="114"/>
      <c r="H747" s="103"/>
      <c r="I747" s="85"/>
      <c r="J747" s="104"/>
      <c r="K747" s="103"/>
    </row>
    <row r="748" spans="1:11">
      <c r="A748" s="8">
        <v>17</v>
      </c>
      <c r="C748" s="9" t="s">
        <v>178</v>
      </c>
      <c r="E748" s="8">
        <v>17</v>
      </c>
      <c r="F748" s="10"/>
      <c r="G748" s="114"/>
      <c r="H748" s="145">
        <v>12365.567499999999</v>
      </c>
      <c r="I748" s="85"/>
      <c r="J748" s="104"/>
      <c r="K748" s="145">
        <v>2317.9899999999989</v>
      </c>
    </row>
    <row r="749" spans="1:11">
      <c r="A749" s="8">
        <v>18</v>
      </c>
      <c r="C749" s="9"/>
      <c r="E749" s="8">
        <v>18</v>
      </c>
      <c r="F749" s="10"/>
      <c r="G749" s="114"/>
      <c r="H749" s="103"/>
      <c r="I749" s="85"/>
      <c r="J749" s="104"/>
      <c r="K749" s="103"/>
    </row>
    <row r="750" spans="1:11" s="36" customFormat="1">
      <c r="A750" s="8">
        <v>19</v>
      </c>
      <c r="B750" s="137"/>
      <c r="C750" s="9" t="s">
        <v>179</v>
      </c>
      <c r="D750" s="137"/>
      <c r="E750" s="8">
        <v>19</v>
      </c>
      <c r="F750" s="10"/>
      <c r="G750" s="114"/>
      <c r="H750" s="145">
        <v>16429.075800000002</v>
      </c>
      <c r="I750" s="85"/>
      <c r="J750" s="104"/>
      <c r="K750" s="145">
        <v>2188.1999999999994</v>
      </c>
    </row>
    <row r="751" spans="1:11" s="36" customFormat="1">
      <c r="A751" s="8">
        <v>20</v>
      </c>
      <c r="B751" s="137"/>
      <c r="C751" s="9" t="s">
        <v>180</v>
      </c>
      <c r="D751" s="137"/>
      <c r="E751" s="8">
        <v>20</v>
      </c>
      <c r="F751" s="10"/>
      <c r="G751" s="114"/>
      <c r="H751" s="145">
        <f>7354136.2+'[1]ID Revenue by Nacubo'!$L$56</f>
        <v>7280067.0310000004</v>
      </c>
      <c r="I751" s="85"/>
      <c r="J751" s="104"/>
      <c r="K751" s="145">
        <f>8806074.45-1000000</f>
        <v>7806074.4499999993</v>
      </c>
    </row>
    <row r="752" spans="1:11">
      <c r="A752" s="8">
        <v>21</v>
      </c>
      <c r="C752" s="9" t="s">
        <v>225</v>
      </c>
      <c r="E752" s="8">
        <v>21</v>
      </c>
      <c r="F752" s="10"/>
      <c r="G752" s="114"/>
      <c r="H752" s="145">
        <v>610544.76</v>
      </c>
      <c r="I752" s="85"/>
      <c r="J752" s="104"/>
      <c r="K752" s="145">
        <v>837000</v>
      </c>
    </row>
    <row r="753" spans="1:11">
      <c r="A753" s="8">
        <v>22</v>
      </c>
      <c r="C753" s="9"/>
      <c r="E753" s="8">
        <v>22</v>
      </c>
      <c r="F753" s="10"/>
      <c r="G753" s="114"/>
      <c r="H753" s="103"/>
      <c r="I753" s="85"/>
      <c r="J753" s="104"/>
      <c r="K753" s="103"/>
    </row>
    <row r="754" spans="1:11">
      <c r="A754" s="8">
        <v>23</v>
      </c>
      <c r="C754" s="9" t="s">
        <v>194</v>
      </c>
      <c r="E754" s="8">
        <v>23</v>
      </c>
      <c r="F754" s="10"/>
      <c r="G754" s="114"/>
      <c r="H754" s="145">
        <v>68383.449200000003</v>
      </c>
      <c r="I754" s="85"/>
      <c r="J754" s="104"/>
      <c r="K754" s="145"/>
    </row>
    <row r="755" spans="1:11">
      <c r="A755" s="8">
        <v>24</v>
      </c>
      <c r="C755" s="9"/>
      <c r="E755" s="8">
        <v>24</v>
      </c>
      <c r="F755" s="10"/>
      <c r="G755" s="114"/>
      <c r="H755" s="103"/>
      <c r="I755" s="85"/>
      <c r="J755" s="104"/>
      <c r="K755" s="103"/>
    </row>
    <row r="756" spans="1:11">
      <c r="E756" s="35"/>
      <c r="F756" s="70" t="s">
        <v>6</v>
      </c>
      <c r="G756" s="21" t="s">
        <v>6</v>
      </c>
      <c r="H756" s="21" t="s">
        <v>6</v>
      </c>
      <c r="I756" s="70" t="s">
        <v>6</v>
      </c>
      <c r="J756" s="21" t="s">
        <v>6</v>
      </c>
      <c r="K756" s="21" t="s">
        <v>6</v>
      </c>
    </row>
    <row r="757" spans="1:11">
      <c r="A757" s="8">
        <v>25</v>
      </c>
      <c r="C757" s="9" t="s">
        <v>207</v>
      </c>
      <c r="E757" s="8">
        <v>25</v>
      </c>
      <c r="G757" s="99">
        <f>SUM(G746:G756)</f>
        <v>32.489999999999995</v>
      </c>
      <c r="H757" s="99">
        <f>SUM(H746:H756)</f>
        <v>10431834.2541</v>
      </c>
      <c r="I757" s="100"/>
      <c r="J757" s="99">
        <f>SUM(J746:J756)</f>
        <v>45.597590155472005</v>
      </c>
      <c r="K757" s="100">
        <f>SUM(K746:K756)</f>
        <v>11739340.23</v>
      </c>
    </row>
    <row r="758" spans="1:11">
      <c r="E758" s="35"/>
      <c r="F758" s="70" t="s">
        <v>6</v>
      </c>
      <c r="G758" s="20" t="s">
        <v>6</v>
      </c>
      <c r="H758" s="21" t="s">
        <v>6</v>
      </c>
      <c r="I758" s="70" t="s">
        <v>6</v>
      </c>
      <c r="J758" s="20" t="s">
        <v>6</v>
      </c>
      <c r="K758" s="21" t="s">
        <v>6</v>
      </c>
    </row>
    <row r="759" spans="1:11">
      <c r="C759" s="137" t="s">
        <v>49</v>
      </c>
      <c r="E759" s="35"/>
      <c r="F759" s="70"/>
      <c r="G759" s="20"/>
      <c r="H759" s="21"/>
      <c r="I759" s="70"/>
      <c r="J759" s="20"/>
      <c r="K759" s="21"/>
    </row>
    <row r="761" spans="1:11">
      <c r="A761" s="9"/>
    </row>
    <row r="762" spans="1:11">
      <c r="A762" s="16" t="str">
        <f>$A$83</f>
        <v xml:space="preserve">Institution No.:  </v>
      </c>
      <c r="B762" s="36"/>
      <c r="C762" s="36"/>
      <c r="D762" s="36"/>
      <c r="E762" s="37"/>
      <c r="F762" s="36"/>
      <c r="G762" s="38"/>
      <c r="H762" s="39"/>
      <c r="I762" s="36"/>
      <c r="J762" s="38"/>
      <c r="K762" s="15" t="s">
        <v>208</v>
      </c>
    </row>
    <row r="763" spans="1:11">
      <c r="A763" s="229" t="s">
        <v>209</v>
      </c>
      <c r="B763" s="229"/>
      <c r="C763" s="229"/>
      <c r="D763" s="229"/>
      <c r="E763" s="229"/>
      <c r="F763" s="229"/>
      <c r="G763" s="229"/>
      <c r="H763" s="229"/>
      <c r="I763" s="229"/>
      <c r="J763" s="229"/>
      <c r="K763" s="229"/>
    </row>
    <row r="764" spans="1:11">
      <c r="A764" s="16" t="str">
        <f>$A$42</f>
        <v xml:space="preserve">NAME: </v>
      </c>
      <c r="C764" s="137" t="str">
        <f>$D$20</f>
        <v>University of Colorado</v>
      </c>
      <c r="F764" s="72"/>
      <c r="G764" s="66"/>
      <c r="H764" s="67"/>
      <c r="J764" s="14"/>
      <c r="K764" s="18" t="str">
        <f>$K$3</f>
        <v>Date: October 09, 2017</v>
      </c>
    </row>
    <row r="765" spans="1:11">
      <c r="A765" s="19" t="s">
        <v>6</v>
      </c>
      <c r="B765" s="19" t="s">
        <v>6</v>
      </c>
      <c r="C765" s="19" t="s">
        <v>6</v>
      </c>
      <c r="D765" s="19" t="s">
        <v>6</v>
      </c>
      <c r="E765" s="19" t="s">
        <v>6</v>
      </c>
      <c r="F765" s="19" t="s">
        <v>6</v>
      </c>
      <c r="G765" s="20" t="s">
        <v>6</v>
      </c>
      <c r="H765" s="21" t="s">
        <v>6</v>
      </c>
      <c r="I765" s="19" t="s">
        <v>6</v>
      </c>
      <c r="J765" s="20" t="s">
        <v>6</v>
      </c>
      <c r="K765" s="21" t="s">
        <v>6</v>
      </c>
    </row>
    <row r="766" spans="1:11">
      <c r="A766" s="22" t="s">
        <v>7</v>
      </c>
      <c r="E766" s="22" t="s">
        <v>7</v>
      </c>
      <c r="F766" s="23"/>
      <c r="G766" s="24"/>
      <c r="H766" s="25" t="str">
        <f>+H729</f>
        <v>2016-17</v>
      </c>
      <c r="I766" s="23"/>
      <c r="J766" s="24"/>
      <c r="K766" s="25" t="str">
        <f>+K729</f>
        <v>2017-18</v>
      </c>
    </row>
    <row r="767" spans="1:11">
      <c r="A767" s="22" t="s">
        <v>9</v>
      </c>
      <c r="C767" s="26" t="s">
        <v>51</v>
      </c>
      <c r="E767" s="22" t="s">
        <v>9</v>
      </c>
      <c r="G767" s="14"/>
      <c r="H767" s="25" t="s">
        <v>12</v>
      </c>
      <c r="J767" s="14"/>
      <c r="K767" s="25" t="s">
        <v>13</v>
      </c>
    </row>
    <row r="768" spans="1:11">
      <c r="A768" s="19" t="s">
        <v>6</v>
      </c>
      <c r="B768" s="19" t="s">
        <v>6</v>
      </c>
      <c r="C768" s="19" t="s">
        <v>6</v>
      </c>
      <c r="D768" s="19" t="s">
        <v>6</v>
      </c>
      <c r="E768" s="19" t="s">
        <v>6</v>
      </c>
      <c r="F768" s="19" t="s">
        <v>6</v>
      </c>
      <c r="G768" s="20" t="s">
        <v>6</v>
      </c>
      <c r="H768" s="21" t="s">
        <v>6</v>
      </c>
      <c r="I768" s="19" t="s">
        <v>6</v>
      </c>
      <c r="J768" s="20" t="s">
        <v>6</v>
      </c>
      <c r="K768" s="21" t="s">
        <v>6</v>
      </c>
    </row>
    <row r="769" spans="1:13">
      <c r="A769" s="8">
        <v>1</v>
      </c>
      <c r="C769" s="9" t="s">
        <v>210</v>
      </c>
      <c r="E769" s="8">
        <v>1</v>
      </c>
      <c r="F769" s="10"/>
      <c r="G769" s="110"/>
      <c r="H769" s="156">
        <v>9929496.8499999978</v>
      </c>
      <c r="I769" s="110"/>
      <c r="J769" s="110"/>
      <c r="K769" s="156">
        <v>10337081</v>
      </c>
    </row>
    <row r="770" spans="1:13">
      <c r="A770" s="8">
        <f t="shared" ref="A770:A787" si="3">(A769+1)</f>
        <v>2</v>
      </c>
      <c r="C770" s="10"/>
      <c r="E770" s="8">
        <f t="shared" ref="E770:E787" si="4">(E769+1)</f>
        <v>2</v>
      </c>
      <c r="F770" s="10"/>
      <c r="G770" s="11"/>
      <c r="H770" s="12"/>
      <c r="I770" s="10"/>
      <c r="J770" s="11"/>
      <c r="K770" s="12"/>
    </row>
    <row r="771" spans="1:13">
      <c r="A771" s="8">
        <f t="shared" si="3"/>
        <v>3</v>
      </c>
      <c r="C771" s="10"/>
      <c r="E771" s="8">
        <f t="shared" si="4"/>
        <v>3</v>
      </c>
      <c r="F771" s="10"/>
      <c r="G771" s="11"/>
      <c r="H771" s="12"/>
      <c r="I771" s="10"/>
      <c r="J771" s="11"/>
      <c r="K771" s="12"/>
      <c r="M771" s="137" t="s">
        <v>38</v>
      </c>
    </row>
    <row r="772" spans="1:13">
      <c r="A772" s="8">
        <f t="shared" si="3"/>
        <v>4</v>
      </c>
      <c r="C772" s="10"/>
      <c r="E772" s="8">
        <f t="shared" si="4"/>
        <v>4</v>
      </c>
      <c r="F772" s="10"/>
      <c r="G772" s="11"/>
      <c r="H772" s="12"/>
      <c r="I772" s="10"/>
      <c r="J772" s="11"/>
      <c r="K772" s="12"/>
    </row>
    <row r="773" spans="1:13">
      <c r="A773" s="8">
        <f t="shared" si="3"/>
        <v>5</v>
      </c>
      <c r="C773" s="10"/>
      <c r="E773" s="8">
        <f t="shared" si="4"/>
        <v>5</v>
      </c>
      <c r="F773" s="10"/>
      <c r="G773" s="11"/>
      <c r="H773" s="12"/>
      <c r="I773" s="10"/>
      <c r="J773" s="11"/>
      <c r="K773" s="12"/>
    </row>
    <row r="774" spans="1:13">
      <c r="A774" s="8">
        <f t="shared" si="3"/>
        <v>6</v>
      </c>
      <c r="C774" s="10"/>
      <c r="E774" s="8">
        <f t="shared" si="4"/>
        <v>6</v>
      </c>
      <c r="F774" s="10"/>
      <c r="G774" s="11"/>
      <c r="H774" s="12"/>
      <c r="I774" s="10"/>
      <c r="J774" s="11"/>
      <c r="K774" s="12"/>
    </row>
    <row r="775" spans="1:13">
      <c r="A775" s="8">
        <f t="shared" si="3"/>
        <v>7</v>
      </c>
      <c r="C775" s="10"/>
      <c r="E775" s="8">
        <f t="shared" si="4"/>
        <v>7</v>
      </c>
      <c r="F775" s="10"/>
      <c r="G775" s="11"/>
      <c r="H775" s="12"/>
      <c r="I775" s="10"/>
      <c r="J775" s="11"/>
      <c r="K775" s="12"/>
    </row>
    <row r="776" spans="1:13">
      <c r="A776" s="8">
        <f t="shared" si="3"/>
        <v>8</v>
      </c>
      <c r="C776" s="10"/>
      <c r="E776" s="8">
        <f t="shared" si="4"/>
        <v>8</v>
      </c>
      <c r="F776" s="10"/>
      <c r="G776" s="11"/>
      <c r="H776" s="12"/>
      <c r="I776" s="10"/>
      <c r="J776" s="11"/>
      <c r="K776" s="12"/>
    </row>
    <row r="777" spans="1:13">
      <c r="A777" s="8">
        <f t="shared" si="3"/>
        <v>9</v>
      </c>
      <c r="C777" s="10"/>
      <c r="E777" s="8">
        <f t="shared" si="4"/>
        <v>9</v>
      </c>
      <c r="F777" s="10"/>
      <c r="G777" s="11"/>
      <c r="H777" s="12"/>
      <c r="I777" s="10"/>
      <c r="J777" s="11"/>
      <c r="K777" s="12"/>
    </row>
    <row r="778" spans="1:13">
      <c r="A778" s="8">
        <f t="shared" si="3"/>
        <v>10</v>
      </c>
      <c r="C778" s="10"/>
      <c r="E778" s="8">
        <f t="shared" si="4"/>
        <v>10</v>
      </c>
      <c r="F778" s="10"/>
      <c r="G778" s="11"/>
      <c r="H778" s="12"/>
      <c r="I778" s="10"/>
      <c r="J778" s="11"/>
      <c r="K778" s="12"/>
    </row>
    <row r="779" spans="1:13">
      <c r="A779" s="8">
        <f t="shared" si="3"/>
        <v>11</v>
      </c>
      <c r="C779" s="10"/>
      <c r="E779" s="8">
        <f t="shared" si="4"/>
        <v>11</v>
      </c>
      <c r="G779" s="11"/>
      <c r="H779" s="12"/>
      <c r="I779" s="10"/>
      <c r="J779" s="11"/>
      <c r="K779" s="12"/>
    </row>
    <row r="780" spans="1:13">
      <c r="A780" s="8">
        <f t="shared" si="3"/>
        <v>12</v>
      </c>
      <c r="C780" s="10"/>
      <c r="E780" s="8">
        <f t="shared" si="4"/>
        <v>12</v>
      </c>
      <c r="G780" s="11"/>
      <c r="H780" s="12"/>
      <c r="I780" s="10"/>
      <c r="J780" s="11"/>
      <c r="K780" s="12"/>
    </row>
    <row r="781" spans="1:13">
      <c r="A781" s="8">
        <f t="shared" si="3"/>
        <v>13</v>
      </c>
      <c r="C781" s="10"/>
      <c r="E781" s="8">
        <f t="shared" si="4"/>
        <v>13</v>
      </c>
      <c r="F781" s="10"/>
      <c r="G781" s="11"/>
      <c r="H781" s="12"/>
      <c r="I781" s="10"/>
      <c r="J781" s="11"/>
      <c r="K781" s="12"/>
    </row>
    <row r="782" spans="1:13">
      <c r="A782" s="8">
        <f t="shared" si="3"/>
        <v>14</v>
      </c>
      <c r="C782" s="10"/>
      <c r="E782" s="8">
        <f t="shared" si="4"/>
        <v>14</v>
      </c>
      <c r="F782" s="10"/>
      <c r="G782" s="11"/>
      <c r="H782" s="12"/>
      <c r="I782" s="10"/>
      <c r="J782" s="11"/>
      <c r="K782" s="12"/>
    </row>
    <row r="783" spans="1:13">
      <c r="A783" s="8">
        <f t="shared" si="3"/>
        <v>15</v>
      </c>
      <c r="C783" s="10"/>
      <c r="E783" s="8">
        <f t="shared" si="4"/>
        <v>15</v>
      </c>
      <c r="F783" s="10"/>
      <c r="G783" s="11"/>
      <c r="H783" s="12"/>
      <c r="I783" s="10"/>
      <c r="J783" s="11"/>
      <c r="K783" s="12"/>
    </row>
    <row r="784" spans="1:13">
      <c r="A784" s="8">
        <f t="shared" si="3"/>
        <v>16</v>
      </c>
      <c r="C784" s="10"/>
      <c r="E784" s="8">
        <f t="shared" si="4"/>
        <v>16</v>
      </c>
      <c r="F784" s="10"/>
      <c r="G784" s="11"/>
      <c r="H784" s="12"/>
      <c r="I784" s="10"/>
      <c r="J784" s="11"/>
      <c r="K784" s="12"/>
    </row>
    <row r="785" spans="1:11">
      <c r="A785" s="8">
        <f t="shared" si="3"/>
        <v>17</v>
      </c>
      <c r="C785" s="10"/>
      <c r="E785" s="8">
        <f t="shared" si="4"/>
        <v>17</v>
      </c>
      <c r="F785" s="10"/>
      <c r="G785" s="11"/>
      <c r="H785" s="12"/>
      <c r="I785" s="10"/>
      <c r="J785" s="11"/>
      <c r="K785" s="12"/>
    </row>
    <row r="786" spans="1:11">
      <c r="A786" s="8">
        <f t="shared" si="3"/>
        <v>18</v>
      </c>
      <c r="C786" s="10"/>
      <c r="E786" s="8">
        <f t="shared" si="4"/>
        <v>18</v>
      </c>
      <c r="F786" s="10"/>
      <c r="G786" s="11"/>
      <c r="H786" s="12"/>
      <c r="I786" s="10"/>
      <c r="J786" s="11"/>
      <c r="K786" s="12"/>
    </row>
    <row r="787" spans="1:11">
      <c r="A787" s="8">
        <f t="shared" si="3"/>
        <v>19</v>
      </c>
      <c r="C787" s="10"/>
      <c r="E787" s="8">
        <f t="shared" si="4"/>
        <v>19</v>
      </c>
      <c r="F787" s="10"/>
      <c r="G787" s="11"/>
      <c r="H787" s="12"/>
      <c r="I787" s="10"/>
      <c r="J787" s="11"/>
      <c r="K787" s="12"/>
    </row>
    <row r="788" spans="1:11">
      <c r="A788" s="8">
        <v>20</v>
      </c>
      <c r="E788" s="8">
        <v>20</v>
      </c>
      <c r="F788" s="70"/>
      <c r="G788" s="20"/>
      <c r="H788" s="21"/>
      <c r="I788" s="70"/>
      <c r="J788" s="20"/>
      <c r="K788" s="21"/>
    </row>
    <row r="789" spans="1:11">
      <c r="A789" s="8">
        <v>21</v>
      </c>
      <c r="E789" s="8">
        <v>21</v>
      </c>
      <c r="F789" s="70"/>
      <c r="G789" s="20"/>
      <c r="H789" s="40"/>
      <c r="I789" s="70"/>
      <c r="J789" s="20"/>
      <c r="K789" s="40"/>
    </row>
    <row r="790" spans="1:11">
      <c r="A790" s="8">
        <v>22</v>
      </c>
      <c r="E790" s="8">
        <v>22</v>
      </c>
      <c r="G790" s="14"/>
      <c r="H790" s="40"/>
      <c r="J790" s="14"/>
      <c r="K790" s="40"/>
    </row>
    <row r="791" spans="1:11">
      <c r="A791" s="8">
        <v>23</v>
      </c>
      <c r="D791" s="87"/>
      <c r="E791" s="8">
        <v>23</v>
      </c>
      <c r="H791" s="40"/>
      <c r="K791" s="40"/>
    </row>
    <row r="792" spans="1:11">
      <c r="A792" s="8">
        <v>24</v>
      </c>
      <c r="D792" s="87"/>
      <c r="E792" s="8">
        <v>24</v>
      </c>
      <c r="H792" s="40"/>
      <c r="K792" s="40"/>
    </row>
    <row r="793" spans="1:11">
      <c r="F793" s="70" t="s">
        <v>6</v>
      </c>
      <c r="G793" s="20" t="s">
        <v>6</v>
      </c>
      <c r="H793" s="21"/>
      <c r="I793" s="70"/>
      <c r="J793" s="20"/>
      <c r="K793" s="21"/>
    </row>
    <row r="794" spans="1:11">
      <c r="A794" s="8">
        <v>25</v>
      </c>
      <c r="C794" s="9" t="s">
        <v>211</v>
      </c>
      <c r="E794" s="8">
        <v>25</v>
      </c>
      <c r="G794" s="107"/>
      <c r="H794" s="108">
        <f>SUM(H769:H792)</f>
        <v>9929496.8499999978</v>
      </c>
      <c r="I794" s="108"/>
      <c r="J794" s="107"/>
      <c r="K794" s="108">
        <f>SUM(K769:K792)</f>
        <v>10337081</v>
      </c>
    </row>
    <row r="795" spans="1:11">
      <c r="D795" s="87"/>
      <c r="F795" s="70" t="s">
        <v>6</v>
      </c>
      <c r="G795" s="20" t="s">
        <v>6</v>
      </c>
      <c r="H795" s="21"/>
      <c r="I795" s="70"/>
      <c r="J795" s="20"/>
      <c r="K795" s="21"/>
    </row>
    <row r="796" spans="1:11">
      <c r="F796" s="70"/>
      <c r="G796" s="20"/>
      <c r="H796" s="21"/>
      <c r="I796" s="70"/>
      <c r="J796" s="20"/>
      <c r="K796" s="21"/>
    </row>
    <row r="797" spans="1:11">
      <c r="C797" s="221" t="s">
        <v>236</v>
      </c>
      <c r="D797" s="221"/>
      <c r="E797" s="221"/>
      <c r="F797" s="221"/>
      <c r="G797" s="221"/>
      <c r="H797" s="221"/>
      <c r="I797" s="221"/>
      <c r="J797" s="221"/>
      <c r="K797" s="56"/>
    </row>
    <row r="798" spans="1:11">
      <c r="G798" s="14"/>
      <c r="H798" s="40"/>
      <c r="J798" s="14"/>
      <c r="K798" s="40"/>
    </row>
    <row r="799" spans="1:11">
      <c r="A799" s="9"/>
    </row>
    <row r="800" spans="1:11">
      <c r="A800" s="16" t="str">
        <f>$A$83</f>
        <v xml:space="preserve">Institution No.:  </v>
      </c>
      <c r="B800" s="36"/>
      <c r="C800" s="36"/>
      <c r="D800" s="36"/>
      <c r="E800" s="37"/>
      <c r="F800" s="36"/>
      <c r="G800" s="38"/>
      <c r="H800" s="39"/>
      <c r="I800" s="36"/>
      <c r="J800" s="38"/>
      <c r="K800" s="15" t="s">
        <v>212</v>
      </c>
    </row>
    <row r="801" spans="1:11">
      <c r="A801" s="229" t="s">
        <v>213</v>
      </c>
      <c r="B801" s="229"/>
      <c r="C801" s="229"/>
      <c r="D801" s="229"/>
      <c r="E801" s="229"/>
      <c r="F801" s="229"/>
      <c r="G801" s="229"/>
      <c r="H801" s="229"/>
      <c r="I801" s="229"/>
      <c r="J801" s="229"/>
      <c r="K801" s="229"/>
    </row>
    <row r="802" spans="1:11">
      <c r="A802" s="16" t="str">
        <f>$A$42</f>
        <v xml:space="preserve">NAME: </v>
      </c>
      <c r="C802" s="137" t="str">
        <f>$D$20</f>
        <v>University of Colorado</v>
      </c>
      <c r="G802" s="80"/>
      <c r="H802" s="40"/>
      <c r="J802" s="14"/>
      <c r="K802" s="18" t="str">
        <f>$K$3</f>
        <v>Date: October 09, 2017</v>
      </c>
    </row>
    <row r="803" spans="1:11">
      <c r="A803" s="19" t="s">
        <v>6</v>
      </c>
      <c r="B803" s="19" t="s">
        <v>6</v>
      </c>
      <c r="C803" s="19" t="s">
        <v>6</v>
      </c>
      <c r="D803" s="19" t="s">
        <v>6</v>
      </c>
      <c r="E803" s="19" t="s">
        <v>6</v>
      </c>
      <c r="F803" s="19" t="s">
        <v>6</v>
      </c>
      <c r="G803" s="20" t="s">
        <v>6</v>
      </c>
      <c r="H803" s="21" t="s">
        <v>6</v>
      </c>
      <c r="I803" s="19" t="s">
        <v>6</v>
      </c>
      <c r="J803" s="20" t="s">
        <v>6</v>
      </c>
      <c r="K803" s="21" t="s">
        <v>6</v>
      </c>
    </row>
    <row r="804" spans="1:11">
      <c r="A804" s="22" t="s">
        <v>7</v>
      </c>
      <c r="E804" s="22" t="s">
        <v>7</v>
      </c>
      <c r="F804" s="23"/>
      <c r="G804" s="24"/>
      <c r="H804" s="25" t="str">
        <f>H766</f>
        <v>2016-17</v>
      </c>
      <c r="I804" s="23"/>
      <c r="J804" s="24"/>
      <c r="K804" s="25" t="str">
        <f>K766</f>
        <v>2017-18</v>
      </c>
    </row>
    <row r="805" spans="1:11">
      <c r="A805" s="22" t="s">
        <v>9</v>
      </c>
      <c r="C805" s="26" t="s">
        <v>51</v>
      </c>
      <c r="E805" s="22" t="s">
        <v>9</v>
      </c>
      <c r="F805" s="23"/>
      <c r="G805" s="24" t="s">
        <v>11</v>
      </c>
      <c r="H805" s="25" t="s">
        <v>12</v>
      </c>
      <c r="I805" s="23"/>
      <c r="J805" s="24" t="s">
        <v>11</v>
      </c>
      <c r="K805" s="25" t="s">
        <v>13</v>
      </c>
    </row>
    <row r="806" spans="1:11">
      <c r="A806" s="19" t="s">
        <v>6</v>
      </c>
      <c r="B806" s="19" t="s">
        <v>6</v>
      </c>
      <c r="C806" s="19" t="s">
        <v>6</v>
      </c>
      <c r="D806" s="19" t="s">
        <v>6</v>
      </c>
      <c r="E806" s="19" t="s">
        <v>6</v>
      </c>
      <c r="F806" s="19" t="s">
        <v>6</v>
      </c>
      <c r="G806" s="20" t="s">
        <v>6</v>
      </c>
      <c r="H806" s="21" t="s">
        <v>6</v>
      </c>
      <c r="I806" s="19" t="s">
        <v>6</v>
      </c>
      <c r="J806" s="20" t="s">
        <v>6</v>
      </c>
      <c r="K806" s="21" t="s">
        <v>6</v>
      </c>
    </row>
    <row r="807" spans="1:11">
      <c r="A807" s="117">
        <v>1</v>
      </c>
      <c r="B807" s="126"/>
      <c r="C807" s="118" t="s">
        <v>227</v>
      </c>
      <c r="D807" s="126"/>
      <c r="E807" s="117">
        <v>1</v>
      </c>
      <c r="F807" s="126"/>
      <c r="G807" s="127"/>
      <c r="H807" s="128"/>
      <c r="I807" s="126"/>
      <c r="J807" s="127"/>
      <c r="K807" s="128"/>
    </row>
    <row r="808" spans="1:11">
      <c r="A808" s="117">
        <v>2</v>
      </c>
      <c r="B808" s="126"/>
      <c r="C808" s="118" t="s">
        <v>227</v>
      </c>
      <c r="D808" s="126"/>
      <c r="E808" s="117">
        <v>2</v>
      </c>
      <c r="F808" s="126"/>
      <c r="G808" s="127"/>
      <c r="H808" s="128"/>
      <c r="I808" s="126"/>
      <c r="J808" s="127"/>
      <c r="K808" s="128"/>
    </row>
    <row r="809" spans="1:11">
      <c r="A809" s="117">
        <v>3</v>
      </c>
      <c r="B809" s="118"/>
      <c r="C809" s="118" t="s">
        <v>227</v>
      </c>
      <c r="D809" s="118"/>
      <c r="E809" s="117">
        <v>3</v>
      </c>
      <c r="F809" s="119"/>
      <c r="G809" s="129"/>
      <c r="H809" s="124"/>
      <c r="I809" s="124"/>
      <c r="J809" s="129"/>
      <c r="K809" s="124"/>
    </row>
    <row r="810" spans="1:11">
      <c r="A810" s="117">
        <v>4</v>
      </c>
      <c r="B810" s="118"/>
      <c r="C810" s="118" t="s">
        <v>227</v>
      </c>
      <c r="D810" s="118"/>
      <c r="E810" s="117">
        <v>4</v>
      </c>
      <c r="F810" s="119"/>
      <c r="G810" s="129"/>
      <c r="H810" s="124"/>
      <c r="I810" s="124"/>
      <c r="J810" s="129"/>
      <c r="K810" s="124"/>
    </row>
    <row r="811" spans="1:11">
      <c r="A811" s="117">
        <v>5</v>
      </c>
      <c r="B811" s="118"/>
      <c r="C811" s="118" t="s">
        <v>227</v>
      </c>
      <c r="D811" s="118"/>
      <c r="E811" s="118">
        <v>5</v>
      </c>
      <c r="F811" s="118"/>
      <c r="G811" s="130"/>
      <c r="H811" s="131"/>
      <c r="I811" s="118"/>
      <c r="J811" s="130"/>
      <c r="K811" s="131"/>
    </row>
    <row r="812" spans="1:11">
      <c r="A812" s="8">
        <v>6</v>
      </c>
      <c r="C812" s="9" t="s">
        <v>170</v>
      </c>
      <c r="E812" s="8">
        <v>6</v>
      </c>
      <c r="F812" s="10"/>
      <c r="G812" s="153"/>
      <c r="H812" s="153">
        <v>0</v>
      </c>
      <c r="I812" s="110"/>
      <c r="J812" s="153"/>
      <c r="K812" s="153"/>
    </row>
    <row r="813" spans="1:11">
      <c r="A813" s="8">
        <v>7</v>
      </c>
      <c r="C813" s="9" t="s">
        <v>171</v>
      </c>
      <c r="E813" s="8">
        <v>7</v>
      </c>
      <c r="F813" s="10"/>
      <c r="G813" s="109"/>
      <c r="H813" s="156">
        <v>0</v>
      </c>
      <c r="I813" s="110"/>
      <c r="J813" s="109"/>
      <c r="K813" s="156"/>
    </row>
    <row r="814" spans="1:11">
      <c r="A814" s="8">
        <v>8</v>
      </c>
      <c r="C814" s="9" t="s">
        <v>214</v>
      </c>
      <c r="E814" s="8">
        <v>8</v>
      </c>
      <c r="F814" s="10"/>
      <c r="G814" s="153"/>
      <c r="H814" s="156">
        <v>0</v>
      </c>
      <c r="I814" s="110"/>
      <c r="J814" s="153"/>
      <c r="K814" s="156"/>
    </row>
    <row r="815" spans="1:11">
      <c r="A815" s="8">
        <v>9</v>
      </c>
      <c r="C815" s="9" t="s">
        <v>185</v>
      </c>
      <c r="E815" s="8">
        <v>9</v>
      </c>
      <c r="F815" s="10"/>
      <c r="G815" s="109">
        <f>SUM(G812:G814)</f>
        <v>0</v>
      </c>
      <c r="H815" s="109">
        <f>SUM(H812:H814)</f>
        <v>0</v>
      </c>
      <c r="I815" s="109"/>
      <c r="J815" s="109">
        <f>SUM(J812:J814)</f>
        <v>0</v>
      </c>
      <c r="K815" s="109">
        <f>SUM(K812:K814)</f>
        <v>0</v>
      </c>
    </row>
    <row r="816" spans="1:11">
      <c r="A816" s="8">
        <v>10</v>
      </c>
      <c r="C816" s="9"/>
      <c r="E816" s="8">
        <v>10</v>
      </c>
      <c r="F816" s="10"/>
      <c r="G816" s="109"/>
      <c r="H816" s="110"/>
      <c r="I816" s="110"/>
      <c r="J816" s="109"/>
      <c r="K816" s="110"/>
    </row>
    <row r="817" spans="1:11">
      <c r="A817" s="8">
        <v>11</v>
      </c>
      <c r="C817" s="9" t="s">
        <v>174</v>
      </c>
      <c r="E817" s="8">
        <v>11</v>
      </c>
      <c r="F817" s="10"/>
      <c r="G817" s="153"/>
      <c r="H817" s="156">
        <v>0</v>
      </c>
      <c r="I817" s="110"/>
      <c r="J817" s="153"/>
      <c r="K817" s="156"/>
    </row>
    <row r="818" spans="1:11">
      <c r="A818" s="8">
        <v>12</v>
      </c>
      <c r="C818" s="9" t="s">
        <v>175</v>
      </c>
      <c r="E818" s="8">
        <v>12</v>
      </c>
      <c r="F818" s="10"/>
      <c r="G818" s="109"/>
      <c r="H818" s="156">
        <v>0</v>
      </c>
      <c r="I818" s="110"/>
      <c r="J818" s="109"/>
      <c r="K818" s="156"/>
    </row>
    <row r="819" spans="1:11">
      <c r="A819" s="8">
        <v>13</v>
      </c>
      <c r="C819" s="9" t="s">
        <v>186</v>
      </c>
      <c r="E819" s="8">
        <v>13</v>
      </c>
      <c r="F819" s="10"/>
      <c r="G819" s="109">
        <f>SUM(G817:G818)</f>
        <v>0</v>
      </c>
      <c r="H819" s="109">
        <f>SUM(H817:H818)</f>
        <v>0</v>
      </c>
      <c r="I819" s="107"/>
      <c r="J819" s="109">
        <f>SUM(J817:J818)</f>
        <v>0</v>
      </c>
      <c r="K819" s="109">
        <f>SUM(K817:K818)</f>
        <v>0</v>
      </c>
    </row>
    <row r="820" spans="1:11">
      <c r="A820" s="8">
        <v>14</v>
      </c>
      <c r="E820" s="8">
        <v>14</v>
      </c>
      <c r="F820" s="10"/>
      <c r="G820" s="111"/>
      <c r="H820" s="110"/>
      <c r="I820" s="108"/>
      <c r="J820" s="111"/>
      <c r="K820" s="110"/>
    </row>
    <row r="821" spans="1:11">
      <c r="A821" s="8">
        <v>15</v>
      </c>
      <c r="C821" s="9" t="s">
        <v>177</v>
      </c>
      <c r="E821" s="8">
        <v>15</v>
      </c>
      <c r="G821" s="112">
        <f>SUM(G815+G819)</f>
        <v>0</v>
      </c>
      <c r="H821" s="108">
        <f>SUM(H815+H819)</f>
        <v>0</v>
      </c>
      <c r="I821" s="108"/>
      <c r="J821" s="112">
        <f>SUM(J815+J819)</f>
        <v>0</v>
      </c>
      <c r="K821" s="108">
        <f>SUM(K815+K819)</f>
        <v>0</v>
      </c>
    </row>
    <row r="822" spans="1:11">
      <c r="A822" s="8">
        <v>16</v>
      </c>
      <c r="E822" s="8">
        <v>16</v>
      </c>
      <c r="G822" s="112"/>
      <c r="H822" s="108"/>
      <c r="I822" s="108"/>
      <c r="J822" s="112"/>
      <c r="K822" s="108"/>
    </row>
    <row r="823" spans="1:11">
      <c r="A823" s="8">
        <v>17</v>
      </c>
      <c r="C823" s="9" t="s">
        <v>178</v>
      </c>
      <c r="E823" s="8">
        <v>17</v>
      </c>
      <c r="F823" s="10"/>
      <c r="G823" s="109"/>
      <c r="H823" s="156">
        <v>0</v>
      </c>
      <c r="I823" s="110"/>
      <c r="J823" s="109"/>
      <c r="K823" s="156"/>
    </row>
    <row r="824" spans="1:11">
      <c r="A824" s="8">
        <v>18</v>
      </c>
      <c r="E824" s="8">
        <v>18</v>
      </c>
      <c r="F824" s="10"/>
      <c r="G824" s="109"/>
      <c r="H824" s="110"/>
      <c r="I824" s="110"/>
      <c r="J824" s="109"/>
      <c r="K824" s="110"/>
    </row>
    <row r="825" spans="1:11">
      <c r="A825" s="8">
        <v>19</v>
      </c>
      <c r="C825" s="9" t="s">
        <v>179</v>
      </c>
      <c r="E825" s="8">
        <v>19</v>
      </c>
      <c r="F825" s="10"/>
      <c r="G825" s="109"/>
      <c r="H825" s="156">
        <v>0</v>
      </c>
      <c r="I825" s="110"/>
      <c r="J825" s="109"/>
      <c r="K825" s="156"/>
    </row>
    <row r="826" spans="1:11">
      <c r="A826" s="8">
        <v>20</v>
      </c>
      <c r="C826" s="81" t="s">
        <v>180</v>
      </c>
      <c r="E826" s="8">
        <v>20</v>
      </c>
      <c r="F826" s="10"/>
      <c r="G826" s="109"/>
      <c r="H826" s="156">
        <v>0</v>
      </c>
      <c r="I826" s="110"/>
      <c r="J826" s="109"/>
      <c r="K826" s="156"/>
    </row>
    <row r="827" spans="1:11">
      <c r="A827" s="8">
        <v>21</v>
      </c>
      <c r="C827" s="81"/>
      <c r="E827" s="8">
        <v>21</v>
      </c>
      <c r="F827" s="10"/>
      <c r="G827" s="109"/>
      <c r="H827" s="110"/>
      <c r="I827" s="110"/>
      <c r="J827" s="109"/>
      <c r="K827" s="110"/>
    </row>
    <row r="828" spans="1:11">
      <c r="A828" s="8">
        <v>22</v>
      </c>
      <c r="C828" s="9"/>
      <c r="E828" s="8">
        <v>22</v>
      </c>
      <c r="G828" s="109"/>
      <c r="H828" s="110"/>
      <c r="I828" s="110"/>
      <c r="J828" s="109"/>
      <c r="K828" s="110"/>
    </row>
    <row r="829" spans="1:11">
      <c r="A829" s="8">
        <v>23</v>
      </c>
      <c r="C829" s="9" t="s">
        <v>181</v>
      </c>
      <c r="E829" s="8">
        <v>23</v>
      </c>
      <c r="G829" s="109"/>
      <c r="H829" s="156">
        <v>0</v>
      </c>
      <c r="I829" s="110"/>
      <c r="J829" s="109"/>
      <c r="K829" s="156"/>
    </row>
    <row r="830" spans="1:11">
      <c r="A830" s="8">
        <v>24</v>
      </c>
      <c r="C830" s="9"/>
      <c r="E830" s="8">
        <v>24</v>
      </c>
      <c r="G830" s="109"/>
      <c r="H830" s="110"/>
      <c r="I830" s="110"/>
      <c r="J830" s="109"/>
      <c r="K830" s="110"/>
    </row>
    <row r="831" spans="1:11">
      <c r="A831" s="8"/>
      <c r="E831" s="8">
        <v>25</v>
      </c>
      <c r="F831" s="70" t="s">
        <v>6</v>
      </c>
      <c r="G831" s="83"/>
      <c r="H831" s="21"/>
      <c r="I831" s="70"/>
      <c r="J831" s="83"/>
      <c r="K831" s="21"/>
    </row>
    <row r="832" spans="1:11">
      <c r="A832" s="8">
        <v>25</v>
      </c>
      <c r="C832" s="9" t="s">
        <v>215</v>
      </c>
      <c r="E832" s="8"/>
      <c r="G832" s="108">
        <f>SUM(G821:G830)</f>
        <v>0</v>
      </c>
      <c r="H832" s="108">
        <f>SUM(H821:H830)</f>
        <v>0</v>
      </c>
      <c r="I832" s="113"/>
      <c r="J832" s="108">
        <f>SUM(J821:J830)</f>
        <v>0</v>
      </c>
      <c r="K832" s="108">
        <f>SUM(K821:K830)</f>
        <v>0</v>
      </c>
    </row>
    <row r="833" spans="1:11">
      <c r="F833" s="70" t="s">
        <v>6</v>
      </c>
      <c r="G833" s="20"/>
      <c r="H833" s="21"/>
      <c r="I833" s="70"/>
      <c r="J833" s="20"/>
      <c r="K833" s="21"/>
    </row>
    <row r="834" spans="1:11">
      <c r="A834" s="9"/>
      <c r="C834" s="137" t="s">
        <v>49</v>
      </c>
    </row>
    <row r="836" spans="1:11">
      <c r="A836" s="9"/>
      <c r="H836" s="40"/>
      <c r="K836" s="40"/>
    </row>
    <row r="837" spans="1:11">
      <c r="A837" s="16" t="str">
        <f>$A$83</f>
        <v xml:space="preserve">Institution No.:  </v>
      </c>
      <c r="B837" s="36"/>
      <c r="C837" s="36"/>
      <c r="D837" s="36"/>
      <c r="E837" s="37"/>
      <c r="F837" s="36"/>
      <c r="G837" s="38"/>
      <c r="H837" s="39"/>
      <c r="I837" s="36"/>
      <c r="J837" s="38"/>
      <c r="K837" s="15" t="s">
        <v>216</v>
      </c>
    </row>
    <row r="838" spans="1:11">
      <c r="A838" s="230" t="s">
        <v>217</v>
      </c>
      <c r="B838" s="230"/>
      <c r="C838" s="230"/>
      <c r="D838" s="230"/>
      <c r="E838" s="230"/>
      <c r="F838" s="230"/>
      <c r="G838" s="230"/>
      <c r="H838" s="230"/>
      <c r="I838" s="230"/>
      <c r="J838" s="230"/>
      <c r="K838" s="230"/>
    </row>
    <row r="839" spans="1:11">
      <c r="A839" s="16" t="str">
        <f>$A$42</f>
        <v xml:space="preserve">NAME: </v>
      </c>
      <c r="C839" s="137" t="str">
        <f>$D$20</f>
        <v>University of Colorado</v>
      </c>
      <c r="H839" s="88"/>
      <c r="J839" s="14"/>
      <c r="K839" s="18" t="str">
        <f>$K$3</f>
        <v>Date: October 09, 2017</v>
      </c>
    </row>
    <row r="840" spans="1:11">
      <c r="A840" s="19" t="s">
        <v>6</v>
      </c>
      <c r="B840" s="19" t="s">
        <v>6</v>
      </c>
      <c r="C840" s="19" t="s">
        <v>6</v>
      </c>
      <c r="D840" s="19" t="s">
        <v>6</v>
      </c>
      <c r="E840" s="19" t="s">
        <v>6</v>
      </c>
      <c r="F840" s="19" t="s">
        <v>6</v>
      </c>
      <c r="G840" s="20" t="s">
        <v>6</v>
      </c>
      <c r="H840" s="21" t="s">
        <v>6</v>
      </c>
      <c r="I840" s="19" t="s">
        <v>6</v>
      </c>
      <c r="J840" s="20" t="s">
        <v>6</v>
      </c>
      <c r="K840" s="21" t="s">
        <v>6</v>
      </c>
    </row>
    <row r="841" spans="1:11">
      <c r="A841" s="22" t="s">
        <v>7</v>
      </c>
      <c r="E841" s="22" t="s">
        <v>7</v>
      </c>
      <c r="F841" s="23"/>
      <c r="G841" s="24"/>
      <c r="H841" s="25" t="str">
        <f>+H804</f>
        <v>2016-17</v>
      </c>
      <c r="I841" s="23"/>
      <c r="J841" s="24"/>
      <c r="K841" s="25" t="str">
        <f>+K804</f>
        <v>2017-18</v>
      </c>
    </row>
    <row r="842" spans="1:11">
      <c r="A842" s="22" t="s">
        <v>9</v>
      </c>
      <c r="C842" s="26" t="s">
        <v>51</v>
      </c>
      <c r="E842" s="22" t="s">
        <v>9</v>
      </c>
      <c r="F842" s="23"/>
      <c r="G842" s="24"/>
      <c r="H842" s="25" t="s">
        <v>12</v>
      </c>
      <c r="I842" s="23"/>
      <c r="J842" s="24"/>
      <c r="K842" s="25" t="s">
        <v>13</v>
      </c>
    </row>
    <row r="843" spans="1:11">
      <c r="A843" s="19" t="s">
        <v>6</v>
      </c>
      <c r="B843" s="19" t="s">
        <v>6</v>
      </c>
      <c r="C843" s="19" t="s">
        <v>6</v>
      </c>
      <c r="D843" s="19" t="s">
        <v>6</v>
      </c>
      <c r="E843" s="19" t="s">
        <v>6</v>
      </c>
      <c r="F843" s="19" t="s">
        <v>6</v>
      </c>
      <c r="G843" s="20" t="s">
        <v>6</v>
      </c>
      <c r="H843" s="21" t="s">
        <v>6</v>
      </c>
      <c r="I843" s="19" t="s">
        <v>6</v>
      </c>
      <c r="J843" s="20" t="s">
        <v>6</v>
      </c>
      <c r="K843" s="21" t="s">
        <v>6</v>
      </c>
    </row>
    <row r="844" spans="1:11">
      <c r="A844" s="73">
        <v>1</v>
      </c>
      <c r="C844" s="137" t="s">
        <v>218</v>
      </c>
      <c r="E844" s="73">
        <v>1</v>
      </c>
      <c r="F844" s="10"/>
      <c r="G844" s="110"/>
      <c r="H844" s="156">
        <f>4567310.05+2000000</f>
        <v>6567310.0499999998</v>
      </c>
      <c r="I844" s="110"/>
      <c r="J844" s="110"/>
      <c r="K844" s="156">
        <f>6786620-367623.32</f>
        <v>6418996.6799999997</v>
      </c>
    </row>
    <row r="845" spans="1:11">
      <c r="A845" s="73">
        <v>2</v>
      </c>
      <c r="E845" s="73">
        <v>2</v>
      </c>
      <c r="F845" s="10"/>
      <c r="G845" s="110"/>
      <c r="H845" s="110"/>
      <c r="I845" s="110"/>
      <c r="J845" s="110"/>
      <c r="K845" s="110"/>
    </row>
    <row r="846" spans="1:11">
      <c r="A846" s="73">
        <v>3</v>
      </c>
      <c r="C846" s="10"/>
      <c r="E846" s="73">
        <v>3</v>
      </c>
      <c r="F846" s="10"/>
      <c r="G846" s="110"/>
      <c r="H846" s="110"/>
      <c r="I846" s="110"/>
      <c r="J846" s="110"/>
      <c r="K846" s="110"/>
    </row>
    <row r="847" spans="1:11">
      <c r="A847" s="73">
        <v>4</v>
      </c>
      <c r="C847" s="10"/>
      <c r="E847" s="73">
        <v>4</v>
      </c>
      <c r="F847" s="10"/>
      <c r="G847" s="110"/>
      <c r="H847" s="110"/>
      <c r="I847" s="110"/>
      <c r="J847" s="110"/>
      <c r="K847" s="110"/>
    </row>
    <row r="848" spans="1:11">
      <c r="A848" s="73">
        <v>5</v>
      </c>
      <c r="C848" s="9"/>
      <c r="E848" s="73">
        <v>5</v>
      </c>
      <c r="F848" s="10"/>
      <c r="G848" s="110"/>
      <c r="H848" s="110"/>
      <c r="I848" s="110"/>
      <c r="J848" s="110"/>
      <c r="K848" s="110"/>
    </row>
    <row r="849" spans="1:11">
      <c r="A849" s="73">
        <v>6</v>
      </c>
      <c r="C849" s="10"/>
      <c r="E849" s="73">
        <v>6</v>
      </c>
      <c r="F849" s="10"/>
      <c r="G849" s="110"/>
      <c r="H849" s="110"/>
      <c r="I849" s="110"/>
      <c r="J849" s="110"/>
      <c r="K849" s="110"/>
    </row>
    <row r="850" spans="1:11">
      <c r="A850" s="73">
        <v>7</v>
      </c>
      <c r="C850" s="10"/>
      <c r="E850" s="73">
        <v>7</v>
      </c>
      <c r="F850" s="10"/>
      <c r="G850" s="110"/>
      <c r="H850" s="110"/>
      <c r="I850" s="110"/>
      <c r="J850" s="110"/>
      <c r="K850" s="110"/>
    </row>
    <row r="851" spans="1:11">
      <c r="A851" s="73">
        <v>8</v>
      </c>
      <c r="E851" s="73">
        <v>8</v>
      </c>
      <c r="F851" s="10"/>
      <c r="G851" s="110"/>
      <c r="H851" s="110"/>
      <c r="I851" s="110"/>
      <c r="J851" s="110"/>
      <c r="K851" s="110"/>
    </row>
    <row r="852" spans="1:11">
      <c r="A852" s="73">
        <v>9</v>
      </c>
      <c r="E852" s="73">
        <v>9</v>
      </c>
      <c r="F852" s="10"/>
      <c r="G852" s="110"/>
      <c r="H852" s="110"/>
      <c r="I852" s="110"/>
      <c r="J852" s="110"/>
      <c r="K852" s="110"/>
    </row>
    <row r="853" spans="1:11">
      <c r="A853" s="76"/>
      <c r="E853" s="76"/>
      <c r="F853" s="70" t="s">
        <v>6</v>
      </c>
      <c r="G853" s="86" t="s">
        <v>6</v>
      </c>
      <c r="H853" s="86"/>
      <c r="I853" s="86"/>
      <c r="J853" s="86"/>
      <c r="K853" s="86"/>
    </row>
    <row r="854" spans="1:11">
      <c r="A854" s="73">
        <v>10</v>
      </c>
      <c r="C854" s="137" t="s">
        <v>219</v>
      </c>
      <c r="E854" s="73">
        <v>10</v>
      </c>
      <c r="G854" s="107"/>
      <c r="H854" s="110">
        <f>SUM(H844:H852)</f>
        <v>6567310.0499999998</v>
      </c>
      <c r="I854" s="108"/>
      <c r="J854" s="107"/>
      <c r="K854" s="110">
        <f>SUM(K844:K852)</f>
        <v>6418996.6799999997</v>
      </c>
    </row>
    <row r="855" spans="1:11">
      <c r="A855" s="73"/>
      <c r="E855" s="73"/>
      <c r="F855" s="70" t="s">
        <v>6</v>
      </c>
      <c r="G855" s="86" t="s">
        <v>6</v>
      </c>
      <c r="H855" s="86"/>
      <c r="I855" s="86"/>
      <c r="J855" s="86"/>
      <c r="K855" s="86"/>
    </row>
    <row r="856" spans="1:11">
      <c r="A856" s="73">
        <v>11</v>
      </c>
      <c r="C856" s="10"/>
      <c r="E856" s="73">
        <v>11</v>
      </c>
      <c r="F856" s="10"/>
      <c r="G856" s="110"/>
      <c r="H856" s="110"/>
      <c r="I856" s="110"/>
      <c r="J856" s="110"/>
      <c r="K856" s="110"/>
    </row>
    <row r="857" spans="1:11">
      <c r="A857" s="73">
        <v>12</v>
      </c>
      <c r="C857" s="9" t="s">
        <v>220</v>
      </c>
      <c r="E857" s="73">
        <v>12</v>
      </c>
      <c r="F857" s="10"/>
      <c r="G857" s="110"/>
      <c r="H857" s="156">
        <f>8917040.1913-2000000-1-2000000</f>
        <v>4917039.1912999991</v>
      </c>
      <c r="I857" s="110"/>
      <c r="J857" s="110"/>
      <c r="K857" s="156">
        <f>-3938985.44+5135185-2000000+1300000+1000000</f>
        <v>1496199.56</v>
      </c>
    </row>
    <row r="858" spans="1:11">
      <c r="A858" s="73">
        <v>13</v>
      </c>
      <c r="C858" s="10" t="s">
        <v>221</v>
      </c>
      <c r="E858" s="73">
        <v>13</v>
      </c>
      <c r="F858" s="10"/>
      <c r="G858" s="110"/>
      <c r="H858" s="156">
        <f>-0.31+1.02</f>
        <v>0.71</v>
      </c>
      <c r="I858" s="110"/>
      <c r="J858" s="110"/>
      <c r="K858" s="156">
        <v>0.02</v>
      </c>
    </row>
    <row r="859" spans="1:11">
      <c r="A859" s="73">
        <v>14</v>
      </c>
      <c r="E859" s="73">
        <v>14</v>
      </c>
      <c r="F859" s="10"/>
      <c r="G859" s="110"/>
      <c r="H859" s="110"/>
      <c r="I859" s="110"/>
      <c r="J859" s="110"/>
      <c r="K859" s="110"/>
    </row>
    <row r="860" spans="1:11">
      <c r="A860" s="73">
        <v>15</v>
      </c>
      <c r="E860" s="73">
        <v>15</v>
      </c>
      <c r="F860" s="10"/>
      <c r="G860" s="110"/>
      <c r="H860" s="110"/>
      <c r="I860" s="110"/>
      <c r="J860" s="110"/>
      <c r="K860" s="110"/>
    </row>
    <row r="861" spans="1:11">
      <c r="A861" s="73">
        <v>16</v>
      </c>
      <c r="E861" s="73">
        <v>16</v>
      </c>
      <c r="F861" s="10"/>
      <c r="G861" s="110"/>
      <c r="H861" s="110"/>
      <c r="I861" s="110"/>
      <c r="J861" s="110"/>
      <c r="K861" s="110"/>
    </row>
    <row r="862" spans="1:11">
      <c r="A862" s="73">
        <v>17</v>
      </c>
      <c r="C862" s="74"/>
      <c r="D862" s="75"/>
      <c r="E862" s="73">
        <v>17</v>
      </c>
      <c r="F862" s="10"/>
      <c r="G862" s="110"/>
      <c r="H862" s="110"/>
      <c r="I862" s="110"/>
      <c r="J862" s="110"/>
      <c r="K862" s="110"/>
    </row>
    <row r="863" spans="1:11">
      <c r="A863" s="73">
        <v>18</v>
      </c>
      <c r="C863" s="75"/>
      <c r="D863" s="75"/>
      <c r="E863" s="73">
        <v>18</v>
      </c>
      <c r="F863" s="10"/>
      <c r="G863" s="110"/>
      <c r="H863" s="110"/>
      <c r="I863" s="110"/>
      <c r="J863" s="110"/>
      <c r="K863" s="110"/>
    </row>
    <row r="864" spans="1:11">
      <c r="A864" s="73"/>
      <c r="C864" s="89"/>
      <c r="D864" s="75"/>
      <c r="E864" s="73"/>
      <c r="F864" s="70" t="s">
        <v>6</v>
      </c>
      <c r="G864" s="20" t="s">
        <v>6</v>
      </c>
      <c r="H864" s="21"/>
      <c r="I864" s="70"/>
      <c r="J864" s="20"/>
      <c r="K864" s="21"/>
    </row>
    <row r="865" spans="1:11">
      <c r="A865" s="73">
        <v>19</v>
      </c>
      <c r="C865" s="137" t="s">
        <v>222</v>
      </c>
      <c r="D865" s="75"/>
      <c r="E865" s="73">
        <v>19</v>
      </c>
      <c r="G865" s="108"/>
      <c r="H865" s="108">
        <f>SUM(H856:H863)</f>
        <v>4917039.9012999991</v>
      </c>
      <c r="I865" s="110"/>
      <c r="J865" s="110"/>
      <c r="K865" s="108">
        <f>SUM(K856:K863)</f>
        <v>1496199.58</v>
      </c>
    </row>
    <row r="866" spans="1:11">
      <c r="A866" s="73"/>
      <c r="C866" s="89"/>
      <c r="D866" s="75"/>
      <c r="E866" s="73"/>
      <c r="F866" s="70" t="s">
        <v>6</v>
      </c>
      <c r="G866" s="20" t="s">
        <v>6</v>
      </c>
      <c r="H866" s="21"/>
      <c r="I866" s="70"/>
      <c r="J866" s="20"/>
      <c r="K866" s="21"/>
    </row>
    <row r="867" spans="1:11">
      <c r="A867" s="73"/>
      <c r="C867" s="75"/>
      <c r="D867" s="75"/>
      <c r="E867" s="73"/>
      <c r="H867" s="12"/>
    </row>
    <row r="868" spans="1:11">
      <c r="A868" s="73">
        <v>20</v>
      </c>
      <c r="C868" s="9" t="s">
        <v>223</v>
      </c>
      <c r="E868" s="73">
        <v>20</v>
      </c>
      <c r="G868" s="107"/>
      <c r="H868" s="108">
        <f>SUM(H854,H865)</f>
        <v>11484349.951299999</v>
      </c>
      <c r="I868" s="108"/>
      <c r="J868" s="107"/>
      <c r="K868" s="108">
        <f>SUM(K854,K865)</f>
        <v>7915196.2599999998</v>
      </c>
    </row>
    <row r="869" spans="1:11">
      <c r="C869" s="31" t="s">
        <v>224</v>
      </c>
      <c r="E869" s="35"/>
      <c r="F869" s="70" t="s">
        <v>6</v>
      </c>
      <c r="G869" s="20" t="s">
        <v>6</v>
      </c>
      <c r="H869" s="21"/>
      <c r="I869" s="70"/>
      <c r="J869" s="20"/>
      <c r="K869" s="21"/>
    </row>
    <row r="870" spans="1:11">
      <c r="C870" s="9" t="s">
        <v>38</v>
      </c>
    </row>
    <row r="871" spans="1:11">
      <c r="D871" s="9"/>
      <c r="G871" s="14"/>
      <c r="H871" s="40"/>
      <c r="I871" s="61"/>
      <c r="J871" s="14"/>
      <c r="K871" s="40"/>
    </row>
    <row r="872" spans="1:11">
      <c r="D872" s="9"/>
      <c r="G872" s="14"/>
      <c r="H872" s="40"/>
      <c r="I872" s="61"/>
      <c r="J872" s="14"/>
      <c r="K872" s="40"/>
    </row>
    <row r="873" spans="1:11">
      <c r="D873" s="9"/>
      <c r="G873" s="14"/>
      <c r="H873" s="40"/>
      <c r="I873" s="61"/>
      <c r="J873" s="14"/>
      <c r="K873" s="40"/>
    </row>
    <row r="874" spans="1:11">
      <c r="D874" s="9"/>
      <c r="G874" s="14"/>
      <c r="H874" s="40"/>
      <c r="I874" s="61"/>
      <c r="J874" s="14"/>
      <c r="K874" s="40"/>
    </row>
    <row r="875" spans="1:11">
      <c r="D875" s="9"/>
      <c r="G875" s="14"/>
      <c r="H875" s="40"/>
      <c r="I875" s="61"/>
      <c r="J875" s="14"/>
      <c r="K875" s="40"/>
    </row>
    <row r="876" spans="1:11">
      <c r="D876" s="9"/>
      <c r="G876" s="14"/>
      <c r="H876" s="40"/>
      <c r="I876" s="61"/>
      <c r="J876" s="14"/>
      <c r="K876" s="40"/>
    </row>
    <row r="877" spans="1:11">
      <c r="D877" s="9"/>
      <c r="G877" s="14"/>
      <c r="H877" s="40"/>
      <c r="I877" s="61"/>
      <c r="J877" s="14"/>
      <c r="K877" s="40"/>
    </row>
    <row r="878" spans="1:11">
      <c r="D878" s="9"/>
      <c r="G878" s="14"/>
      <c r="H878" s="40"/>
      <c r="I878" s="61"/>
      <c r="J878" s="14"/>
      <c r="K878" s="40"/>
    </row>
    <row r="879" spans="1:11">
      <c r="D879" s="9"/>
      <c r="G879" s="14"/>
      <c r="H879" s="40"/>
      <c r="I879" s="61"/>
      <c r="J879" s="14"/>
      <c r="K879" s="40"/>
    </row>
    <row r="880" spans="1:11">
      <c r="D880" s="9"/>
      <c r="G880" s="14"/>
      <c r="H880" s="40"/>
      <c r="I880" s="61"/>
      <c r="J880" s="14"/>
      <c r="K880" s="40"/>
    </row>
    <row r="881" spans="4:11">
      <c r="D881" s="9"/>
      <c r="G881" s="14"/>
      <c r="H881" s="40"/>
      <c r="I881" s="61"/>
      <c r="J881" s="14"/>
      <c r="K881" s="40"/>
    </row>
    <row r="882" spans="4:11">
      <c r="D882" s="9"/>
      <c r="G882" s="14"/>
      <c r="H882" s="40"/>
      <c r="I882" s="61"/>
      <c r="J882" s="14"/>
      <c r="K882" s="40"/>
    </row>
    <row r="883" spans="4:11">
      <c r="D883" s="9"/>
      <c r="G883" s="14"/>
      <c r="H883" s="40"/>
      <c r="I883" s="61"/>
      <c r="J883" s="14"/>
      <c r="K883" s="40"/>
    </row>
    <row r="884" spans="4:11">
      <c r="D884" s="9"/>
      <c r="G884" s="14"/>
      <c r="H884" s="40"/>
      <c r="I884" s="61"/>
      <c r="J884" s="14"/>
      <c r="K884" s="40"/>
    </row>
    <row r="885" spans="4:11">
      <c r="D885" s="9"/>
      <c r="G885" s="14"/>
      <c r="H885" s="40"/>
      <c r="I885" s="61"/>
      <c r="J885" s="14"/>
      <c r="K885" s="40"/>
    </row>
    <row r="886" spans="4:11">
      <c r="D886" s="9"/>
      <c r="G886" s="14"/>
      <c r="H886" s="40"/>
      <c r="I886" s="61"/>
      <c r="J886" s="14"/>
      <c r="K886" s="40"/>
    </row>
    <row r="887" spans="4:11">
      <c r="D887" s="9"/>
      <c r="G887" s="14"/>
      <c r="H887" s="40"/>
      <c r="I887" s="61"/>
      <c r="J887" s="14"/>
      <c r="K887" s="40"/>
    </row>
    <row r="888" spans="4:11">
      <c r="D888" s="9"/>
      <c r="G888" s="14"/>
      <c r="H888" s="40"/>
      <c r="I888" s="61"/>
      <c r="J888" s="14"/>
      <c r="K888" s="40"/>
    </row>
    <row r="889" spans="4:11">
      <c r="D889" s="9"/>
      <c r="G889" s="14"/>
      <c r="H889" s="40"/>
      <c r="I889" s="61"/>
      <c r="J889" s="14"/>
      <c r="K889" s="40"/>
    </row>
    <row r="890" spans="4:11">
      <c r="D890" s="9"/>
      <c r="G890" s="14"/>
      <c r="H890" s="40"/>
      <c r="I890" s="61"/>
      <c r="J890" s="14"/>
      <c r="K890" s="40"/>
    </row>
    <row r="891" spans="4:11">
      <c r="D891" s="9"/>
      <c r="G891" s="14"/>
      <c r="H891" s="40"/>
      <c r="I891" s="61"/>
      <c r="J891" s="14"/>
      <c r="K891" s="40"/>
    </row>
    <row r="892" spans="4:11">
      <c r="D892" s="9"/>
      <c r="G892" s="14"/>
      <c r="H892" s="40"/>
      <c r="I892" s="61"/>
      <c r="J892" s="14"/>
      <c r="K892" s="40"/>
    </row>
    <row r="893" spans="4:11">
      <c r="D893" s="9"/>
      <c r="G893" s="14"/>
      <c r="H893" s="40"/>
      <c r="I893" s="61"/>
      <c r="J893" s="14"/>
      <c r="K893" s="40"/>
    </row>
    <row r="894" spans="4:11">
      <c r="D894" s="9"/>
      <c r="G894" s="14"/>
      <c r="H894" s="40"/>
      <c r="I894" s="61"/>
      <c r="J894" s="14"/>
      <c r="K894" s="40"/>
    </row>
    <row r="895" spans="4:11">
      <c r="D895" s="9"/>
      <c r="G895" s="14"/>
      <c r="H895" s="40"/>
      <c r="I895" s="61"/>
      <c r="J895" s="14"/>
      <c r="K895" s="40"/>
    </row>
    <row r="934" spans="4:11">
      <c r="D934" s="23"/>
      <c r="F934" s="35"/>
      <c r="G934" s="14"/>
      <c r="H934" s="40"/>
      <c r="J934" s="14"/>
      <c r="K934" s="40"/>
    </row>
  </sheetData>
  <mergeCells count="28">
    <mergeCell ref="A41:K41"/>
    <mergeCell ref="A5:K5"/>
    <mergeCell ref="A8:K8"/>
    <mergeCell ref="A9:K9"/>
    <mergeCell ref="A20:C20"/>
    <mergeCell ref="A36:K36"/>
    <mergeCell ref="A502:K502"/>
    <mergeCell ref="C79:J79"/>
    <mergeCell ref="A84:K84"/>
    <mergeCell ref="C121:J121"/>
    <mergeCell ref="A128:K128"/>
    <mergeCell ref="C135:D135"/>
    <mergeCell ref="C139:D139"/>
    <mergeCell ref="A175:K175"/>
    <mergeCell ref="C213:I213"/>
    <mergeCell ref="B227:K227"/>
    <mergeCell ref="C321:J321"/>
    <mergeCell ref="A464:K464"/>
    <mergeCell ref="A763:K763"/>
    <mergeCell ref="C797:J797"/>
    <mergeCell ref="A801:K801"/>
    <mergeCell ref="A838:K838"/>
    <mergeCell ref="A541:K541"/>
    <mergeCell ref="A578:K578"/>
    <mergeCell ref="A615:K615"/>
    <mergeCell ref="A652:K652"/>
    <mergeCell ref="A689:K689"/>
    <mergeCell ref="A726:K726"/>
  </mergeCells>
  <printOptions horizontalCentered="1"/>
  <pageMargins left="0.17" right="0.17" top="0.47" bottom="0.53" header="0.5" footer="0.24"/>
  <pageSetup scale="70" fitToHeight="47" orientation="landscape" r:id="rId1"/>
  <headerFooter alignWithMargins="0"/>
  <rowBreaks count="20" manualBreakCount="20">
    <brk id="39" max="12" man="1"/>
    <brk id="82" max="12" man="1"/>
    <brk id="124" max="12" man="1"/>
    <brk id="172" max="12" man="1"/>
    <brk id="224" max="12" man="1"/>
    <brk id="274" max="12" man="1"/>
    <brk id="323" max="10" man="1"/>
    <brk id="357" max="10" man="1"/>
    <brk id="408" max="12" man="1"/>
    <brk id="461" max="10" man="1"/>
    <brk id="499" max="10" man="1"/>
    <brk id="538" max="10" man="1"/>
    <brk id="575" max="10" man="1"/>
    <brk id="612" max="10" man="1"/>
    <brk id="649" max="10" man="1"/>
    <brk id="686" max="10" man="1"/>
    <brk id="723" max="10" man="1"/>
    <brk id="760" max="10" man="1"/>
    <brk id="798" max="10" man="1"/>
    <brk id="835" max="10"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syncVertical="1" syncRef="A82" transitionEvaluation="1">
    <tabColor theme="3" tint="0.39997558519241921"/>
  </sheetPr>
  <dimension ref="A2:IH934"/>
  <sheetViews>
    <sheetView showGridLines="0" view="pageBreakPreview" topLeftCell="A82" zoomScale="75" zoomScaleNormal="75" zoomScaleSheetLayoutView="75" workbookViewId="0">
      <selection activeCell="C394" sqref="C394"/>
    </sheetView>
  </sheetViews>
  <sheetFormatPr defaultColWidth="9.625" defaultRowHeight="12"/>
  <cols>
    <col min="1" max="1" width="4.625" style="137" customWidth="1"/>
    <col min="2" max="2" width="1.875" style="137" customWidth="1"/>
    <col min="3" max="3" width="30.625" style="137" customWidth="1"/>
    <col min="4" max="4" width="28.625" style="137" customWidth="1"/>
    <col min="5" max="5" width="8.125" style="137" customWidth="1"/>
    <col min="6" max="6" width="7.5" style="137" customWidth="1"/>
    <col min="7" max="7" width="14.875" style="2" customWidth="1"/>
    <col min="8" max="8" width="14.875" style="3" customWidth="1"/>
    <col min="9" max="9" width="13.625" style="137" customWidth="1"/>
    <col min="10" max="10" width="13.25" style="2" customWidth="1"/>
    <col min="11" max="11" width="19.875" style="3" customWidth="1"/>
    <col min="12" max="244" width="9.625" style="137"/>
    <col min="245" max="245" width="4.625" style="137" customWidth="1"/>
    <col min="246" max="246" width="1.875" style="137" customWidth="1"/>
    <col min="247" max="247" width="30.625" style="137" customWidth="1"/>
    <col min="248" max="248" width="28.625" style="137" customWidth="1"/>
    <col min="249" max="249" width="8.125" style="137" customWidth="1"/>
    <col min="250" max="250" width="7.5" style="137" customWidth="1"/>
    <col min="251" max="252" width="14.875" style="137" customWidth="1"/>
    <col min="253" max="253" width="6.625" style="137" customWidth="1"/>
    <col min="254" max="254" width="13.25" style="137" customWidth="1"/>
    <col min="255" max="255" width="17" style="137" customWidth="1"/>
    <col min="256" max="500" width="9.625" style="137"/>
    <col min="501" max="501" width="4.625" style="137" customWidth="1"/>
    <col min="502" max="502" width="1.875" style="137" customWidth="1"/>
    <col min="503" max="503" width="30.625" style="137" customWidth="1"/>
    <col min="504" max="504" width="28.625" style="137" customWidth="1"/>
    <col min="505" max="505" width="8.125" style="137" customWidth="1"/>
    <col min="506" max="506" width="7.5" style="137" customWidth="1"/>
    <col min="507" max="508" width="14.875" style="137" customWidth="1"/>
    <col min="509" max="509" width="6.625" style="137" customWidth="1"/>
    <col min="510" max="510" width="13.25" style="137" customWidth="1"/>
    <col min="511" max="511" width="17" style="137" customWidth="1"/>
    <col min="512" max="756" width="9.625" style="137"/>
    <col min="757" max="757" width="4.625" style="137" customWidth="1"/>
    <col min="758" max="758" width="1.875" style="137" customWidth="1"/>
    <col min="759" max="759" width="30.625" style="137" customWidth="1"/>
    <col min="760" max="760" width="28.625" style="137" customWidth="1"/>
    <col min="761" max="761" width="8.125" style="137" customWidth="1"/>
    <col min="762" max="762" width="7.5" style="137" customWidth="1"/>
    <col min="763" max="764" width="14.875" style="137" customWidth="1"/>
    <col min="765" max="765" width="6.625" style="137" customWidth="1"/>
    <col min="766" max="766" width="13.25" style="137" customWidth="1"/>
    <col min="767" max="767" width="17" style="137" customWidth="1"/>
    <col min="768" max="1012" width="9.625" style="137"/>
    <col min="1013" max="1013" width="4.625" style="137" customWidth="1"/>
    <col min="1014" max="1014" width="1.875" style="137" customWidth="1"/>
    <col min="1015" max="1015" width="30.625" style="137" customWidth="1"/>
    <col min="1016" max="1016" width="28.625" style="137" customWidth="1"/>
    <col min="1017" max="1017" width="8.125" style="137" customWidth="1"/>
    <col min="1018" max="1018" width="7.5" style="137" customWidth="1"/>
    <col min="1019" max="1020" width="14.875" style="137" customWidth="1"/>
    <col min="1021" max="1021" width="6.625" style="137" customWidth="1"/>
    <col min="1022" max="1022" width="13.25" style="137" customWidth="1"/>
    <col min="1023" max="1023" width="17" style="137" customWidth="1"/>
    <col min="1024" max="1268" width="9.625" style="137"/>
    <col min="1269" max="1269" width="4.625" style="137" customWidth="1"/>
    <col min="1270" max="1270" width="1.875" style="137" customWidth="1"/>
    <col min="1271" max="1271" width="30.625" style="137" customWidth="1"/>
    <col min="1272" max="1272" width="28.625" style="137" customWidth="1"/>
    <col min="1273" max="1273" width="8.125" style="137" customWidth="1"/>
    <col min="1274" max="1274" width="7.5" style="137" customWidth="1"/>
    <col min="1275" max="1276" width="14.875" style="137" customWidth="1"/>
    <col min="1277" max="1277" width="6.625" style="137" customWidth="1"/>
    <col min="1278" max="1278" width="13.25" style="137" customWidth="1"/>
    <col min="1279" max="1279" width="17" style="137" customWidth="1"/>
    <col min="1280" max="1524" width="9.625" style="137"/>
    <col min="1525" max="1525" width="4.625" style="137" customWidth="1"/>
    <col min="1526" max="1526" width="1.875" style="137" customWidth="1"/>
    <col min="1527" max="1527" width="30.625" style="137" customWidth="1"/>
    <col min="1528" max="1528" width="28.625" style="137" customWidth="1"/>
    <col min="1529" max="1529" width="8.125" style="137" customWidth="1"/>
    <col min="1530" max="1530" width="7.5" style="137" customWidth="1"/>
    <col min="1531" max="1532" width="14.875" style="137" customWidth="1"/>
    <col min="1533" max="1533" width="6.625" style="137" customWidth="1"/>
    <col min="1534" max="1534" width="13.25" style="137" customWidth="1"/>
    <col min="1535" max="1535" width="17" style="137" customWidth="1"/>
    <col min="1536" max="1780" width="9.625" style="137"/>
    <col min="1781" max="1781" width="4.625" style="137" customWidth="1"/>
    <col min="1782" max="1782" width="1.875" style="137" customWidth="1"/>
    <col min="1783" max="1783" width="30.625" style="137" customWidth="1"/>
    <col min="1784" max="1784" width="28.625" style="137" customWidth="1"/>
    <col min="1785" max="1785" width="8.125" style="137" customWidth="1"/>
    <col min="1786" max="1786" width="7.5" style="137" customWidth="1"/>
    <col min="1787" max="1788" width="14.875" style="137" customWidth="1"/>
    <col min="1789" max="1789" width="6.625" style="137" customWidth="1"/>
    <col min="1790" max="1790" width="13.25" style="137" customWidth="1"/>
    <col min="1791" max="1791" width="17" style="137" customWidth="1"/>
    <col min="1792" max="2036" width="9.625" style="137"/>
    <col min="2037" max="2037" width="4.625" style="137" customWidth="1"/>
    <col min="2038" max="2038" width="1.875" style="137" customWidth="1"/>
    <col min="2039" max="2039" width="30.625" style="137" customWidth="1"/>
    <col min="2040" max="2040" width="28.625" style="137" customWidth="1"/>
    <col min="2041" max="2041" width="8.125" style="137" customWidth="1"/>
    <col min="2042" max="2042" width="7.5" style="137" customWidth="1"/>
    <col min="2043" max="2044" width="14.875" style="137" customWidth="1"/>
    <col min="2045" max="2045" width="6.625" style="137" customWidth="1"/>
    <col min="2046" max="2046" width="13.25" style="137" customWidth="1"/>
    <col min="2047" max="2047" width="17" style="137" customWidth="1"/>
    <col min="2048" max="2292" width="9.625" style="137"/>
    <col min="2293" max="2293" width="4.625" style="137" customWidth="1"/>
    <col min="2294" max="2294" width="1.875" style="137" customWidth="1"/>
    <col min="2295" max="2295" width="30.625" style="137" customWidth="1"/>
    <col min="2296" max="2296" width="28.625" style="137" customWidth="1"/>
    <col min="2297" max="2297" width="8.125" style="137" customWidth="1"/>
    <col min="2298" max="2298" width="7.5" style="137" customWidth="1"/>
    <col min="2299" max="2300" width="14.875" style="137" customWidth="1"/>
    <col min="2301" max="2301" width="6.625" style="137" customWidth="1"/>
    <col min="2302" max="2302" width="13.25" style="137" customWidth="1"/>
    <col min="2303" max="2303" width="17" style="137" customWidth="1"/>
    <col min="2304" max="2548" width="9.625" style="137"/>
    <col min="2549" max="2549" width="4.625" style="137" customWidth="1"/>
    <col min="2550" max="2550" width="1.875" style="137" customWidth="1"/>
    <col min="2551" max="2551" width="30.625" style="137" customWidth="1"/>
    <col min="2552" max="2552" width="28.625" style="137" customWidth="1"/>
    <col min="2553" max="2553" width="8.125" style="137" customWidth="1"/>
    <col min="2554" max="2554" width="7.5" style="137" customWidth="1"/>
    <col min="2555" max="2556" width="14.875" style="137" customWidth="1"/>
    <col min="2557" max="2557" width="6.625" style="137" customWidth="1"/>
    <col min="2558" max="2558" width="13.25" style="137" customWidth="1"/>
    <col min="2559" max="2559" width="17" style="137" customWidth="1"/>
    <col min="2560" max="2804" width="9.625" style="137"/>
    <col min="2805" max="2805" width="4.625" style="137" customWidth="1"/>
    <col min="2806" max="2806" width="1.875" style="137" customWidth="1"/>
    <col min="2807" max="2807" width="30.625" style="137" customWidth="1"/>
    <col min="2808" max="2808" width="28.625" style="137" customWidth="1"/>
    <col min="2809" max="2809" width="8.125" style="137" customWidth="1"/>
    <col min="2810" max="2810" width="7.5" style="137" customWidth="1"/>
    <col min="2811" max="2812" width="14.875" style="137" customWidth="1"/>
    <col min="2813" max="2813" width="6.625" style="137" customWidth="1"/>
    <col min="2814" max="2814" width="13.25" style="137" customWidth="1"/>
    <col min="2815" max="2815" width="17" style="137" customWidth="1"/>
    <col min="2816" max="3060" width="9.625" style="137"/>
    <col min="3061" max="3061" width="4.625" style="137" customWidth="1"/>
    <col min="3062" max="3062" width="1.875" style="137" customWidth="1"/>
    <col min="3063" max="3063" width="30.625" style="137" customWidth="1"/>
    <col min="3064" max="3064" width="28.625" style="137" customWidth="1"/>
    <col min="3065" max="3065" width="8.125" style="137" customWidth="1"/>
    <col min="3066" max="3066" width="7.5" style="137" customWidth="1"/>
    <col min="3067" max="3068" width="14.875" style="137" customWidth="1"/>
    <col min="3069" max="3069" width="6.625" style="137" customWidth="1"/>
    <col min="3070" max="3070" width="13.25" style="137" customWidth="1"/>
    <col min="3071" max="3071" width="17" style="137" customWidth="1"/>
    <col min="3072" max="3316" width="9.625" style="137"/>
    <col min="3317" max="3317" width="4.625" style="137" customWidth="1"/>
    <col min="3318" max="3318" width="1.875" style="137" customWidth="1"/>
    <col min="3319" max="3319" width="30.625" style="137" customWidth="1"/>
    <col min="3320" max="3320" width="28.625" style="137" customWidth="1"/>
    <col min="3321" max="3321" width="8.125" style="137" customWidth="1"/>
    <col min="3322" max="3322" width="7.5" style="137" customWidth="1"/>
    <col min="3323" max="3324" width="14.875" style="137" customWidth="1"/>
    <col min="3325" max="3325" width="6.625" style="137" customWidth="1"/>
    <col min="3326" max="3326" width="13.25" style="137" customWidth="1"/>
    <col min="3327" max="3327" width="17" style="137" customWidth="1"/>
    <col min="3328" max="3572" width="9.625" style="137"/>
    <col min="3573" max="3573" width="4.625" style="137" customWidth="1"/>
    <col min="3574" max="3574" width="1.875" style="137" customWidth="1"/>
    <col min="3575" max="3575" width="30.625" style="137" customWidth="1"/>
    <col min="3576" max="3576" width="28.625" style="137" customWidth="1"/>
    <col min="3577" max="3577" width="8.125" style="137" customWidth="1"/>
    <col min="3578" max="3578" width="7.5" style="137" customWidth="1"/>
    <col min="3579" max="3580" width="14.875" style="137" customWidth="1"/>
    <col min="3581" max="3581" width="6.625" style="137" customWidth="1"/>
    <col min="3582" max="3582" width="13.25" style="137" customWidth="1"/>
    <col min="3583" max="3583" width="17" style="137" customWidth="1"/>
    <col min="3584" max="3828" width="9.625" style="137"/>
    <col min="3829" max="3829" width="4.625" style="137" customWidth="1"/>
    <col min="3830" max="3830" width="1.875" style="137" customWidth="1"/>
    <col min="3831" max="3831" width="30.625" style="137" customWidth="1"/>
    <col min="3832" max="3832" width="28.625" style="137" customWidth="1"/>
    <col min="3833" max="3833" width="8.125" style="137" customWidth="1"/>
    <col min="3834" max="3834" width="7.5" style="137" customWidth="1"/>
    <col min="3835" max="3836" width="14.875" style="137" customWidth="1"/>
    <col min="3837" max="3837" width="6.625" style="137" customWidth="1"/>
    <col min="3838" max="3838" width="13.25" style="137" customWidth="1"/>
    <col min="3839" max="3839" width="17" style="137" customWidth="1"/>
    <col min="3840" max="4084" width="9.625" style="137"/>
    <col min="4085" max="4085" width="4.625" style="137" customWidth="1"/>
    <col min="4086" max="4086" width="1.875" style="137" customWidth="1"/>
    <col min="4087" max="4087" width="30.625" style="137" customWidth="1"/>
    <col min="4088" max="4088" width="28.625" style="137" customWidth="1"/>
    <col min="4089" max="4089" width="8.125" style="137" customWidth="1"/>
    <col min="4090" max="4090" width="7.5" style="137" customWidth="1"/>
    <col min="4091" max="4092" width="14.875" style="137" customWidth="1"/>
    <col min="4093" max="4093" width="6.625" style="137" customWidth="1"/>
    <col min="4094" max="4094" width="13.25" style="137" customWidth="1"/>
    <col min="4095" max="4095" width="17" style="137" customWidth="1"/>
    <col min="4096" max="4340" width="9.625" style="137"/>
    <col min="4341" max="4341" width="4.625" style="137" customWidth="1"/>
    <col min="4342" max="4342" width="1.875" style="137" customWidth="1"/>
    <col min="4343" max="4343" width="30.625" style="137" customWidth="1"/>
    <col min="4344" max="4344" width="28.625" style="137" customWidth="1"/>
    <col min="4345" max="4345" width="8.125" style="137" customWidth="1"/>
    <col min="4346" max="4346" width="7.5" style="137" customWidth="1"/>
    <col min="4347" max="4348" width="14.875" style="137" customWidth="1"/>
    <col min="4349" max="4349" width="6.625" style="137" customWidth="1"/>
    <col min="4350" max="4350" width="13.25" style="137" customWidth="1"/>
    <col min="4351" max="4351" width="17" style="137" customWidth="1"/>
    <col min="4352" max="4596" width="9.625" style="137"/>
    <col min="4597" max="4597" width="4.625" style="137" customWidth="1"/>
    <col min="4598" max="4598" width="1.875" style="137" customWidth="1"/>
    <col min="4599" max="4599" width="30.625" style="137" customWidth="1"/>
    <col min="4600" max="4600" width="28.625" style="137" customWidth="1"/>
    <col min="4601" max="4601" width="8.125" style="137" customWidth="1"/>
    <col min="4602" max="4602" width="7.5" style="137" customWidth="1"/>
    <col min="4603" max="4604" width="14.875" style="137" customWidth="1"/>
    <col min="4605" max="4605" width="6.625" style="137" customWidth="1"/>
    <col min="4606" max="4606" width="13.25" style="137" customWidth="1"/>
    <col min="4607" max="4607" width="17" style="137" customWidth="1"/>
    <col min="4608" max="4852" width="9.625" style="137"/>
    <col min="4853" max="4853" width="4.625" style="137" customWidth="1"/>
    <col min="4854" max="4854" width="1.875" style="137" customWidth="1"/>
    <col min="4855" max="4855" width="30.625" style="137" customWidth="1"/>
    <col min="4856" max="4856" width="28.625" style="137" customWidth="1"/>
    <col min="4857" max="4857" width="8.125" style="137" customWidth="1"/>
    <col min="4858" max="4858" width="7.5" style="137" customWidth="1"/>
    <col min="4859" max="4860" width="14.875" style="137" customWidth="1"/>
    <col min="4861" max="4861" width="6.625" style="137" customWidth="1"/>
    <col min="4862" max="4862" width="13.25" style="137" customWidth="1"/>
    <col min="4863" max="4863" width="17" style="137" customWidth="1"/>
    <col min="4864" max="5108" width="9.625" style="137"/>
    <col min="5109" max="5109" width="4.625" style="137" customWidth="1"/>
    <col min="5110" max="5110" width="1.875" style="137" customWidth="1"/>
    <col min="5111" max="5111" width="30.625" style="137" customWidth="1"/>
    <col min="5112" max="5112" width="28.625" style="137" customWidth="1"/>
    <col min="5113" max="5113" width="8.125" style="137" customWidth="1"/>
    <col min="5114" max="5114" width="7.5" style="137" customWidth="1"/>
    <col min="5115" max="5116" width="14.875" style="137" customWidth="1"/>
    <col min="5117" max="5117" width="6.625" style="137" customWidth="1"/>
    <col min="5118" max="5118" width="13.25" style="137" customWidth="1"/>
    <col min="5119" max="5119" width="17" style="137" customWidth="1"/>
    <col min="5120" max="5364" width="9.625" style="137"/>
    <col min="5365" max="5365" width="4.625" style="137" customWidth="1"/>
    <col min="5366" max="5366" width="1.875" style="137" customWidth="1"/>
    <col min="5367" max="5367" width="30.625" style="137" customWidth="1"/>
    <col min="5368" max="5368" width="28.625" style="137" customWidth="1"/>
    <col min="5369" max="5369" width="8.125" style="137" customWidth="1"/>
    <col min="5370" max="5370" width="7.5" style="137" customWidth="1"/>
    <col min="5371" max="5372" width="14.875" style="137" customWidth="1"/>
    <col min="5373" max="5373" width="6.625" style="137" customWidth="1"/>
    <col min="5374" max="5374" width="13.25" style="137" customWidth="1"/>
    <col min="5375" max="5375" width="17" style="137" customWidth="1"/>
    <col min="5376" max="5620" width="9.625" style="137"/>
    <col min="5621" max="5621" width="4.625" style="137" customWidth="1"/>
    <col min="5622" max="5622" width="1.875" style="137" customWidth="1"/>
    <col min="5623" max="5623" width="30.625" style="137" customWidth="1"/>
    <col min="5624" max="5624" width="28.625" style="137" customWidth="1"/>
    <col min="5625" max="5625" width="8.125" style="137" customWidth="1"/>
    <col min="5626" max="5626" width="7.5" style="137" customWidth="1"/>
    <col min="5627" max="5628" width="14.875" style="137" customWidth="1"/>
    <col min="5629" max="5629" width="6.625" style="137" customWidth="1"/>
    <col min="5630" max="5630" width="13.25" style="137" customWidth="1"/>
    <col min="5631" max="5631" width="17" style="137" customWidth="1"/>
    <col min="5632" max="5876" width="9.625" style="137"/>
    <col min="5877" max="5877" width="4.625" style="137" customWidth="1"/>
    <col min="5878" max="5878" width="1.875" style="137" customWidth="1"/>
    <col min="5879" max="5879" width="30.625" style="137" customWidth="1"/>
    <col min="5880" max="5880" width="28.625" style="137" customWidth="1"/>
    <col min="5881" max="5881" width="8.125" style="137" customWidth="1"/>
    <col min="5882" max="5882" width="7.5" style="137" customWidth="1"/>
    <col min="5883" max="5884" width="14.875" style="137" customWidth="1"/>
    <col min="5885" max="5885" width="6.625" style="137" customWidth="1"/>
    <col min="5886" max="5886" width="13.25" style="137" customWidth="1"/>
    <col min="5887" max="5887" width="17" style="137" customWidth="1"/>
    <col min="5888" max="6132" width="9.625" style="137"/>
    <col min="6133" max="6133" width="4.625" style="137" customWidth="1"/>
    <col min="6134" max="6134" width="1.875" style="137" customWidth="1"/>
    <col min="6135" max="6135" width="30.625" style="137" customWidth="1"/>
    <col min="6136" max="6136" width="28.625" style="137" customWidth="1"/>
    <col min="6137" max="6137" width="8.125" style="137" customWidth="1"/>
    <col min="6138" max="6138" width="7.5" style="137" customWidth="1"/>
    <col min="6139" max="6140" width="14.875" style="137" customWidth="1"/>
    <col min="6141" max="6141" width="6.625" style="137" customWidth="1"/>
    <col min="6142" max="6142" width="13.25" style="137" customWidth="1"/>
    <col min="6143" max="6143" width="17" style="137" customWidth="1"/>
    <col min="6144" max="6388" width="9.625" style="137"/>
    <col min="6389" max="6389" width="4.625" style="137" customWidth="1"/>
    <col min="6390" max="6390" width="1.875" style="137" customWidth="1"/>
    <col min="6391" max="6391" width="30.625" style="137" customWidth="1"/>
    <col min="6392" max="6392" width="28.625" style="137" customWidth="1"/>
    <col min="6393" max="6393" width="8.125" style="137" customWidth="1"/>
    <col min="6394" max="6394" width="7.5" style="137" customWidth="1"/>
    <col min="6395" max="6396" width="14.875" style="137" customWidth="1"/>
    <col min="6397" max="6397" width="6.625" style="137" customWidth="1"/>
    <col min="6398" max="6398" width="13.25" style="137" customWidth="1"/>
    <col min="6399" max="6399" width="17" style="137" customWidth="1"/>
    <col min="6400" max="6644" width="9.625" style="137"/>
    <col min="6645" max="6645" width="4.625" style="137" customWidth="1"/>
    <col min="6646" max="6646" width="1.875" style="137" customWidth="1"/>
    <col min="6647" max="6647" width="30.625" style="137" customWidth="1"/>
    <col min="6648" max="6648" width="28.625" style="137" customWidth="1"/>
    <col min="6649" max="6649" width="8.125" style="137" customWidth="1"/>
    <col min="6650" max="6650" width="7.5" style="137" customWidth="1"/>
    <col min="6651" max="6652" width="14.875" style="137" customWidth="1"/>
    <col min="6653" max="6653" width="6.625" style="137" customWidth="1"/>
    <col min="6654" max="6654" width="13.25" style="137" customWidth="1"/>
    <col min="6655" max="6655" width="17" style="137" customWidth="1"/>
    <col min="6656" max="6900" width="9.625" style="137"/>
    <col min="6901" max="6901" width="4.625" style="137" customWidth="1"/>
    <col min="6902" max="6902" width="1.875" style="137" customWidth="1"/>
    <col min="6903" max="6903" width="30.625" style="137" customWidth="1"/>
    <col min="6904" max="6904" width="28.625" style="137" customWidth="1"/>
    <col min="6905" max="6905" width="8.125" style="137" customWidth="1"/>
    <col min="6906" max="6906" width="7.5" style="137" customWidth="1"/>
    <col min="6907" max="6908" width="14.875" style="137" customWidth="1"/>
    <col min="6909" max="6909" width="6.625" style="137" customWidth="1"/>
    <col min="6910" max="6910" width="13.25" style="137" customWidth="1"/>
    <col min="6911" max="6911" width="17" style="137" customWidth="1"/>
    <col min="6912" max="7156" width="9.625" style="137"/>
    <col min="7157" max="7157" width="4.625" style="137" customWidth="1"/>
    <col min="7158" max="7158" width="1.875" style="137" customWidth="1"/>
    <col min="7159" max="7159" width="30.625" style="137" customWidth="1"/>
    <col min="7160" max="7160" width="28.625" style="137" customWidth="1"/>
    <col min="7161" max="7161" width="8.125" style="137" customWidth="1"/>
    <col min="7162" max="7162" width="7.5" style="137" customWidth="1"/>
    <col min="7163" max="7164" width="14.875" style="137" customWidth="1"/>
    <col min="7165" max="7165" width="6.625" style="137" customWidth="1"/>
    <col min="7166" max="7166" width="13.25" style="137" customWidth="1"/>
    <col min="7167" max="7167" width="17" style="137" customWidth="1"/>
    <col min="7168" max="7412" width="9.625" style="137"/>
    <col min="7413" max="7413" width="4.625" style="137" customWidth="1"/>
    <col min="7414" max="7414" width="1.875" style="137" customWidth="1"/>
    <col min="7415" max="7415" width="30.625" style="137" customWidth="1"/>
    <col min="7416" max="7416" width="28.625" style="137" customWidth="1"/>
    <col min="7417" max="7417" width="8.125" style="137" customWidth="1"/>
    <col min="7418" max="7418" width="7.5" style="137" customWidth="1"/>
    <col min="7419" max="7420" width="14.875" style="137" customWidth="1"/>
    <col min="7421" max="7421" width="6.625" style="137" customWidth="1"/>
    <col min="7422" max="7422" width="13.25" style="137" customWidth="1"/>
    <col min="7423" max="7423" width="17" style="137" customWidth="1"/>
    <col min="7424" max="7668" width="9.625" style="137"/>
    <col min="7669" max="7669" width="4.625" style="137" customWidth="1"/>
    <col min="7670" max="7670" width="1.875" style="137" customWidth="1"/>
    <col min="7671" max="7671" width="30.625" style="137" customWidth="1"/>
    <col min="7672" max="7672" width="28.625" style="137" customWidth="1"/>
    <col min="7673" max="7673" width="8.125" style="137" customWidth="1"/>
    <col min="7674" max="7674" width="7.5" style="137" customWidth="1"/>
    <col min="7675" max="7676" width="14.875" style="137" customWidth="1"/>
    <col min="7677" max="7677" width="6.625" style="137" customWidth="1"/>
    <col min="7678" max="7678" width="13.25" style="137" customWidth="1"/>
    <col min="7679" max="7679" width="17" style="137" customWidth="1"/>
    <col min="7680" max="7924" width="9.625" style="137"/>
    <col min="7925" max="7925" width="4.625" style="137" customWidth="1"/>
    <col min="7926" max="7926" width="1.875" style="137" customWidth="1"/>
    <col min="7927" max="7927" width="30.625" style="137" customWidth="1"/>
    <col min="7928" max="7928" width="28.625" style="137" customWidth="1"/>
    <col min="7929" max="7929" width="8.125" style="137" customWidth="1"/>
    <col min="7930" max="7930" width="7.5" style="137" customWidth="1"/>
    <col min="7931" max="7932" width="14.875" style="137" customWidth="1"/>
    <col min="7933" max="7933" width="6.625" style="137" customWidth="1"/>
    <col min="7934" max="7934" width="13.25" style="137" customWidth="1"/>
    <col min="7935" max="7935" width="17" style="137" customWidth="1"/>
    <col min="7936" max="8180" width="9.625" style="137"/>
    <col min="8181" max="8181" width="4.625" style="137" customWidth="1"/>
    <col min="8182" max="8182" width="1.875" style="137" customWidth="1"/>
    <col min="8183" max="8183" width="30.625" style="137" customWidth="1"/>
    <col min="8184" max="8184" width="28.625" style="137" customWidth="1"/>
    <col min="8185" max="8185" width="8.125" style="137" customWidth="1"/>
    <col min="8186" max="8186" width="7.5" style="137" customWidth="1"/>
    <col min="8187" max="8188" width="14.875" style="137" customWidth="1"/>
    <col min="8189" max="8189" width="6.625" style="137" customWidth="1"/>
    <col min="8190" max="8190" width="13.25" style="137" customWidth="1"/>
    <col min="8191" max="8191" width="17" style="137" customWidth="1"/>
    <col min="8192" max="8436" width="9.625" style="137"/>
    <col min="8437" max="8437" width="4.625" style="137" customWidth="1"/>
    <col min="8438" max="8438" width="1.875" style="137" customWidth="1"/>
    <col min="8439" max="8439" width="30.625" style="137" customWidth="1"/>
    <col min="8440" max="8440" width="28.625" style="137" customWidth="1"/>
    <col min="8441" max="8441" width="8.125" style="137" customWidth="1"/>
    <col min="8442" max="8442" width="7.5" style="137" customWidth="1"/>
    <col min="8443" max="8444" width="14.875" style="137" customWidth="1"/>
    <col min="8445" max="8445" width="6.625" style="137" customWidth="1"/>
    <col min="8446" max="8446" width="13.25" style="137" customWidth="1"/>
    <col min="8447" max="8447" width="17" style="137" customWidth="1"/>
    <col min="8448" max="8692" width="9.625" style="137"/>
    <col min="8693" max="8693" width="4.625" style="137" customWidth="1"/>
    <col min="8694" max="8694" width="1.875" style="137" customWidth="1"/>
    <col min="8695" max="8695" width="30.625" style="137" customWidth="1"/>
    <col min="8696" max="8696" width="28.625" style="137" customWidth="1"/>
    <col min="8697" max="8697" width="8.125" style="137" customWidth="1"/>
    <col min="8698" max="8698" width="7.5" style="137" customWidth="1"/>
    <col min="8699" max="8700" width="14.875" style="137" customWidth="1"/>
    <col min="8701" max="8701" width="6.625" style="137" customWidth="1"/>
    <col min="8702" max="8702" width="13.25" style="137" customWidth="1"/>
    <col min="8703" max="8703" width="17" style="137" customWidth="1"/>
    <col min="8704" max="8948" width="9.625" style="137"/>
    <col min="8949" max="8949" width="4.625" style="137" customWidth="1"/>
    <col min="8950" max="8950" width="1.875" style="137" customWidth="1"/>
    <col min="8951" max="8951" width="30.625" style="137" customWidth="1"/>
    <col min="8952" max="8952" width="28.625" style="137" customWidth="1"/>
    <col min="8953" max="8953" width="8.125" style="137" customWidth="1"/>
    <col min="8954" max="8954" width="7.5" style="137" customWidth="1"/>
    <col min="8955" max="8956" width="14.875" style="137" customWidth="1"/>
    <col min="8957" max="8957" width="6.625" style="137" customWidth="1"/>
    <col min="8958" max="8958" width="13.25" style="137" customWidth="1"/>
    <col min="8959" max="8959" width="17" style="137" customWidth="1"/>
    <col min="8960" max="9204" width="9.625" style="137"/>
    <col min="9205" max="9205" width="4.625" style="137" customWidth="1"/>
    <col min="9206" max="9206" width="1.875" style="137" customWidth="1"/>
    <col min="9207" max="9207" width="30.625" style="137" customWidth="1"/>
    <col min="9208" max="9208" width="28.625" style="137" customWidth="1"/>
    <col min="9209" max="9209" width="8.125" style="137" customWidth="1"/>
    <col min="9210" max="9210" width="7.5" style="137" customWidth="1"/>
    <col min="9211" max="9212" width="14.875" style="137" customWidth="1"/>
    <col min="9213" max="9213" width="6.625" style="137" customWidth="1"/>
    <col min="9214" max="9214" width="13.25" style="137" customWidth="1"/>
    <col min="9215" max="9215" width="17" style="137" customWidth="1"/>
    <col min="9216" max="9460" width="9.625" style="137"/>
    <col min="9461" max="9461" width="4.625" style="137" customWidth="1"/>
    <col min="9462" max="9462" width="1.875" style="137" customWidth="1"/>
    <col min="9463" max="9463" width="30.625" style="137" customWidth="1"/>
    <col min="9464" max="9464" width="28.625" style="137" customWidth="1"/>
    <col min="9465" max="9465" width="8.125" style="137" customWidth="1"/>
    <col min="9466" max="9466" width="7.5" style="137" customWidth="1"/>
    <col min="9467" max="9468" width="14.875" style="137" customWidth="1"/>
    <col min="9469" max="9469" width="6.625" style="137" customWidth="1"/>
    <col min="9470" max="9470" width="13.25" style="137" customWidth="1"/>
    <col min="9471" max="9471" width="17" style="137" customWidth="1"/>
    <col min="9472" max="9716" width="9.625" style="137"/>
    <col min="9717" max="9717" width="4.625" style="137" customWidth="1"/>
    <col min="9718" max="9718" width="1.875" style="137" customWidth="1"/>
    <col min="9719" max="9719" width="30.625" style="137" customWidth="1"/>
    <col min="9720" max="9720" width="28.625" style="137" customWidth="1"/>
    <col min="9721" max="9721" width="8.125" style="137" customWidth="1"/>
    <col min="9722" max="9722" width="7.5" style="137" customWidth="1"/>
    <col min="9723" max="9724" width="14.875" style="137" customWidth="1"/>
    <col min="9725" max="9725" width="6.625" style="137" customWidth="1"/>
    <col min="9726" max="9726" width="13.25" style="137" customWidth="1"/>
    <col min="9727" max="9727" width="17" style="137" customWidth="1"/>
    <col min="9728" max="9972" width="9.625" style="137"/>
    <col min="9973" max="9973" width="4.625" style="137" customWidth="1"/>
    <col min="9974" max="9974" width="1.875" style="137" customWidth="1"/>
    <col min="9975" max="9975" width="30.625" style="137" customWidth="1"/>
    <col min="9976" max="9976" width="28.625" style="137" customWidth="1"/>
    <col min="9977" max="9977" width="8.125" style="137" customWidth="1"/>
    <col min="9978" max="9978" width="7.5" style="137" customWidth="1"/>
    <col min="9979" max="9980" width="14.875" style="137" customWidth="1"/>
    <col min="9981" max="9981" width="6.625" style="137" customWidth="1"/>
    <col min="9982" max="9982" width="13.25" style="137" customWidth="1"/>
    <col min="9983" max="9983" width="17" style="137" customWidth="1"/>
    <col min="9984" max="10228" width="9.625" style="137"/>
    <col min="10229" max="10229" width="4.625" style="137" customWidth="1"/>
    <col min="10230" max="10230" width="1.875" style="137" customWidth="1"/>
    <col min="10231" max="10231" width="30.625" style="137" customWidth="1"/>
    <col min="10232" max="10232" width="28.625" style="137" customWidth="1"/>
    <col min="10233" max="10233" width="8.125" style="137" customWidth="1"/>
    <col min="10234" max="10234" width="7.5" style="137" customWidth="1"/>
    <col min="10235" max="10236" width="14.875" style="137" customWidth="1"/>
    <col min="10237" max="10237" width="6.625" style="137" customWidth="1"/>
    <col min="10238" max="10238" width="13.25" style="137" customWidth="1"/>
    <col min="10239" max="10239" width="17" style="137" customWidth="1"/>
    <col min="10240" max="10484" width="9.625" style="137"/>
    <col min="10485" max="10485" width="4.625" style="137" customWidth="1"/>
    <col min="10486" max="10486" width="1.875" style="137" customWidth="1"/>
    <col min="10487" max="10487" width="30.625" style="137" customWidth="1"/>
    <col min="10488" max="10488" width="28.625" style="137" customWidth="1"/>
    <col min="10489" max="10489" width="8.125" style="137" customWidth="1"/>
    <col min="10490" max="10490" width="7.5" style="137" customWidth="1"/>
    <col min="10491" max="10492" width="14.875" style="137" customWidth="1"/>
    <col min="10493" max="10493" width="6.625" style="137" customWidth="1"/>
    <col min="10494" max="10494" width="13.25" style="137" customWidth="1"/>
    <col min="10495" max="10495" width="17" style="137" customWidth="1"/>
    <col min="10496" max="10740" width="9.625" style="137"/>
    <col min="10741" max="10741" width="4.625" style="137" customWidth="1"/>
    <col min="10742" max="10742" width="1.875" style="137" customWidth="1"/>
    <col min="10743" max="10743" width="30.625" style="137" customWidth="1"/>
    <col min="10744" max="10744" width="28.625" style="137" customWidth="1"/>
    <col min="10745" max="10745" width="8.125" style="137" customWidth="1"/>
    <col min="10746" max="10746" width="7.5" style="137" customWidth="1"/>
    <col min="10747" max="10748" width="14.875" style="137" customWidth="1"/>
    <col min="10749" max="10749" width="6.625" style="137" customWidth="1"/>
    <col min="10750" max="10750" width="13.25" style="137" customWidth="1"/>
    <col min="10751" max="10751" width="17" style="137" customWidth="1"/>
    <col min="10752" max="10996" width="9.625" style="137"/>
    <col min="10997" max="10997" width="4.625" style="137" customWidth="1"/>
    <col min="10998" max="10998" width="1.875" style="137" customWidth="1"/>
    <col min="10999" max="10999" width="30.625" style="137" customWidth="1"/>
    <col min="11000" max="11000" width="28.625" style="137" customWidth="1"/>
    <col min="11001" max="11001" width="8.125" style="137" customWidth="1"/>
    <col min="11002" max="11002" width="7.5" style="137" customWidth="1"/>
    <col min="11003" max="11004" width="14.875" style="137" customWidth="1"/>
    <col min="11005" max="11005" width="6.625" style="137" customWidth="1"/>
    <col min="11006" max="11006" width="13.25" style="137" customWidth="1"/>
    <col min="11007" max="11007" width="17" style="137" customWidth="1"/>
    <col min="11008" max="11252" width="9.625" style="137"/>
    <col min="11253" max="11253" width="4.625" style="137" customWidth="1"/>
    <col min="11254" max="11254" width="1.875" style="137" customWidth="1"/>
    <col min="11255" max="11255" width="30.625" style="137" customWidth="1"/>
    <col min="11256" max="11256" width="28.625" style="137" customWidth="1"/>
    <col min="11257" max="11257" width="8.125" style="137" customWidth="1"/>
    <col min="11258" max="11258" width="7.5" style="137" customWidth="1"/>
    <col min="11259" max="11260" width="14.875" style="137" customWidth="1"/>
    <col min="11261" max="11261" width="6.625" style="137" customWidth="1"/>
    <col min="11262" max="11262" width="13.25" style="137" customWidth="1"/>
    <col min="11263" max="11263" width="17" style="137" customWidth="1"/>
    <col min="11264" max="11508" width="9.625" style="137"/>
    <col min="11509" max="11509" width="4.625" style="137" customWidth="1"/>
    <col min="11510" max="11510" width="1.875" style="137" customWidth="1"/>
    <col min="11511" max="11511" width="30.625" style="137" customWidth="1"/>
    <col min="11512" max="11512" width="28.625" style="137" customWidth="1"/>
    <col min="11513" max="11513" width="8.125" style="137" customWidth="1"/>
    <col min="11514" max="11514" width="7.5" style="137" customWidth="1"/>
    <col min="11515" max="11516" width="14.875" style="137" customWidth="1"/>
    <col min="11517" max="11517" width="6.625" style="137" customWidth="1"/>
    <col min="11518" max="11518" width="13.25" style="137" customWidth="1"/>
    <col min="11519" max="11519" width="17" style="137" customWidth="1"/>
    <col min="11520" max="11764" width="9.625" style="137"/>
    <col min="11765" max="11765" width="4.625" style="137" customWidth="1"/>
    <col min="11766" max="11766" width="1.875" style="137" customWidth="1"/>
    <col min="11767" max="11767" width="30.625" style="137" customWidth="1"/>
    <col min="11768" max="11768" width="28.625" style="137" customWidth="1"/>
    <col min="11769" max="11769" width="8.125" style="137" customWidth="1"/>
    <col min="11770" max="11770" width="7.5" style="137" customWidth="1"/>
    <col min="11771" max="11772" width="14.875" style="137" customWidth="1"/>
    <col min="11773" max="11773" width="6.625" style="137" customWidth="1"/>
    <col min="11774" max="11774" width="13.25" style="137" customWidth="1"/>
    <col min="11775" max="11775" width="17" style="137" customWidth="1"/>
    <col min="11776" max="12020" width="9.625" style="137"/>
    <col min="12021" max="12021" width="4.625" style="137" customWidth="1"/>
    <col min="12022" max="12022" width="1.875" style="137" customWidth="1"/>
    <col min="12023" max="12023" width="30.625" style="137" customWidth="1"/>
    <col min="12024" max="12024" width="28.625" style="137" customWidth="1"/>
    <col min="12025" max="12025" width="8.125" style="137" customWidth="1"/>
    <col min="12026" max="12026" width="7.5" style="137" customWidth="1"/>
    <col min="12027" max="12028" width="14.875" style="137" customWidth="1"/>
    <col min="12029" max="12029" width="6.625" style="137" customWidth="1"/>
    <col min="12030" max="12030" width="13.25" style="137" customWidth="1"/>
    <col min="12031" max="12031" width="17" style="137" customWidth="1"/>
    <col min="12032" max="12276" width="9.625" style="137"/>
    <col min="12277" max="12277" width="4.625" style="137" customWidth="1"/>
    <col min="12278" max="12278" width="1.875" style="137" customWidth="1"/>
    <col min="12279" max="12279" width="30.625" style="137" customWidth="1"/>
    <col min="12280" max="12280" width="28.625" style="137" customWidth="1"/>
    <col min="12281" max="12281" width="8.125" style="137" customWidth="1"/>
    <col min="12282" max="12282" width="7.5" style="137" customWidth="1"/>
    <col min="12283" max="12284" width="14.875" style="137" customWidth="1"/>
    <col min="12285" max="12285" width="6.625" style="137" customWidth="1"/>
    <col min="12286" max="12286" width="13.25" style="137" customWidth="1"/>
    <col min="12287" max="12287" width="17" style="137" customWidth="1"/>
    <col min="12288" max="12532" width="9.625" style="137"/>
    <col min="12533" max="12533" width="4.625" style="137" customWidth="1"/>
    <col min="12534" max="12534" width="1.875" style="137" customWidth="1"/>
    <col min="12535" max="12535" width="30.625" style="137" customWidth="1"/>
    <col min="12536" max="12536" width="28.625" style="137" customWidth="1"/>
    <col min="12537" max="12537" width="8.125" style="137" customWidth="1"/>
    <col min="12538" max="12538" width="7.5" style="137" customWidth="1"/>
    <col min="12539" max="12540" width="14.875" style="137" customWidth="1"/>
    <col min="12541" max="12541" width="6.625" style="137" customWidth="1"/>
    <col min="12542" max="12542" width="13.25" style="137" customWidth="1"/>
    <col min="12543" max="12543" width="17" style="137" customWidth="1"/>
    <col min="12544" max="12788" width="9.625" style="137"/>
    <col min="12789" max="12789" width="4.625" style="137" customWidth="1"/>
    <col min="12790" max="12790" width="1.875" style="137" customWidth="1"/>
    <col min="12791" max="12791" width="30.625" style="137" customWidth="1"/>
    <col min="12792" max="12792" width="28.625" style="137" customWidth="1"/>
    <col min="12793" max="12793" width="8.125" style="137" customWidth="1"/>
    <col min="12794" max="12794" width="7.5" style="137" customWidth="1"/>
    <col min="12795" max="12796" width="14.875" style="137" customWidth="1"/>
    <col min="12797" max="12797" width="6.625" style="137" customWidth="1"/>
    <col min="12798" max="12798" width="13.25" style="137" customWidth="1"/>
    <col min="12799" max="12799" width="17" style="137" customWidth="1"/>
    <col min="12800" max="13044" width="9.625" style="137"/>
    <col min="13045" max="13045" width="4.625" style="137" customWidth="1"/>
    <col min="13046" max="13046" width="1.875" style="137" customWidth="1"/>
    <col min="13047" max="13047" width="30.625" style="137" customWidth="1"/>
    <col min="13048" max="13048" width="28.625" style="137" customWidth="1"/>
    <col min="13049" max="13049" width="8.125" style="137" customWidth="1"/>
    <col min="13050" max="13050" width="7.5" style="137" customWidth="1"/>
    <col min="13051" max="13052" width="14.875" style="137" customWidth="1"/>
    <col min="13053" max="13053" width="6.625" style="137" customWidth="1"/>
    <col min="13054" max="13054" width="13.25" style="137" customWidth="1"/>
    <col min="13055" max="13055" width="17" style="137" customWidth="1"/>
    <col min="13056" max="13300" width="9.625" style="137"/>
    <col min="13301" max="13301" width="4.625" style="137" customWidth="1"/>
    <col min="13302" max="13302" width="1.875" style="137" customWidth="1"/>
    <col min="13303" max="13303" width="30.625" style="137" customWidth="1"/>
    <col min="13304" max="13304" width="28.625" style="137" customWidth="1"/>
    <col min="13305" max="13305" width="8.125" style="137" customWidth="1"/>
    <col min="13306" max="13306" width="7.5" style="137" customWidth="1"/>
    <col min="13307" max="13308" width="14.875" style="137" customWidth="1"/>
    <col min="13309" max="13309" width="6.625" style="137" customWidth="1"/>
    <col min="13310" max="13310" width="13.25" style="137" customWidth="1"/>
    <col min="13311" max="13311" width="17" style="137" customWidth="1"/>
    <col min="13312" max="13556" width="9.625" style="137"/>
    <col min="13557" max="13557" width="4.625" style="137" customWidth="1"/>
    <col min="13558" max="13558" width="1.875" style="137" customWidth="1"/>
    <col min="13559" max="13559" width="30.625" style="137" customWidth="1"/>
    <col min="13560" max="13560" width="28.625" style="137" customWidth="1"/>
    <col min="13561" max="13561" width="8.125" style="137" customWidth="1"/>
    <col min="13562" max="13562" width="7.5" style="137" customWidth="1"/>
    <col min="13563" max="13564" width="14.875" style="137" customWidth="1"/>
    <col min="13565" max="13565" width="6.625" style="137" customWidth="1"/>
    <col min="13566" max="13566" width="13.25" style="137" customWidth="1"/>
    <col min="13567" max="13567" width="17" style="137" customWidth="1"/>
    <col min="13568" max="13812" width="9.625" style="137"/>
    <col min="13813" max="13813" width="4.625" style="137" customWidth="1"/>
    <col min="13814" max="13814" width="1.875" style="137" customWidth="1"/>
    <col min="13815" max="13815" width="30.625" style="137" customWidth="1"/>
    <col min="13816" max="13816" width="28.625" style="137" customWidth="1"/>
    <col min="13817" max="13817" width="8.125" style="137" customWidth="1"/>
    <col min="13818" max="13818" width="7.5" style="137" customWidth="1"/>
    <col min="13819" max="13820" width="14.875" style="137" customWidth="1"/>
    <col min="13821" max="13821" width="6.625" style="137" customWidth="1"/>
    <col min="13822" max="13822" width="13.25" style="137" customWidth="1"/>
    <col min="13823" max="13823" width="17" style="137" customWidth="1"/>
    <col min="13824" max="14068" width="9.625" style="137"/>
    <col min="14069" max="14069" width="4.625" style="137" customWidth="1"/>
    <col min="14070" max="14070" width="1.875" style="137" customWidth="1"/>
    <col min="14071" max="14071" width="30.625" style="137" customWidth="1"/>
    <col min="14072" max="14072" width="28.625" style="137" customWidth="1"/>
    <col min="14073" max="14073" width="8.125" style="137" customWidth="1"/>
    <col min="14074" max="14074" width="7.5" style="137" customWidth="1"/>
    <col min="14075" max="14076" width="14.875" style="137" customWidth="1"/>
    <col min="14077" max="14077" width="6.625" style="137" customWidth="1"/>
    <col min="14078" max="14078" width="13.25" style="137" customWidth="1"/>
    <col min="14079" max="14079" width="17" style="137" customWidth="1"/>
    <col min="14080" max="14324" width="9.625" style="137"/>
    <col min="14325" max="14325" width="4.625" style="137" customWidth="1"/>
    <col min="14326" max="14326" width="1.875" style="137" customWidth="1"/>
    <col min="14327" max="14327" width="30.625" style="137" customWidth="1"/>
    <col min="14328" max="14328" width="28.625" style="137" customWidth="1"/>
    <col min="14329" max="14329" width="8.125" style="137" customWidth="1"/>
    <col min="14330" max="14330" width="7.5" style="137" customWidth="1"/>
    <col min="14331" max="14332" width="14.875" style="137" customWidth="1"/>
    <col min="14333" max="14333" width="6.625" style="137" customWidth="1"/>
    <col min="14334" max="14334" width="13.25" style="137" customWidth="1"/>
    <col min="14335" max="14335" width="17" style="137" customWidth="1"/>
    <col min="14336" max="14580" width="9.625" style="137"/>
    <col min="14581" max="14581" width="4.625" style="137" customWidth="1"/>
    <col min="14582" max="14582" width="1.875" style="137" customWidth="1"/>
    <col min="14583" max="14583" width="30.625" style="137" customWidth="1"/>
    <col min="14584" max="14584" width="28.625" style="137" customWidth="1"/>
    <col min="14585" max="14585" width="8.125" style="137" customWidth="1"/>
    <col min="14586" max="14586" width="7.5" style="137" customWidth="1"/>
    <col min="14587" max="14588" width="14.875" style="137" customWidth="1"/>
    <col min="14589" max="14589" width="6.625" style="137" customWidth="1"/>
    <col min="14590" max="14590" width="13.25" style="137" customWidth="1"/>
    <col min="14591" max="14591" width="17" style="137" customWidth="1"/>
    <col min="14592" max="14836" width="9.625" style="137"/>
    <col min="14837" max="14837" width="4.625" style="137" customWidth="1"/>
    <col min="14838" max="14838" width="1.875" style="137" customWidth="1"/>
    <col min="14839" max="14839" width="30.625" style="137" customWidth="1"/>
    <col min="14840" max="14840" width="28.625" style="137" customWidth="1"/>
    <col min="14841" max="14841" width="8.125" style="137" customWidth="1"/>
    <col min="14842" max="14842" width="7.5" style="137" customWidth="1"/>
    <col min="14843" max="14844" width="14.875" style="137" customWidth="1"/>
    <col min="14845" max="14845" width="6.625" style="137" customWidth="1"/>
    <col min="14846" max="14846" width="13.25" style="137" customWidth="1"/>
    <col min="14847" max="14847" width="17" style="137" customWidth="1"/>
    <col min="14848" max="15092" width="9.625" style="137"/>
    <col min="15093" max="15093" width="4.625" style="137" customWidth="1"/>
    <col min="15094" max="15094" width="1.875" style="137" customWidth="1"/>
    <col min="15095" max="15095" width="30.625" style="137" customWidth="1"/>
    <col min="15096" max="15096" width="28.625" style="137" customWidth="1"/>
    <col min="15097" max="15097" width="8.125" style="137" customWidth="1"/>
    <col min="15098" max="15098" width="7.5" style="137" customWidth="1"/>
    <col min="15099" max="15100" width="14.875" style="137" customWidth="1"/>
    <col min="15101" max="15101" width="6.625" style="137" customWidth="1"/>
    <col min="15102" max="15102" width="13.25" style="137" customWidth="1"/>
    <col min="15103" max="15103" width="17" style="137" customWidth="1"/>
    <col min="15104" max="15348" width="9.625" style="137"/>
    <col min="15349" max="15349" width="4.625" style="137" customWidth="1"/>
    <col min="15350" max="15350" width="1.875" style="137" customWidth="1"/>
    <col min="15351" max="15351" width="30.625" style="137" customWidth="1"/>
    <col min="15352" max="15352" width="28.625" style="137" customWidth="1"/>
    <col min="15353" max="15353" width="8.125" style="137" customWidth="1"/>
    <col min="15354" max="15354" width="7.5" style="137" customWidth="1"/>
    <col min="15355" max="15356" width="14.875" style="137" customWidth="1"/>
    <col min="15357" max="15357" width="6.625" style="137" customWidth="1"/>
    <col min="15358" max="15358" width="13.25" style="137" customWidth="1"/>
    <col min="15359" max="15359" width="17" style="137" customWidth="1"/>
    <col min="15360" max="15604" width="9.625" style="137"/>
    <col min="15605" max="15605" width="4.625" style="137" customWidth="1"/>
    <col min="15606" max="15606" width="1.875" style="137" customWidth="1"/>
    <col min="15607" max="15607" width="30.625" style="137" customWidth="1"/>
    <col min="15608" max="15608" width="28.625" style="137" customWidth="1"/>
    <col min="15609" max="15609" width="8.125" style="137" customWidth="1"/>
    <col min="15610" max="15610" width="7.5" style="137" customWidth="1"/>
    <col min="15611" max="15612" width="14.875" style="137" customWidth="1"/>
    <col min="15613" max="15613" width="6.625" style="137" customWidth="1"/>
    <col min="15614" max="15614" width="13.25" style="137" customWidth="1"/>
    <col min="15615" max="15615" width="17" style="137" customWidth="1"/>
    <col min="15616" max="15860" width="9.625" style="137"/>
    <col min="15861" max="15861" width="4.625" style="137" customWidth="1"/>
    <col min="15862" max="15862" width="1.875" style="137" customWidth="1"/>
    <col min="15863" max="15863" width="30.625" style="137" customWidth="1"/>
    <col min="15864" max="15864" width="28.625" style="137" customWidth="1"/>
    <col min="15865" max="15865" width="8.125" style="137" customWidth="1"/>
    <col min="15866" max="15866" width="7.5" style="137" customWidth="1"/>
    <col min="15867" max="15868" width="14.875" style="137" customWidth="1"/>
    <col min="15869" max="15869" width="6.625" style="137" customWidth="1"/>
    <col min="15870" max="15870" width="13.25" style="137" customWidth="1"/>
    <col min="15871" max="15871" width="17" style="137" customWidth="1"/>
    <col min="15872" max="16116" width="9.625" style="137"/>
    <col min="16117" max="16117" width="4.625" style="137" customWidth="1"/>
    <col min="16118" max="16118" width="1.875" style="137" customWidth="1"/>
    <col min="16119" max="16119" width="30.625" style="137" customWidth="1"/>
    <col min="16120" max="16120" width="28.625" style="137" customWidth="1"/>
    <col min="16121" max="16121" width="8.125" style="137" customWidth="1"/>
    <col min="16122" max="16122" width="7.5" style="137" customWidth="1"/>
    <col min="16123" max="16124" width="14.875" style="137" customWidth="1"/>
    <col min="16125" max="16125" width="6.625" style="137" customWidth="1"/>
    <col min="16126" max="16126" width="13.25" style="137" customWidth="1"/>
    <col min="16127" max="16127" width="17" style="137" customWidth="1"/>
    <col min="16128" max="16384" width="9.625" style="137"/>
  </cols>
  <sheetData>
    <row r="2" spans="1:11">
      <c r="K2" s="4" t="s">
        <v>0</v>
      </c>
    </row>
    <row r="3" spans="1:11">
      <c r="K3" s="5" t="s">
        <v>264</v>
      </c>
    </row>
    <row r="5" spans="1:11" ht="45">
      <c r="A5" s="225" t="s">
        <v>1</v>
      </c>
      <c r="B5" s="225"/>
      <c r="C5" s="225"/>
      <c r="D5" s="225"/>
      <c r="E5" s="225"/>
      <c r="F5" s="225"/>
      <c r="G5" s="225"/>
      <c r="H5" s="225"/>
      <c r="I5" s="225"/>
      <c r="J5" s="225"/>
      <c r="K5" s="225"/>
    </row>
    <row r="8" spans="1:11" s="6" customFormat="1" ht="33">
      <c r="A8" s="226" t="s">
        <v>259</v>
      </c>
      <c r="B8" s="226"/>
      <c r="C8" s="226"/>
      <c r="D8" s="226"/>
      <c r="E8" s="226"/>
      <c r="F8" s="226"/>
      <c r="G8" s="226"/>
      <c r="H8" s="226"/>
      <c r="I8" s="226"/>
      <c r="J8" s="226"/>
      <c r="K8" s="226"/>
    </row>
    <row r="9" spans="1:11" s="6" customFormat="1" ht="33">
      <c r="A9" s="226" t="s">
        <v>260</v>
      </c>
      <c r="B9" s="226"/>
      <c r="C9" s="226"/>
      <c r="D9" s="226"/>
      <c r="E9" s="226"/>
      <c r="F9" s="226"/>
      <c r="G9" s="226"/>
      <c r="H9" s="226"/>
      <c r="I9" s="226"/>
      <c r="J9" s="226"/>
      <c r="K9" s="226"/>
    </row>
    <row r="20" spans="1:11" ht="12.75" thickBot="1">
      <c r="A20" s="227" t="s">
        <v>228</v>
      </c>
      <c r="B20" s="227"/>
      <c r="C20" s="227"/>
      <c r="D20" s="134" t="s">
        <v>272</v>
      </c>
      <c r="E20" s="7"/>
      <c r="F20" s="7"/>
      <c r="G20" s="7"/>
      <c r="H20" s="7"/>
      <c r="I20" s="7"/>
      <c r="J20" s="7"/>
      <c r="K20" s="7"/>
    </row>
    <row r="21" spans="1:11" ht="12.75" thickBot="1">
      <c r="C21" s="159" t="s">
        <v>229</v>
      </c>
      <c r="D21" s="133" t="s">
        <v>294</v>
      </c>
    </row>
    <row r="22" spans="1:11" ht="12.75" thickBot="1">
      <c r="C22" s="159" t="s">
        <v>230</v>
      </c>
      <c r="D22" s="133"/>
    </row>
    <row r="23" spans="1:11" ht="12.75" thickBot="1">
      <c r="C23" s="159" t="s">
        <v>231</v>
      </c>
      <c r="D23" s="133"/>
    </row>
    <row r="31" spans="1:11">
      <c r="C31" s="137" t="s">
        <v>2</v>
      </c>
    </row>
    <row r="36" spans="1:11" ht="30">
      <c r="A36" s="228" t="s">
        <v>237</v>
      </c>
      <c r="B36" s="228"/>
      <c r="C36" s="228"/>
      <c r="D36" s="228"/>
      <c r="E36" s="228"/>
      <c r="F36" s="228"/>
      <c r="G36" s="228"/>
      <c r="H36" s="228"/>
      <c r="I36" s="228"/>
      <c r="J36" s="228"/>
      <c r="K36" s="228"/>
    </row>
    <row r="39" spans="1:11">
      <c r="A39" s="8"/>
      <c r="C39" s="9"/>
      <c r="E39" s="8"/>
      <c r="F39" s="10"/>
      <c r="G39" s="11"/>
      <c r="H39" s="12"/>
      <c r="I39" s="10"/>
      <c r="J39" s="11"/>
      <c r="K39" s="12"/>
    </row>
    <row r="40" spans="1:11">
      <c r="A40" s="13"/>
      <c r="G40" s="14"/>
      <c r="K40" s="15" t="s">
        <v>3</v>
      </c>
    </row>
    <row r="41" spans="1:11">
      <c r="A41" s="224" t="s">
        <v>4</v>
      </c>
      <c r="B41" s="224"/>
      <c r="C41" s="224"/>
      <c r="D41" s="224"/>
      <c r="E41" s="224"/>
      <c r="F41" s="224"/>
      <c r="G41" s="224"/>
      <c r="H41" s="224"/>
      <c r="I41" s="224"/>
      <c r="J41" s="224"/>
      <c r="K41" s="224"/>
    </row>
    <row r="42" spans="1:11">
      <c r="A42" s="16" t="s">
        <v>5</v>
      </c>
      <c r="C42" s="137" t="str">
        <f>$D$20</f>
        <v>University of Colorado</v>
      </c>
      <c r="G42" s="14"/>
      <c r="I42" s="17"/>
      <c r="J42" s="14"/>
      <c r="K42" s="18" t="str">
        <f>$K$3</f>
        <v>Date: October 09, 2017</v>
      </c>
    </row>
    <row r="43" spans="1:11">
      <c r="A43" s="19" t="s">
        <v>6</v>
      </c>
      <c r="B43" s="19" t="s">
        <v>6</v>
      </c>
      <c r="C43" s="19" t="s">
        <v>6</v>
      </c>
      <c r="D43" s="19" t="s">
        <v>6</v>
      </c>
      <c r="E43" s="19" t="s">
        <v>6</v>
      </c>
      <c r="F43" s="19" t="s">
        <v>6</v>
      </c>
      <c r="G43" s="20" t="s">
        <v>6</v>
      </c>
      <c r="H43" s="21" t="s">
        <v>6</v>
      </c>
      <c r="I43" s="19" t="s">
        <v>6</v>
      </c>
      <c r="J43" s="20" t="s">
        <v>6</v>
      </c>
      <c r="K43" s="21" t="s">
        <v>6</v>
      </c>
    </row>
    <row r="44" spans="1:11">
      <c r="A44" s="22" t="s">
        <v>7</v>
      </c>
      <c r="C44" s="9" t="s">
        <v>8</v>
      </c>
      <c r="E44" s="22" t="s">
        <v>7</v>
      </c>
      <c r="F44" s="23"/>
      <c r="G44" s="24"/>
      <c r="H44" s="25" t="s">
        <v>257</v>
      </c>
      <c r="I44" s="23"/>
      <c r="J44" s="24"/>
      <c r="K44" s="25" t="s">
        <v>261</v>
      </c>
    </row>
    <row r="45" spans="1:11">
      <c r="A45" s="22" t="s">
        <v>9</v>
      </c>
      <c r="C45" s="26" t="s">
        <v>10</v>
      </c>
      <c r="E45" s="22" t="s">
        <v>9</v>
      </c>
      <c r="F45" s="23"/>
      <c r="G45" s="24" t="s">
        <v>11</v>
      </c>
      <c r="H45" s="25" t="s">
        <v>12</v>
      </c>
      <c r="I45" s="23"/>
      <c r="J45" s="24" t="s">
        <v>11</v>
      </c>
      <c r="K45" s="25" t="s">
        <v>13</v>
      </c>
    </row>
    <row r="46" spans="1:11">
      <c r="A46" s="19" t="s">
        <v>6</v>
      </c>
      <c r="B46" s="19" t="s">
        <v>6</v>
      </c>
      <c r="C46" s="19" t="s">
        <v>6</v>
      </c>
      <c r="D46" s="19" t="s">
        <v>6</v>
      </c>
      <c r="E46" s="19" t="s">
        <v>6</v>
      </c>
      <c r="F46" s="19" t="s">
        <v>6</v>
      </c>
      <c r="G46" s="20" t="s">
        <v>6</v>
      </c>
      <c r="H46" s="21" t="s">
        <v>6</v>
      </c>
      <c r="I46" s="19" t="s">
        <v>6</v>
      </c>
      <c r="J46" s="20" t="s">
        <v>6</v>
      </c>
      <c r="K46" s="21" t="s">
        <v>6</v>
      </c>
    </row>
    <row r="47" spans="1:11">
      <c r="A47" s="8">
        <v>1</v>
      </c>
      <c r="C47" s="9" t="s">
        <v>14</v>
      </c>
      <c r="D47" s="27" t="s">
        <v>15</v>
      </c>
      <c r="E47" s="8">
        <v>1</v>
      </c>
      <c r="G47" s="92">
        <v>0</v>
      </c>
      <c r="H47" s="92">
        <v>0</v>
      </c>
      <c r="I47" s="30"/>
      <c r="J47" s="92">
        <v>0</v>
      </c>
      <c r="K47" s="92">
        <v>0</v>
      </c>
    </row>
    <row r="48" spans="1:11">
      <c r="A48" s="8">
        <v>2</v>
      </c>
      <c r="C48" s="9" t="s">
        <v>16</v>
      </c>
      <c r="D48" s="27" t="s">
        <v>17</v>
      </c>
      <c r="E48" s="8">
        <v>2</v>
      </c>
      <c r="G48" s="92">
        <v>0</v>
      </c>
      <c r="H48" s="92">
        <v>0</v>
      </c>
      <c r="I48" s="30"/>
      <c r="J48" s="92">
        <v>0</v>
      </c>
      <c r="K48" s="92">
        <v>0</v>
      </c>
    </row>
    <row r="49" spans="1:11">
      <c r="A49" s="8">
        <v>3</v>
      </c>
      <c r="C49" s="9" t="s">
        <v>18</v>
      </c>
      <c r="D49" s="27" t="s">
        <v>19</v>
      </c>
      <c r="E49" s="8">
        <v>3</v>
      </c>
      <c r="G49" s="92">
        <v>0</v>
      </c>
      <c r="H49" s="92">
        <v>0</v>
      </c>
      <c r="I49" s="30"/>
      <c r="J49" s="92">
        <v>0</v>
      </c>
      <c r="K49" s="92">
        <v>0</v>
      </c>
    </row>
    <row r="50" spans="1:11">
      <c r="A50" s="8">
        <v>4</v>
      </c>
      <c r="C50" s="9" t="s">
        <v>20</v>
      </c>
      <c r="D50" s="27" t="s">
        <v>21</v>
      </c>
      <c r="E50" s="8">
        <v>4</v>
      </c>
      <c r="G50" s="92">
        <v>0</v>
      </c>
      <c r="H50" s="92">
        <v>0</v>
      </c>
      <c r="I50" s="30"/>
      <c r="J50" s="92">
        <v>0</v>
      </c>
      <c r="K50" s="92">
        <v>0</v>
      </c>
    </row>
    <row r="51" spans="1:11">
      <c r="A51" s="8">
        <v>5</v>
      </c>
      <c r="C51" s="9" t="s">
        <v>22</v>
      </c>
      <c r="D51" s="27" t="s">
        <v>23</v>
      </c>
      <c r="E51" s="8">
        <v>5</v>
      </c>
      <c r="G51" s="92">
        <v>0</v>
      </c>
      <c r="H51" s="92">
        <v>0</v>
      </c>
      <c r="I51" s="30"/>
      <c r="J51" s="92">
        <v>0</v>
      </c>
      <c r="K51" s="92">
        <v>0</v>
      </c>
    </row>
    <row r="52" spans="1:11">
      <c r="A52" s="8">
        <v>6</v>
      </c>
      <c r="C52" s="9" t="s">
        <v>24</v>
      </c>
      <c r="D52" s="27" t="s">
        <v>25</v>
      </c>
      <c r="E52" s="8">
        <v>6</v>
      </c>
      <c r="G52" s="92">
        <v>0</v>
      </c>
      <c r="H52" s="92">
        <v>0</v>
      </c>
      <c r="I52" s="30"/>
      <c r="J52" s="92">
        <v>0</v>
      </c>
      <c r="K52" s="92">
        <v>0</v>
      </c>
    </row>
    <row r="53" spans="1:11">
      <c r="A53" s="8">
        <v>7</v>
      </c>
      <c r="C53" s="9" t="s">
        <v>26</v>
      </c>
      <c r="D53" s="27" t="s">
        <v>27</v>
      </c>
      <c r="E53" s="8">
        <v>7</v>
      </c>
      <c r="G53" s="92">
        <v>0</v>
      </c>
      <c r="H53" s="92">
        <v>0</v>
      </c>
      <c r="I53" s="30"/>
      <c r="J53" s="92">
        <v>0</v>
      </c>
      <c r="K53" s="92">
        <v>0</v>
      </c>
    </row>
    <row r="54" spans="1:11">
      <c r="A54" s="8">
        <v>8</v>
      </c>
      <c r="C54" s="9" t="s">
        <v>28</v>
      </c>
      <c r="D54" s="27" t="s">
        <v>29</v>
      </c>
      <c r="E54" s="8">
        <v>8</v>
      </c>
      <c r="G54" s="92">
        <v>0</v>
      </c>
      <c r="H54" s="92">
        <v>0</v>
      </c>
      <c r="I54" s="30"/>
      <c r="J54" s="92">
        <v>0</v>
      </c>
      <c r="K54" s="92">
        <v>0</v>
      </c>
    </row>
    <row r="55" spans="1:11">
      <c r="A55" s="8">
        <v>9</v>
      </c>
      <c r="C55" s="9" t="s">
        <v>30</v>
      </c>
      <c r="D55" s="27" t="s">
        <v>31</v>
      </c>
      <c r="E55" s="8">
        <v>9</v>
      </c>
      <c r="G55" s="93">
        <v>0</v>
      </c>
      <c r="H55" s="93">
        <v>0</v>
      </c>
      <c r="I55" s="30" t="s">
        <v>38</v>
      </c>
      <c r="J55" s="93">
        <v>0</v>
      </c>
      <c r="K55" s="93">
        <v>0</v>
      </c>
    </row>
    <row r="56" spans="1:11">
      <c r="A56" s="8">
        <v>10</v>
      </c>
      <c r="C56" s="9" t="s">
        <v>32</v>
      </c>
      <c r="D56" s="27" t="s">
        <v>33</v>
      </c>
      <c r="E56" s="8">
        <v>10</v>
      </c>
      <c r="G56" s="92">
        <v>0</v>
      </c>
      <c r="H56" s="92">
        <v>0</v>
      </c>
      <c r="I56" s="30"/>
      <c r="J56" s="92">
        <v>0</v>
      </c>
      <c r="K56" s="92">
        <v>0</v>
      </c>
    </row>
    <row r="57" spans="1:11">
      <c r="A57" s="8"/>
      <c r="C57" s="9"/>
      <c r="D57" s="27"/>
      <c r="E57" s="8"/>
      <c r="F57" s="19" t="s">
        <v>6</v>
      </c>
      <c r="G57" s="20" t="s">
        <v>6</v>
      </c>
      <c r="H57" s="49"/>
      <c r="I57" s="28"/>
      <c r="J57" s="20"/>
      <c r="K57" s="49"/>
    </row>
    <row r="58" spans="1:11" ht="15" customHeight="1">
      <c r="A58" s="137">
        <v>11</v>
      </c>
      <c r="C58" s="9" t="s">
        <v>34</v>
      </c>
      <c r="E58" s="137">
        <v>11</v>
      </c>
      <c r="G58" s="92">
        <v>0</v>
      </c>
      <c r="H58" s="93">
        <v>0</v>
      </c>
      <c r="I58" s="30"/>
      <c r="J58" s="92">
        <v>0</v>
      </c>
      <c r="K58" s="93">
        <v>0</v>
      </c>
    </row>
    <row r="59" spans="1:11">
      <c r="A59" s="8"/>
      <c r="E59" s="8"/>
      <c r="F59" s="19" t="s">
        <v>6</v>
      </c>
      <c r="G59" s="20" t="s">
        <v>6</v>
      </c>
      <c r="H59" s="21"/>
      <c r="I59" s="28"/>
      <c r="J59" s="20"/>
      <c r="K59" s="21"/>
    </row>
    <row r="60" spans="1:11">
      <c r="A60" s="8"/>
      <c r="E60" s="8"/>
      <c r="F60" s="19"/>
      <c r="G60" s="14"/>
      <c r="H60" s="21"/>
      <c r="I60" s="28"/>
      <c r="J60" s="14"/>
      <c r="K60" s="21"/>
    </row>
    <row r="61" spans="1:11">
      <c r="A61" s="137">
        <v>12</v>
      </c>
      <c r="C61" s="9" t="s">
        <v>35</v>
      </c>
      <c r="E61" s="137">
        <v>12</v>
      </c>
      <c r="G61" s="29"/>
      <c r="H61" s="29"/>
      <c r="I61" s="30"/>
      <c r="J61" s="92"/>
      <c r="K61" s="29"/>
    </row>
    <row r="62" spans="1:11">
      <c r="A62" s="8">
        <v>13</v>
      </c>
      <c r="C62" s="9" t="s">
        <v>36</v>
      </c>
      <c r="D62" s="27" t="s">
        <v>37</v>
      </c>
      <c r="E62" s="8">
        <v>13</v>
      </c>
      <c r="G62" s="50"/>
      <c r="H62" s="48">
        <v>0</v>
      </c>
      <c r="I62" s="30"/>
      <c r="J62" s="50"/>
      <c r="K62" s="48">
        <v>0</v>
      </c>
    </row>
    <row r="63" spans="1:11">
      <c r="A63" s="8">
        <v>14</v>
      </c>
      <c r="C63" s="9" t="s">
        <v>39</v>
      </c>
      <c r="D63" s="27" t="s">
        <v>40</v>
      </c>
      <c r="E63" s="8">
        <v>14</v>
      </c>
      <c r="G63" s="50"/>
      <c r="H63" s="48">
        <v>0</v>
      </c>
      <c r="I63" s="30"/>
      <c r="J63" s="50"/>
      <c r="K63" s="48">
        <v>0</v>
      </c>
    </row>
    <row r="64" spans="1:11">
      <c r="A64" s="8">
        <v>15</v>
      </c>
      <c r="C64" s="9" t="s">
        <v>41</v>
      </c>
      <c r="D64" s="27"/>
      <c r="E64" s="8">
        <v>15</v>
      </c>
      <c r="G64" s="92">
        <v>0</v>
      </c>
      <c r="H64" s="48">
        <v>0</v>
      </c>
      <c r="I64" s="30"/>
      <c r="J64" s="92">
        <v>0</v>
      </c>
      <c r="K64" s="48">
        <v>0</v>
      </c>
    </row>
    <row r="65" spans="1:242">
      <c r="A65" s="8">
        <v>16</v>
      </c>
      <c r="C65" s="9" t="s">
        <v>42</v>
      </c>
      <c r="D65" s="27"/>
      <c r="E65" s="8">
        <v>16</v>
      </c>
      <c r="G65" s="50"/>
      <c r="H65" s="48">
        <v>0</v>
      </c>
      <c r="I65" s="30"/>
      <c r="J65" s="50"/>
      <c r="K65" s="48">
        <v>0</v>
      </c>
    </row>
    <row r="66" spans="1:242">
      <c r="A66" s="27">
        <v>17</v>
      </c>
      <c r="B66" s="27"/>
      <c r="C66" s="31" t="s">
        <v>43</v>
      </c>
      <c r="D66" s="27"/>
      <c r="E66" s="27">
        <v>17</v>
      </c>
      <c r="F66" s="27"/>
      <c r="G66" s="92"/>
      <c r="H66" s="93">
        <v>0</v>
      </c>
      <c r="I66" s="31"/>
      <c r="J66" s="92"/>
      <c r="K66" s="93">
        <v>0</v>
      </c>
      <c r="L66" s="27"/>
      <c r="M66" s="31"/>
      <c r="N66" s="27"/>
      <c r="O66" s="31"/>
      <c r="P66" s="27"/>
      <c r="Q66" s="31"/>
      <c r="R66" s="27"/>
      <c r="S66" s="31"/>
      <c r="T66" s="27"/>
      <c r="U66" s="31"/>
      <c r="V66" s="27"/>
      <c r="W66" s="31"/>
      <c r="X66" s="27"/>
      <c r="Y66" s="31"/>
      <c r="Z66" s="27"/>
      <c r="AA66" s="31"/>
      <c r="AB66" s="27"/>
      <c r="AC66" s="31"/>
      <c r="AD66" s="27"/>
      <c r="AE66" s="31"/>
      <c r="AF66" s="27"/>
      <c r="AG66" s="31"/>
      <c r="AH66" s="27"/>
      <c r="AI66" s="31"/>
      <c r="AJ66" s="27"/>
      <c r="AK66" s="31"/>
      <c r="AL66" s="27"/>
      <c r="AM66" s="31"/>
      <c r="AN66" s="27"/>
      <c r="AO66" s="31"/>
      <c r="AP66" s="27"/>
      <c r="AQ66" s="31"/>
      <c r="AR66" s="27"/>
      <c r="AS66" s="31"/>
      <c r="AT66" s="27"/>
      <c r="AU66" s="31"/>
      <c r="AV66" s="27"/>
      <c r="AW66" s="31"/>
      <c r="AX66" s="27"/>
      <c r="AY66" s="31"/>
      <c r="AZ66" s="27"/>
      <c r="BA66" s="31"/>
      <c r="BB66" s="27"/>
      <c r="BC66" s="31"/>
      <c r="BD66" s="27"/>
      <c r="BE66" s="31"/>
      <c r="BF66" s="27"/>
      <c r="BG66" s="31"/>
      <c r="BH66" s="27"/>
      <c r="BI66" s="31"/>
      <c r="BJ66" s="27"/>
      <c r="BK66" s="31"/>
      <c r="BL66" s="27"/>
      <c r="BM66" s="31"/>
      <c r="BN66" s="27"/>
      <c r="BO66" s="31"/>
      <c r="BP66" s="27"/>
      <c r="BQ66" s="31"/>
      <c r="BR66" s="27"/>
      <c r="BS66" s="31"/>
      <c r="BT66" s="27"/>
      <c r="BU66" s="31"/>
      <c r="BV66" s="27"/>
      <c r="BW66" s="31"/>
      <c r="BX66" s="27"/>
      <c r="BY66" s="31"/>
      <c r="BZ66" s="27"/>
      <c r="CA66" s="31"/>
      <c r="CB66" s="27"/>
      <c r="CC66" s="31"/>
      <c r="CD66" s="27"/>
      <c r="CE66" s="31"/>
      <c r="CF66" s="27"/>
      <c r="CG66" s="31"/>
      <c r="CH66" s="27"/>
      <c r="CI66" s="31"/>
      <c r="CJ66" s="27"/>
      <c r="CK66" s="31"/>
      <c r="CL66" s="27"/>
      <c r="CM66" s="31"/>
      <c r="CN66" s="27"/>
      <c r="CO66" s="31"/>
      <c r="CP66" s="27"/>
      <c r="CQ66" s="31"/>
      <c r="CR66" s="27"/>
      <c r="CS66" s="31"/>
      <c r="CT66" s="27"/>
      <c r="CU66" s="31"/>
      <c r="CV66" s="27"/>
      <c r="CW66" s="31"/>
      <c r="CX66" s="27"/>
      <c r="CY66" s="31"/>
      <c r="CZ66" s="27"/>
      <c r="DA66" s="31"/>
      <c r="DB66" s="27"/>
      <c r="DC66" s="31"/>
      <c r="DD66" s="27"/>
      <c r="DE66" s="31"/>
      <c r="DF66" s="27"/>
      <c r="DG66" s="31"/>
      <c r="DH66" s="27"/>
      <c r="DI66" s="31"/>
      <c r="DJ66" s="27"/>
      <c r="DK66" s="31"/>
      <c r="DL66" s="27"/>
      <c r="DM66" s="31"/>
      <c r="DN66" s="27"/>
      <c r="DO66" s="31"/>
      <c r="DP66" s="27"/>
      <c r="DQ66" s="31"/>
      <c r="DR66" s="27"/>
      <c r="DS66" s="31"/>
      <c r="DT66" s="27"/>
      <c r="DU66" s="31"/>
      <c r="DV66" s="27"/>
      <c r="DW66" s="31"/>
      <c r="DX66" s="27"/>
      <c r="DY66" s="31"/>
      <c r="DZ66" s="27"/>
      <c r="EA66" s="31"/>
      <c r="EB66" s="27"/>
      <c r="EC66" s="31"/>
      <c r="ED66" s="27"/>
      <c r="EE66" s="31"/>
      <c r="EF66" s="27"/>
      <c r="EG66" s="31"/>
      <c r="EH66" s="27"/>
      <c r="EI66" s="31"/>
      <c r="EJ66" s="27"/>
      <c r="EK66" s="31"/>
      <c r="EL66" s="27"/>
      <c r="EM66" s="31"/>
      <c r="EN66" s="27"/>
      <c r="EO66" s="31"/>
      <c r="EP66" s="27"/>
      <c r="EQ66" s="31"/>
      <c r="ER66" s="27"/>
      <c r="ES66" s="31"/>
      <c r="ET66" s="27"/>
      <c r="EU66" s="31"/>
      <c r="EV66" s="27"/>
      <c r="EW66" s="31"/>
      <c r="EX66" s="27"/>
      <c r="EY66" s="31"/>
      <c r="EZ66" s="27"/>
      <c r="FA66" s="31"/>
      <c r="FB66" s="27"/>
      <c r="FC66" s="31"/>
      <c r="FD66" s="27"/>
      <c r="FE66" s="31"/>
      <c r="FF66" s="27"/>
      <c r="FG66" s="31"/>
      <c r="FH66" s="27"/>
      <c r="FI66" s="31"/>
      <c r="FJ66" s="27"/>
      <c r="FK66" s="31"/>
      <c r="FL66" s="27"/>
      <c r="FM66" s="31"/>
      <c r="FN66" s="27"/>
      <c r="FO66" s="31"/>
      <c r="FP66" s="27"/>
      <c r="FQ66" s="31"/>
      <c r="FR66" s="27"/>
      <c r="FS66" s="31"/>
      <c r="FT66" s="27"/>
      <c r="FU66" s="31"/>
      <c r="FV66" s="27"/>
      <c r="FW66" s="31"/>
      <c r="FX66" s="27"/>
      <c r="FY66" s="31"/>
      <c r="FZ66" s="27"/>
      <c r="GA66" s="31"/>
      <c r="GB66" s="27"/>
      <c r="GC66" s="31"/>
      <c r="GD66" s="27"/>
      <c r="GE66" s="31"/>
      <c r="GF66" s="27"/>
      <c r="GG66" s="31"/>
      <c r="GH66" s="27"/>
      <c r="GI66" s="31"/>
      <c r="GJ66" s="27"/>
      <c r="GK66" s="31"/>
      <c r="GL66" s="27"/>
      <c r="GM66" s="31"/>
      <c r="GN66" s="27"/>
      <c r="GO66" s="31"/>
      <c r="GP66" s="27"/>
      <c r="GQ66" s="31"/>
      <c r="GR66" s="27"/>
      <c r="GS66" s="31"/>
      <c r="GT66" s="27"/>
      <c r="GU66" s="31"/>
      <c r="GV66" s="27"/>
      <c r="GW66" s="31"/>
      <c r="GX66" s="27"/>
      <c r="GY66" s="31"/>
      <c r="GZ66" s="27"/>
      <c r="HA66" s="31"/>
      <c r="HB66" s="27"/>
      <c r="HC66" s="31"/>
      <c r="HD66" s="27"/>
      <c r="HE66" s="31"/>
      <c r="HF66" s="27"/>
      <c r="HG66" s="31"/>
      <c r="HH66" s="27"/>
      <c r="HI66" s="31"/>
      <c r="HJ66" s="27"/>
      <c r="HK66" s="31"/>
      <c r="HL66" s="27"/>
      <c r="HM66" s="31"/>
      <c r="HN66" s="27"/>
      <c r="HO66" s="31"/>
      <c r="HP66" s="27"/>
      <c r="HQ66" s="31"/>
      <c r="HR66" s="27"/>
      <c r="HS66" s="31"/>
      <c r="HT66" s="27"/>
      <c r="HU66" s="31"/>
      <c r="HV66" s="27"/>
      <c r="HW66" s="31"/>
      <c r="HX66" s="27"/>
      <c r="HY66" s="31"/>
      <c r="HZ66" s="27"/>
      <c r="IA66" s="31"/>
      <c r="IB66" s="27"/>
      <c r="IC66" s="31"/>
      <c r="ID66" s="27"/>
      <c r="IE66" s="31"/>
      <c r="IF66" s="27"/>
      <c r="IG66" s="31"/>
      <c r="IH66" s="27"/>
    </row>
    <row r="67" spans="1:242">
      <c r="A67" s="8">
        <v>18</v>
      </c>
      <c r="C67" s="9" t="s">
        <v>44</v>
      </c>
      <c r="D67" s="27"/>
      <c r="E67" s="8">
        <v>18</v>
      </c>
      <c r="G67" s="50"/>
      <c r="H67" s="48">
        <v>0</v>
      </c>
      <c r="I67" s="30"/>
      <c r="J67" s="50"/>
      <c r="K67" s="48">
        <v>0</v>
      </c>
    </row>
    <row r="68" spans="1:242">
      <c r="A68" s="8">
        <v>19</v>
      </c>
      <c r="C68" s="9" t="s">
        <v>45</v>
      </c>
      <c r="D68" s="27"/>
      <c r="E68" s="8">
        <v>19</v>
      </c>
      <c r="G68" s="50"/>
      <c r="H68" s="48">
        <v>0</v>
      </c>
      <c r="I68" s="30"/>
      <c r="J68" s="50"/>
      <c r="K68" s="48">
        <v>0</v>
      </c>
    </row>
    <row r="69" spans="1:242">
      <c r="A69" s="8">
        <v>20</v>
      </c>
      <c r="C69" s="9" t="s">
        <v>46</v>
      </c>
      <c r="D69" s="27"/>
      <c r="E69" s="8">
        <v>20</v>
      </c>
      <c r="G69" s="50"/>
      <c r="H69" s="48">
        <v>0</v>
      </c>
      <c r="I69" s="30"/>
      <c r="J69" s="50"/>
      <c r="K69" s="48">
        <v>0</v>
      </c>
    </row>
    <row r="70" spans="1:242">
      <c r="A70" s="27">
        <v>21</v>
      </c>
      <c r="C70" s="9" t="s">
        <v>47</v>
      </c>
      <c r="D70" s="27"/>
      <c r="E70" s="8">
        <v>21</v>
      </c>
      <c r="G70" s="50"/>
      <c r="H70" s="48">
        <v>0</v>
      </c>
      <c r="I70" s="30"/>
      <c r="J70" s="50"/>
      <c r="K70" s="48">
        <v>0</v>
      </c>
    </row>
    <row r="71" spans="1:242">
      <c r="A71" s="27">
        <v>22</v>
      </c>
      <c r="C71" s="9"/>
      <c r="D71" s="27"/>
      <c r="E71" s="8">
        <v>22</v>
      </c>
      <c r="G71" s="50"/>
      <c r="H71" s="48">
        <v>0</v>
      </c>
      <c r="I71" s="30" t="s">
        <v>38</v>
      </c>
      <c r="J71" s="50"/>
      <c r="K71" s="48">
        <v>0</v>
      </c>
    </row>
    <row r="72" spans="1:242">
      <c r="A72" s="8">
        <v>23</v>
      </c>
      <c r="C72" s="32"/>
      <c r="E72" s="8">
        <v>23</v>
      </c>
      <c r="F72" s="19" t="s">
        <v>6</v>
      </c>
      <c r="G72" s="20"/>
      <c r="H72" s="21"/>
      <c r="I72" s="28"/>
      <c r="J72" s="20"/>
      <c r="K72" s="21"/>
    </row>
    <row r="73" spans="1:242">
      <c r="A73" s="8">
        <v>24</v>
      </c>
      <c r="C73" s="32"/>
      <c r="D73" s="9"/>
      <c r="E73" s="8">
        <v>24</v>
      </c>
    </row>
    <row r="74" spans="1:242">
      <c r="A74" s="8">
        <v>25</v>
      </c>
      <c r="C74" s="9" t="s">
        <v>239</v>
      </c>
      <c r="D74" s="27"/>
      <c r="E74" s="8">
        <v>25</v>
      </c>
      <c r="G74" s="50"/>
      <c r="H74" s="48">
        <v>0</v>
      </c>
      <c r="I74" s="30"/>
      <c r="J74" s="50"/>
      <c r="K74" s="48">
        <v>0</v>
      </c>
    </row>
    <row r="75" spans="1:242">
      <c r="A75" s="137">
        <v>26</v>
      </c>
      <c r="E75" s="137">
        <v>26</v>
      </c>
      <c r="F75" s="19" t="s">
        <v>6</v>
      </c>
      <c r="G75" s="20"/>
      <c r="H75" s="21"/>
      <c r="I75" s="28"/>
      <c r="J75" s="20"/>
      <c r="K75" s="21"/>
    </row>
    <row r="76" spans="1:242" ht="15" customHeight="1">
      <c r="A76" s="8">
        <v>27</v>
      </c>
      <c r="C76" s="9" t="s">
        <v>48</v>
      </c>
      <c r="E76" s="8">
        <v>27</v>
      </c>
      <c r="F76" s="17"/>
      <c r="G76" s="92"/>
      <c r="H76" s="93">
        <v>0</v>
      </c>
      <c r="I76" s="29"/>
      <c r="J76" s="92"/>
      <c r="K76" s="93">
        <v>0</v>
      </c>
    </row>
    <row r="77" spans="1:242">
      <c r="F77" s="19"/>
      <c r="G77" s="20"/>
      <c r="H77" s="21"/>
      <c r="I77" s="28"/>
      <c r="J77" s="20"/>
      <c r="K77" s="21"/>
    </row>
    <row r="78" spans="1:242" ht="14.25">
      <c r="F78"/>
      <c r="G78"/>
      <c r="H78"/>
      <c r="I78"/>
      <c r="J78"/>
      <c r="K78"/>
    </row>
    <row r="79" spans="1:242" ht="30.75" customHeight="1">
      <c r="A79" s="33"/>
      <c r="B79" s="33"/>
      <c r="C79" s="221" t="s">
        <v>233</v>
      </c>
      <c r="D79" s="221"/>
      <c r="E79" s="221"/>
      <c r="F79" s="221"/>
      <c r="G79" s="221"/>
      <c r="H79" s="221"/>
      <c r="I79" s="221"/>
      <c r="J79" s="221"/>
      <c r="K79" s="34"/>
    </row>
    <row r="80" spans="1:242">
      <c r="D80" s="27"/>
      <c r="F80" s="19"/>
      <c r="G80" s="20"/>
      <c r="I80" s="28"/>
      <c r="J80" s="20"/>
      <c r="K80" s="21"/>
    </row>
    <row r="81" spans="1:11">
      <c r="C81" s="137" t="s">
        <v>49</v>
      </c>
      <c r="D81" s="27"/>
      <c r="F81" s="19"/>
      <c r="G81" s="20"/>
      <c r="I81" s="28"/>
      <c r="J81" s="20"/>
      <c r="K81" s="21"/>
    </row>
    <row r="82" spans="1:11">
      <c r="A82" s="8"/>
      <c r="C82" s="9"/>
      <c r="E82" s="8"/>
      <c r="F82" s="10"/>
      <c r="G82" s="11"/>
      <c r="H82" s="12"/>
      <c r="I82" s="10"/>
      <c r="J82" s="11"/>
      <c r="K82" s="12"/>
    </row>
    <row r="83" spans="1:11">
      <c r="A83" s="16" t="s">
        <v>58</v>
      </c>
      <c r="G83" s="14"/>
      <c r="K83" s="15" t="s">
        <v>59</v>
      </c>
    </row>
    <row r="84" spans="1:11" s="36" customFormat="1">
      <c r="A84" s="224" t="s">
        <v>60</v>
      </c>
      <c r="B84" s="224"/>
      <c r="C84" s="224"/>
      <c r="D84" s="224"/>
      <c r="E84" s="224"/>
      <c r="F84" s="224"/>
      <c r="G84" s="224"/>
      <c r="H84" s="224"/>
      <c r="I84" s="224"/>
      <c r="J84" s="224"/>
      <c r="K84" s="224"/>
    </row>
    <row r="85" spans="1:11">
      <c r="A85" s="16" t="str">
        <f>$A$42</f>
        <v xml:space="preserve">NAME: </v>
      </c>
      <c r="C85" s="137" t="str">
        <f>$D$20</f>
        <v>University of Colorado</v>
      </c>
      <c r="G85" s="14"/>
      <c r="I85" s="17"/>
      <c r="J85" s="14"/>
      <c r="K85" s="18" t="str">
        <f>$K$3</f>
        <v>Date: October 09, 2017</v>
      </c>
    </row>
    <row r="86" spans="1:11">
      <c r="A86" s="19" t="s">
        <v>6</v>
      </c>
      <c r="B86" s="19" t="s">
        <v>6</v>
      </c>
      <c r="C86" s="19" t="s">
        <v>6</v>
      </c>
      <c r="D86" s="19" t="s">
        <v>6</v>
      </c>
      <c r="E86" s="19" t="s">
        <v>6</v>
      </c>
      <c r="F86" s="19" t="s">
        <v>6</v>
      </c>
      <c r="G86" s="20" t="s">
        <v>6</v>
      </c>
      <c r="H86" s="21" t="s">
        <v>6</v>
      </c>
      <c r="I86" s="19" t="s">
        <v>6</v>
      </c>
      <c r="J86" s="20" t="s">
        <v>6</v>
      </c>
      <c r="K86" s="21" t="s">
        <v>6</v>
      </c>
    </row>
    <row r="87" spans="1:11">
      <c r="A87" s="22" t="s">
        <v>7</v>
      </c>
      <c r="C87" s="9" t="s">
        <v>8</v>
      </c>
      <c r="E87" s="22" t="s">
        <v>7</v>
      </c>
      <c r="F87" s="23"/>
      <c r="G87" s="24"/>
      <c r="H87" s="25" t="str">
        <f>H44</f>
        <v>2016-17</v>
      </c>
      <c r="I87" s="23"/>
      <c r="J87" s="24"/>
      <c r="K87" s="25" t="str">
        <f>K44</f>
        <v>2017-18</v>
      </c>
    </row>
    <row r="88" spans="1:11">
      <c r="A88" s="22" t="s">
        <v>9</v>
      </c>
      <c r="C88" s="26" t="s">
        <v>10</v>
      </c>
      <c r="E88" s="22" t="s">
        <v>9</v>
      </c>
      <c r="F88" s="23"/>
      <c r="G88" s="24" t="s">
        <v>11</v>
      </c>
      <c r="H88" s="25" t="s">
        <v>12</v>
      </c>
      <c r="I88" s="23"/>
      <c r="J88" s="24" t="s">
        <v>11</v>
      </c>
      <c r="K88" s="25" t="s">
        <v>13</v>
      </c>
    </row>
    <row r="89" spans="1:11">
      <c r="A89" s="19" t="s">
        <v>6</v>
      </c>
      <c r="B89" s="19" t="s">
        <v>6</v>
      </c>
      <c r="C89" s="19" t="s">
        <v>6</v>
      </c>
      <c r="D89" s="19" t="s">
        <v>6</v>
      </c>
      <c r="E89" s="19" t="s">
        <v>6</v>
      </c>
      <c r="F89" s="19" t="s">
        <v>6</v>
      </c>
      <c r="G89" s="20" t="s">
        <v>6</v>
      </c>
      <c r="H89" s="20" t="s">
        <v>6</v>
      </c>
      <c r="I89" s="19" t="s">
        <v>6</v>
      </c>
      <c r="J89" s="20" t="s">
        <v>6</v>
      </c>
      <c r="K89" s="21" t="s">
        <v>6</v>
      </c>
    </row>
    <row r="90" spans="1:11">
      <c r="A90" s="8">
        <v>1</v>
      </c>
      <c r="C90" s="9" t="s">
        <v>14</v>
      </c>
      <c r="D90" s="27" t="s">
        <v>15</v>
      </c>
      <c r="E90" s="8">
        <v>1</v>
      </c>
      <c r="G90" s="50">
        <f>+G533</f>
        <v>751.18000000000006</v>
      </c>
      <c r="H90" s="48">
        <f>+H533</f>
        <v>120839454.553</v>
      </c>
      <c r="I90" s="30"/>
      <c r="J90" s="186">
        <f>+J533</f>
        <v>774.64167915076177</v>
      </c>
      <c r="K90" s="187">
        <f>+K533</f>
        <v>125672112.91</v>
      </c>
    </row>
    <row r="91" spans="1:11">
      <c r="A91" s="8">
        <v>2</v>
      </c>
      <c r="C91" s="9" t="s">
        <v>16</v>
      </c>
      <c r="D91" s="27" t="s">
        <v>17</v>
      </c>
      <c r="E91" s="8">
        <v>2</v>
      </c>
      <c r="G91" s="50">
        <f>+G572</f>
        <v>0.53</v>
      </c>
      <c r="H91" s="48">
        <f>+H572</f>
        <v>219241.13999999998</v>
      </c>
      <c r="I91" s="30"/>
      <c r="J91" s="186">
        <f>+J572</f>
        <v>7.1488729457235512E-3</v>
      </c>
      <c r="K91" s="187">
        <f>+K572</f>
        <v>1986</v>
      </c>
    </row>
    <row r="92" spans="1:11">
      <c r="A92" s="8">
        <v>3</v>
      </c>
      <c r="C92" s="9" t="s">
        <v>18</v>
      </c>
      <c r="D92" s="27" t="s">
        <v>19</v>
      </c>
      <c r="E92" s="8">
        <v>3</v>
      </c>
      <c r="G92" s="50">
        <f>+G609</f>
        <v>0</v>
      </c>
      <c r="H92" s="48">
        <f>+H609</f>
        <v>0</v>
      </c>
      <c r="I92" s="30"/>
      <c r="J92" s="186">
        <f>+J609</f>
        <v>0</v>
      </c>
      <c r="K92" s="187">
        <f>+K609</f>
        <v>0</v>
      </c>
    </row>
    <row r="93" spans="1:11">
      <c r="A93" s="8">
        <v>4</v>
      </c>
      <c r="C93" s="9" t="s">
        <v>20</v>
      </c>
      <c r="D93" s="27" t="s">
        <v>21</v>
      </c>
      <c r="E93" s="8">
        <v>4</v>
      </c>
      <c r="G93" s="50">
        <f>+G646</f>
        <v>229.73</v>
      </c>
      <c r="H93" s="48">
        <f>+H646</f>
        <v>39665761.798200004</v>
      </c>
      <c r="I93" s="30"/>
      <c r="J93" s="186">
        <f>+J646</f>
        <v>235.80507088894103</v>
      </c>
      <c r="K93" s="187">
        <f>+K646</f>
        <v>39573484.189999998</v>
      </c>
    </row>
    <row r="94" spans="1:11">
      <c r="A94" s="8">
        <v>5</v>
      </c>
      <c r="C94" s="9" t="s">
        <v>22</v>
      </c>
      <c r="D94" s="27" t="s">
        <v>23</v>
      </c>
      <c r="E94" s="8">
        <v>5</v>
      </c>
      <c r="G94" s="50">
        <f>+G683</f>
        <v>24.689999999999994</v>
      </c>
      <c r="H94" s="48">
        <f>+H683</f>
        <v>4085181.8444000003</v>
      </c>
      <c r="I94" s="30"/>
      <c r="J94" s="186">
        <f>+J683</f>
        <v>24.051272261800023</v>
      </c>
      <c r="K94" s="187">
        <f>+K683</f>
        <v>3982696.58</v>
      </c>
    </row>
    <row r="95" spans="1:11">
      <c r="A95" s="8">
        <v>6</v>
      </c>
      <c r="C95" s="9" t="s">
        <v>24</v>
      </c>
      <c r="D95" s="27" t="s">
        <v>25</v>
      </c>
      <c r="E95" s="8">
        <v>6</v>
      </c>
      <c r="G95" s="50">
        <f>+G720</f>
        <v>233.10000000000002</v>
      </c>
      <c r="H95" s="48">
        <f>+H720</f>
        <v>36655615.385768004</v>
      </c>
      <c r="I95" s="30"/>
      <c r="J95" s="186">
        <f>+J720</f>
        <v>361.74868322992717</v>
      </c>
      <c r="K95" s="187">
        <f>+K720</f>
        <v>38493251.640000001</v>
      </c>
    </row>
    <row r="96" spans="1:11">
      <c r="A96" s="8">
        <v>7</v>
      </c>
      <c r="C96" s="9" t="s">
        <v>26</v>
      </c>
      <c r="D96" s="27" t="s">
        <v>27</v>
      </c>
      <c r="E96" s="8">
        <v>7</v>
      </c>
      <c r="G96" s="50">
        <f>+G757</f>
        <v>157.87</v>
      </c>
      <c r="H96" s="48">
        <f>+H757</f>
        <v>20685960.21195</v>
      </c>
      <c r="I96" s="30"/>
      <c r="J96" s="186">
        <f>+J757</f>
        <v>174.61159391204768</v>
      </c>
      <c r="K96" s="187">
        <f>+K757</f>
        <v>21934079.77</v>
      </c>
    </row>
    <row r="97" spans="1:242">
      <c r="A97" s="8">
        <v>8</v>
      </c>
      <c r="C97" s="9" t="s">
        <v>28</v>
      </c>
      <c r="D97" s="27" t="s">
        <v>29</v>
      </c>
      <c r="E97" s="8">
        <v>8</v>
      </c>
      <c r="G97" s="50">
        <f>+G794</f>
        <v>0</v>
      </c>
      <c r="H97" s="48">
        <f>+H794</f>
        <v>2157023.8499999996</v>
      </c>
      <c r="I97" s="30"/>
      <c r="J97" s="186">
        <f>+J794</f>
        <v>0</v>
      </c>
      <c r="K97" s="187">
        <f>+K794</f>
        <v>1634556</v>
      </c>
    </row>
    <row r="98" spans="1:242">
      <c r="A98" s="8">
        <v>9</v>
      </c>
      <c r="C98" s="9" t="s">
        <v>30</v>
      </c>
      <c r="D98" s="27" t="s">
        <v>31</v>
      </c>
      <c r="E98" s="8">
        <v>9</v>
      </c>
      <c r="G98" s="48">
        <f>+G832</f>
        <v>31.67</v>
      </c>
      <c r="H98" s="48">
        <f>+H832</f>
        <v>11020209.030000001</v>
      </c>
      <c r="I98" s="30" t="s">
        <v>38</v>
      </c>
      <c r="J98" s="187">
        <f>+J832</f>
        <v>39.217056368922094</v>
      </c>
      <c r="K98" s="187">
        <f>+K832</f>
        <v>8799938</v>
      </c>
    </row>
    <row r="99" spans="1:242">
      <c r="A99" s="8">
        <v>10</v>
      </c>
      <c r="C99" s="9" t="s">
        <v>32</v>
      </c>
      <c r="D99" s="27" t="s">
        <v>33</v>
      </c>
      <c r="E99" s="8">
        <v>10</v>
      </c>
      <c r="G99" s="50">
        <f>+G868</f>
        <v>0</v>
      </c>
      <c r="H99" s="48">
        <f>+H868</f>
        <v>41403321.010000005</v>
      </c>
      <c r="I99" s="30"/>
      <c r="J99" s="186">
        <f>+J868</f>
        <v>0</v>
      </c>
      <c r="K99" s="187">
        <f>+K868</f>
        <v>36625308.909999996</v>
      </c>
    </row>
    <row r="100" spans="1:242">
      <c r="A100" s="8"/>
      <c r="C100" s="9"/>
      <c r="D100" s="27"/>
      <c r="E100" s="8"/>
      <c r="F100" s="19" t="s">
        <v>6</v>
      </c>
      <c r="G100" s="20" t="s">
        <v>6</v>
      </c>
      <c r="H100" s="49"/>
      <c r="I100" s="28"/>
      <c r="J100" s="20"/>
      <c r="K100" s="49"/>
    </row>
    <row r="101" spans="1:242">
      <c r="A101" s="137">
        <v>11</v>
      </c>
      <c r="C101" s="9" t="s">
        <v>61</v>
      </c>
      <c r="E101" s="137">
        <v>11</v>
      </c>
      <c r="G101" s="50">
        <f>SUM(G90:G99)</f>
        <v>1428.77</v>
      </c>
      <c r="H101" s="48">
        <f>SUM(H90:H99)</f>
        <v>276731768.823318</v>
      </c>
      <c r="I101" s="30"/>
      <c r="J101" s="50">
        <f>SUM(J90:J99)</f>
        <v>1610.0825046853456</v>
      </c>
      <c r="K101" s="48">
        <f>SUM(K90:K99)</f>
        <v>276717414</v>
      </c>
    </row>
    <row r="102" spans="1:242">
      <c r="A102" s="8"/>
      <c r="E102" s="8"/>
      <c r="F102" s="19" t="s">
        <v>6</v>
      </c>
      <c r="G102" s="20" t="s">
        <v>6</v>
      </c>
      <c r="H102" s="21"/>
      <c r="I102" s="28"/>
      <c r="J102" s="20"/>
      <c r="K102" s="21"/>
    </row>
    <row r="103" spans="1:242">
      <c r="A103" s="8"/>
      <c r="E103" s="8"/>
      <c r="F103" s="19"/>
      <c r="G103" s="14"/>
      <c r="H103" s="21"/>
      <c r="I103" s="28"/>
      <c r="J103" s="14"/>
      <c r="K103" s="21"/>
    </row>
    <row r="104" spans="1:242">
      <c r="A104" s="137">
        <v>12</v>
      </c>
      <c r="C104" s="9" t="s">
        <v>35</v>
      </c>
      <c r="E104" s="137">
        <v>12</v>
      </c>
      <c r="G104" s="29"/>
      <c r="H104" s="29"/>
      <c r="I104" s="30"/>
      <c r="J104" s="50"/>
      <c r="K104" s="29"/>
    </row>
    <row r="105" spans="1:242">
      <c r="A105" s="8">
        <v>13</v>
      </c>
      <c r="C105" s="9" t="s">
        <v>36</v>
      </c>
      <c r="D105" s="27" t="s">
        <v>37</v>
      </c>
      <c r="E105" s="8">
        <v>13</v>
      </c>
      <c r="G105" s="50"/>
      <c r="H105" s="187">
        <f>+H495</f>
        <v>0</v>
      </c>
      <c r="I105" s="30"/>
      <c r="J105" s="50"/>
      <c r="K105" s="187">
        <f>+K495</f>
        <v>0</v>
      </c>
    </row>
    <row r="106" spans="1:242">
      <c r="A106" s="8">
        <v>14</v>
      </c>
      <c r="C106" s="9" t="s">
        <v>39</v>
      </c>
      <c r="D106" s="27" t="s">
        <v>62</v>
      </c>
      <c r="E106" s="8">
        <v>14</v>
      </c>
      <c r="G106" s="50"/>
      <c r="H106" s="187">
        <v>62822109.5</v>
      </c>
      <c r="I106" s="30"/>
      <c r="J106" s="50"/>
      <c r="K106" s="188">
        <v>64175070</v>
      </c>
    </row>
    <row r="107" spans="1:242">
      <c r="A107" s="8">
        <v>15</v>
      </c>
      <c r="C107" s="9" t="s">
        <v>41</v>
      </c>
      <c r="D107" s="27"/>
      <c r="E107" s="8">
        <v>15</v>
      </c>
      <c r="G107" s="50">
        <f>H182</f>
        <v>427</v>
      </c>
      <c r="H107" s="189">
        <v>1073362.5</v>
      </c>
      <c r="I107" s="30"/>
      <c r="J107" s="50">
        <f>K182</f>
        <v>427</v>
      </c>
      <c r="K107" s="189">
        <v>1337646</v>
      </c>
    </row>
    <row r="108" spans="1:242" ht="11.25" customHeight="1">
      <c r="A108" s="8">
        <v>16</v>
      </c>
      <c r="C108" s="9" t="s">
        <v>42</v>
      </c>
      <c r="D108" s="27"/>
      <c r="E108" s="8">
        <v>16</v>
      </c>
      <c r="G108" s="50"/>
      <c r="H108" s="187">
        <f>+H308-H107</f>
        <v>7248279.4199999999</v>
      </c>
      <c r="I108" s="30"/>
      <c r="J108" s="50"/>
      <c r="K108" s="189">
        <v>6849613</v>
      </c>
    </row>
    <row r="109" spans="1:242">
      <c r="A109" s="27">
        <v>17</v>
      </c>
      <c r="B109" s="27"/>
      <c r="C109" s="31" t="s">
        <v>63</v>
      </c>
      <c r="D109" s="27" t="s">
        <v>64</v>
      </c>
      <c r="E109" s="27">
        <v>17</v>
      </c>
      <c r="F109" s="27"/>
      <c r="G109" s="50"/>
      <c r="H109" s="187">
        <f>SUM(H107:H108)</f>
        <v>8321641.9199999999</v>
      </c>
      <c r="I109" s="31"/>
      <c r="J109" s="50"/>
      <c r="K109" s="187">
        <f>SUM(K107:K108)</f>
        <v>8187259</v>
      </c>
      <c r="L109" s="27"/>
      <c r="M109" s="31"/>
      <c r="N109" s="27"/>
      <c r="O109" s="31"/>
      <c r="P109" s="27"/>
      <c r="Q109" s="31"/>
      <c r="R109" s="27"/>
      <c r="S109" s="31"/>
      <c r="T109" s="27"/>
      <c r="U109" s="31"/>
      <c r="V109" s="27"/>
      <c r="W109" s="31"/>
      <c r="X109" s="27"/>
      <c r="Y109" s="31"/>
      <c r="Z109" s="27"/>
      <c r="AA109" s="31"/>
      <c r="AB109" s="27"/>
      <c r="AC109" s="31"/>
      <c r="AD109" s="27"/>
      <c r="AE109" s="31"/>
      <c r="AF109" s="27"/>
      <c r="AG109" s="31"/>
      <c r="AH109" s="27"/>
      <c r="AI109" s="31"/>
      <c r="AJ109" s="27"/>
      <c r="AK109" s="31"/>
      <c r="AL109" s="27"/>
      <c r="AM109" s="31"/>
      <c r="AN109" s="27"/>
      <c r="AO109" s="31"/>
      <c r="AP109" s="27"/>
      <c r="AQ109" s="31"/>
      <c r="AR109" s="27"/>
      <c r="AS109" s="31"/>
      <c r="AT109" s="27"/>
      <c r="AU109" s="31"/>
      <c r="AV109" s="27"/>
      <c r="AW109" s="31"/>
      <c r="AX109" s="27"/>
      <c r="AY109" s="31"/>
      <c r="AZ109" s="27"/>
      <c r="BA109" s="31"/>
      <c r="BB109" s="27"/>
      <c r="BC109" s="31"/>
      <c r="BD109" s="27"/>
      <c r="BE109" s="31"/>
      <c r="BF109" s="27"/>
      <c r="BG109" s="31"/>
      <c r="BH109" s="27"/>
      <c r="BI109" s="31"/>
      <c r="BJ109" s="27"/>
      <c r="BK109" s="31"/>
      <c r="BL109" s="27"/>
      <c r="BM109" s="31"/>
      <c r="BN109" s="27"/>
      <c r="BO109" s="31"/>
      <c r="BP109" s="27"/>
      <c r="BQ109" s="31"/>
      <c r="BR109" s="27"/>
      <c r="BS109" s="31"/>
      <c r="BT109" s="27"/>
      <c r="BU109" s="31"/>
      <c r="BV109" s="27"/>
      <c r="BW109" s="31"/>
      <c r="BX109" s="27"/>
      <c r="BY109" s="31"/>
      <c r="BZ109" s="27"/>
      <c r="CA109" s="31"/>
      <c r="CB109" s="27"/>
      <c r="CC109" s="31"/>
      <c r="CD109" s="27"/>
      <c r="CE109" s="31"/>
      <c r="CF109" s="27"/>
      <c r="CG109" s="31"/>
      <c r="CH109" s="27"/>
      <c r="CI109" s="31"/>
      <c r="CJ109" s="27"/>
      <c r="CK109" s="31"/>
      <c r="CL109" s="27"/>
      <c r="CM109" s="31"/>
      <c r="CN109" s="27"/>
      <c r="CO109" s="31"/>
      <c r="CP109" s="27"/>
      <c r="CQ109" s="31"/>
      <c r="CR109" s="27"/>
      <c r="CS109" s="31"/>
      <c r="CT109" s="27"/>
      <c r="CU109" s="31"/>
      <c r="CV109" s="27"/>
      <c r="CW109" s="31"/>
      <c r="CX109" s="27"/>
      <c r="CY109" s="31"/>
      <c r="CZ109" s="27"/>
      <c r="DA109" s="31"/>
      <c r="DB109" s="27"/>
      <c r="DC109" s="31"/>
      <c r="DD109" s="27"/>
      <c r="DE109" s="31"/>
      <c r="DF109" s="27"/>
      <c r="DG109" s="31"/>
      <c r="DH109" s="27"/>
      <c r="DI109" s="31"/>
      <c r="DJ109" s="27"/>
      <c r="DK109" s="31"/>
      <c r="DL109" s="27"/>
      <c r="DM109" s="31"/>
      <c r="DN109" s="27"/>
      <c r="DO109" s="31"/>
      <c r="DP109" s="27"/>
      <c r="DQ109" s="31"/>
      <c r="DR109" s="27"/>
      <c r="DS109" s="31"/>
      <c r="DT109" s="27"/>
      <c r="DU109" s="31"/>
      <c r="DV109" s="27"/>
      <c r="DW109" s="31"/>
      <c r="DX109" s="27"/>
      <c r="DY109" s="31"/>
      <c r="DZ109" s="27"/>
      <c r="EA109" s="31"/>
      <c r="EB109" s="27"/>
      <c r="EC109" s="31"/>
      <c r="ED109" s="27"/>
      <c r="EE109" s="31"/>
      <c r="EF109" s="27"/>
      <c r="EG109" s="31"/>
      <c r="EH109" s="27"/>
      <c r="EI109" s="31"/>
      <c r="EJ109" s="27"/>
      <c r="EK109" s="31"/>
      <c r="EL109" s="27"/>
      <c r="EM109" s="31"/>
      <c r="EN109" s="27"/>
      <c r="EO109" s="31"/>
      <c r="EP109" s="27"/>
      <c r="EQ109" s="31"/>
      <c r="ER109" s="27"/>
      <c r="ES109" s="31"/>
      <c r="ET109" s="27"/>
      <c r="EU109" s="31"/>
      <c r="EV109" s="27"/>
      <c r="EW109" s="31"/>
      <c r="EX109" s="27"/>
      <c r="EY109" s="31"/>
      <c r="EZ109" s="27"/>
      <c r="FA109" s="31"/>
      <c r="FB109" s="27"/>
      <c r="FC109" s="31"/>
      <c r="FD109" s="27"/>
      <c r="FE109" s="31"/>
      <c r="FF109" s="27"/>
      <c r="FG109" s="31"/>
      <c r="FH109" s="27"/>
      <c r="FI109" s="31"/>
      <c r="FJ109" s="27"/>
      <c r="FK109" s="31"/>
      <c r="FL109" s="27"/>
      <c r="FM109" s="31"/>
      <c r="FN109" s="27"/>
      <c r="FO109" s="31"/>
      <c r="FP109" s="27"/>
      <c r="FQ109" s="31"/>
      <c r="FR109" s="27"/>
      <c r="FS109" s="31"/>
      <c r="FT109" s="27"/>
      <c r="FU109" s="31"/>
      <c r="FV109" s="27"/>
      <c r="FW109" s="31"/>
      <c r="FX109" s="27"/>
      <c r="FY109" s="31"/>
      <c r="FZ109" s="27"/>
      <c r="GA109" s="31"/>
      <c r="GB109" s="27"/>
      <c r="GC109" s="31"/>
      <c r="GD109" s="27"/>
      <c r="GE109" s="31"/>
      <c r="GF109" s="27"/>
      <c r="GG109" s="31"/>
      <c r="GH109" s="27"/>
      <c r="GI109" s="31"/>
      <c r="GJ109" s="27"/>
      <c r="GK109" s="31"/>
      <c r="GL109" s="27"/>
      <c r="GM109" s="31"/>
      <c r="GN109" s="27"/>
      <c r="GO109" s="31"/>
      <c r="GP109" s="27"/>
      <c r="GQ109" s="31"/>
      <c r="GR109" s="27"/>
      <c r="GS109" s="31"/>
      <c r="GT109" s="27"/>
      <c r="GU109" s="31"/>
      <c r="GV109" s="27"/>
      <c r="GW109" s="31"/>
      <c r="GX109" s="27"/>
      <c r="GY109" s="31"/>
      <c r="GZ109" s="27"/>
      <c r="HA109" s="31"/>
      <c r="HB109" s="27"/>
      <c r="HC109" s="31"/>
      <c r="HD109" s="27"/>
      <c r="HE109" s="31"/>
      <c r="HF109" s="27"/>
      <c r="HG109" s="31"/>
      <c r="HH109" s="27"/>
      <c r="HI109" s="31"/>
      <c r="HJ109" s="27"/>
      <c r="HK109" s="31"/>
      <c r="HL109" s="27"/>
      <c r="HM109" s="31"/>
      <c r="HN109" s="27"/>
      <c r="HO109" s="31"/>
      <c r="HP109" s="27"/>
      <c r="HQ109" s="31"/>
      <c r="HR109" s="27"/>
      <c r="HS109" s="31"/>
      <c r="HT109" s="27"/>
      <c r="HU109" s="31"/>
      <c r="HV109" s="27"/>
      <c r="HW109" s="31"/>
      <c r="HX109" s="27"/>
      <c r="HY109" s="31"/>
      <c r="HZ109" s="27"/>
      <c r="IA109" s="31"/>
      <c r="IB109" s="27"/>
      <c r="IC109" s="31"/>
      <c r="ID109" s="27"/>
      <c r="IE109" s="31"/>
      <c r="IF109" s="27"/>
      <c r="IG109" s="31"/>
      <c r="IH109" s="27"/>
    </row>
    <row r="110" spans="1:242">
      <c r="A110" s="8">
        <v>18</v>
      </c>
      <c r="C110" s="9" t="s">
        <v>44</v>
      </c>
      <c r="D110" s="27" t="s">
        <v>64</v>
      </c>
      <c r="E110" s="8">
        <v>18</v>
      </c>
      <c r="G110" s="50"/>
      <c r="H110" s="187">
        <f>+H307</f>
        <v>57219327.5</v>
      </c>
      <c r="I110" s="30"/>
      <c r="J110" s="50"/>
      <c r="K110" s="189">
        <f>59775235+1449429</f>
        <v>61224664</v>
      </c>
    </row>
    <row r="111" spans="1:242">
      <c r="A111" s="8">
        <v>19</v>
      </c>
      <c r="C111" s="9" t="s">
        <v>45</v>
      </c>
      <c r="D111" s="27" t="s">
        <v>64</v>
      </c>
      <c r="E111" s="8">
        <v>19</v>
      </c>
      <c r="G111" s="50"/>
      <c r="H111" s="187">
        <f>+H313</f>
        <v>24280237.240000002</v>
      </c>
      <c r="I111" s="30"/>
      <c r="J111" s="50"/>
      <c r="K111" s="189">
        <v>21994451</v>
      </c>
    </row>
    <row r="112" spans="1:242">
      <c r="A112" s="8">
        <v>20</v>
      </c>
      <c r="C112" s="9" t="s">
        <v>46</v>
      </c>
      <c r="D112" s="27" t="s">
        <v>64</v>
      </c>
      <c r="E112" s="8">
        <v>20</v>
      </c>
      <c r="G112" s="50"/>
      <c r="H112" s="187">
        <f>H109+H110+H111</f>
        <v>89821206.659999996</v>
      </c>
      <c r="I112" s="30"/>
      <c r="J112" s="50"/>
      <c r="K112" s="187">
        <f>K109+K110+K111</f>
        <v>91406374</v>
      </c>
    </row>
    <row r="113" spans="1:11">
      <c r="A113" s="27">
        <v>21</v>
      </c>
      <c r="C113" s="9" t="s">
        <v>295</v>
      </c>
      <c r="D113" s="27"/>
      <c r="E113" s="8">
        <v>21</v>
      </c>
      <c r="G113" s="50"/>
      <c r="H113" s="187">
        <f>+H352-H333</f>
        <v>15325373</v>
      </c>
      <c r="I113" s="30"/>
      <c r="J113" s="50"/>
      <c r="K113" s="187">
        <f>+K352-K333</f>
        <v>15465812</v>
      </c>
    </row>
    <row r="114" spans="1:11">
      <c r="A114" s="27">
        <v>22</v>
      </c>
      <c r="C114" s="9"/>
      <c r="D114" s="27"/>
      <c r="E114" s="8">
        <v>22</v>
      </c>
      <c r="G114" s="50"/>
      <c r="H114" s="187">
        <f>H333</f>
        <v>0</v>
      </c>
      <c r="I114" s="30" t="s">
        <v>38</v>
      </c>
      <c r="J114" s="50"/>
      <c r="K114" s="187">
        <f>K333</f>
        <v>0</v>
      </c>
    </row>
    <row r="115" spans="1:11">
      <c r="A115" s="8">
        <v>23</v>
      </c>
      <c r="C115" s="32"/>
      <c r="E115" s="8">
        <v>23</v>
      </c>
      <c r="F115" s="19" t="s">
        <v>6</v>
      </c>
      <c r="G115" s="20"/>
      <c r="H115" s="21"/>
      <c r="I115" s="28"/>
      <c r="J115" s="20"/>
      <c r="K115" s="21"/>
    </row>
    <row r="116" spans="1:11">
      <c r="A116" s="8">
        <v>24</v>
      </c>
      <c r="C116" s="32"/>
      <c r="D116" s="9"/>
      <c r="E116" s="8">
        <v>24</v>
      </c>
    </row>
    <row r="117" spans="1:11">
      <c r="A117" s="8">
        <v>25</v>
      </c>
      <c r="C117" s="9" t="s">
        <v>239</v>
      </c>
      <c r="D117" s="27" t="s">
        <v>65</v>
      </c>
      <c r="E117" s="8">
        <v>25</v>
      </c>
      <c r="G117" s="50"/>
      <c r="H117" s="48">
        <f>+H399</f>
        <v>108763079.45999998</v>
      </c>
      <c r="I117" s="30"/>
      <c r="J117" s="50"/>
      <c r="K117" s="48">
        <f>+K399+K444</f>
        <v>105670158</v>
      </c>
    </row>
    <row r="118" spans="1:11">
      <c r="A118" s="137">
        <v>26</v>
      </c>
      <c r="E118" s="137">
        <v>26</v>
      </c>
      <c r="F118" s="19" t="s">
        <v>6</v>
      </c>
      <c r="G118" s="20"/>
      <c r="H118" s="21"/>
      <c r="I118" s="28"/>
      <c r="J118" s="20"/>
      <c r="K118" s="21"/>
    </row>
    <row r="119" spans="1:11">
      <c r="A119" s="8">
        <v>27</v>
      </c>
      <c r="C119" s="9" t="s">
        <v>48</v>
      </c>
      <c r="E119" s="8">
        <v>27</v>
      </c>
      <c r="F119" s="17"/>
      <c r="G119" s="50"/>
      <c r="H119" s="48">
        <f>H105+H106+H112+H113+H114+H117</f>
        <v>276731768.62</v>
      </c>
      <c r="I119" s="197"/>
      <c r="J119" s="51"/>
      <c r="K119" s="48">
        <f>K105+K106+K112+K113+K114+K117</f>
        <v>276717414</v>
      </c>
    </row>
    <row r="120" spans="1:11">
      <c r="A120" s="8"/>
      <c r="C120" s="9"/>
      <c r="E120" s="8"/>
      <c r="F120" s="52" t="s">
        <v>258</v>
      </c>
      <c r="G120" s="53"/>
      <c r="H120" s="53"/>
      <c r="I120" s="53"/>
      <c r="J120" s="54"/>
      <c r="K120" s="55"/>
    </row>
    <row r="121" spans="1:11" ht="29.25" customHeight="1">
      <c r="C121" s="221" t="s">
        <v>233</v>
      </c>
      <c r="D121" s="221"/>
      <c r="E121" s="221"/>
      <c r="F121" s="221"/>
      <c r="G121" s="221"/>
      <c r="H121" s="221"/>
      <c r="I121" s="221"/>
      <c r="J121" s="221"/>
      <c r="K121" s="56"/>
    </row>
    <row r="122" spans="1:11">
      <c r="D122" s="27"/>
      <c r="F122" s="19"/>
      <c r="G122" s="20"/>
      <c r="I122" s="28"/>
      <c r="J122" s="20"/>
      <c r="K122" s="21"/>
    </row>
    <row r="123" spans="1:11">
      <c r="C123" s="137" t="s">
        <v>49</v>
      </c>
      <c r="G123" s="137"/>
      <c r="H123" s="137"/>
      <c r="J123" s="137"/>
      <c r="K123" s="137"/>
    </row>
    <row r="124" spans="1:11">
      <c r="D124" s="27"/>
      <c r="F124" s="19"/>
      <c r="G124" s="20"/>
      <c r="I124" s="28"/>
      <c r="J124" s="20"/>
      <c r="K124" s="21"/>
    </row>
    <row r="125" spans="1:11">
      <c r="E125" s="35"/>
    </row>
    <row r="126" spans="1:11">
      <c r="A126" s="36" t="s">
        <v>234</v>
      </c>
    </row>
    <row r="127" spans="1:11">
      <c r="A127" s="16" t="str">
        <f>$A$83</f>
        <v xml:space="preserve">Institution No.:  </v>
      </c>
      <c r="B127" s="36"/>
      <c r="C127" s="36"/>
      <c r="D127" s="36"/>
      <c r="E127" s="37"/>
      <c r="F127" s="36"/>
      <c r="G127" s="38"/>
      <c r="H127" s="39"/>
      <c r="I127" s="36"/>
      <c r="J127" s="38"/>
      <c r="K127" s="15" t="s">
        <v>50</v>
      </c>
    </row>
    <row r="128" spans="1:11" ht="14.25">
      <c r="A128" s="222" t="s">
        <v>249</v>
      </c>
      <c r="B128" s="222"/>
      <c r="C128" s="222"/>
      <c r="D128" s="222"/>
      <c r="E128" s="222"/>
      <c r="F128" s="222"/>
      <c r="G128" s="222"/>
      <c r="H128" s="222"/>
      <c r="I128" s="222"/>
      <c r="J128" s="222"/>
      <c r="K128" s="222"/>
    </row>
    <row r="129" spans="1:11">
      <c r="A129" s="16" t="str">
        <f>$A$42</f>
        <v xml:space="preserve">NAME: </v>
      </c>
      <c r="C129" s="137" t="str">
        <f>$D$20</f>
        <v>University of Colorado</v>
      </c>
      <c r="H129" s="40"/>
      <c r="J129" s="14"/>
      <c r="K129" s="18" t="str">
        <f>$K$3</f>
        <v>Date: October 09, 2017</v>
      </c>
    </row>
    <row r="130" spans="1:11">
      <c r="A130" s="19" t="s">
        <v>6</v>
      </c>
      <c r="B130" s="19" t="s">
        <v>6</v>
      </c>
      <c r="C130" s="19" t="s">
        <v>6</v>
      </c>
      <c r="D130" s="19" t="s">
        <v>6</v>
      </c>
      <c r="E130" s="19" t="s">
        <v>6</v>
      </c>
      <c r="F130" s="19" t="s">
        <v>6</v>
      </c>
      <c r="G130" s="20" t="s">
        <v>6</v>
      </c>
      <c r="H130" s="21" t="s">
        <v>6</v>
      </c>
      <c r="I130" s="19" t="s">
        <v>6</v>
      </c>
      <c r="J130" s="20" t="s">
        <v>6</v>
      </c>
      <c r="K130" s="21" t="s">
        <v>6</v>
      </c>
    </row>
    <row r="131" spans="1:11">
      <c r="A131" s="22" t="s">
        <v>7</v>
      </c>
      <c r="E131" s="22" t="s">
        <v>7</v>
      </c>
      <c r="F131" s="23"/>
      <c r="G131" s="24"/>
      <c r="H131" s="25" t="str">
        <f>H87</f>
        <v>2016-17</v>
      </c>
      <c r="I131" s="23"/>
      <c r="J131" s="24"/>
      <c r="K131" s="25" t="str">
        <f>K87</f>
        <v>2017-18</v>
      </c>
    </row>
    <row r="132" spans="1:11">
      <c r="A132" s="22" t="s">
        <v>9</v>
      </c>
      <c r="C132" s="26" t="s">
        <v>51</v>
      </c>
      <c r="E132" s="22" t="s">
        <v>9</v>
      </c>
      <c r="F132" s="23"/>
      <c r="G132" s="24"/>
      <c r="H132" s="25" t="s">
        <v>12</v>
      </c>
      <c r="I132" s="23"/>
      <c r="J132" s="24"/>
      <c r="K132" s="25" t="s">
        <v>13</v>
      </c>
    </row>
    <row r="133" spans="1:11">
      <c r="A133" s="19" t="s">
        <v>6</v>
      </c>
      <c r="B133" s="19" t="s">
        <v>6</v>
      </c>
      <c r="C133" s="19" t="s">
        <v>6</v>
      </c>
      <c r="D133" s="19" t="s">
        <v>6</v>
      </c>
      <c r="E133" s="19" t="s">
        <v>6</v>
      </c>
      <c r="F133" s="19" t="s">
        <v>6</v>
      </c>
      <c r="G133" s="20" t="s">
        <v>6</v>
      </c>
      <c r="H133" s="21" t="s">
        <v>6</v>
      </c>
      <c r="I133" s="19" t="s">
        <v>6</v>
      </c>
      <c r="J133" s="20" t="s">
        <v>6</v>
      </c>
      <c r="K133" s="21" t="s">
        <v>6</v>
      </c>
    </row>
    <row r="134" spans="1:11">
      <c r="A134" s="137">
        <v>1</v>
      </c>
      <c r="C134" s="137" t="s">
        <v>52</v>
      </c>
      <c r="E134" s="137">
        <v>1</v>
      </c>
    </row>
    <row r="135" spans="1:11" ht="33.75" customHeight="1">
      <c r="A135" s="41">
        <v>2</v>
      </c>
      <c r="C135" s="223" t="s">
        <v>66</v>
      </c>
      <c r="D135" s="223"/>
      <c r="E135" s="41">
        <v>2</v>
      </c>
      <c r="G135" s="94"/>
      <c r="H135" s="139">
        <v>0</v>
      </c>
      <c r="I135" s="95"/>
      <c r="J135" s="95"/>
      <c r="K135" s="139">
        <v>0</v>
      </c>
    </row>
    <row r="136" spans="1:11" ht="15.75" customHeight="1">
      <c r="A136" s="137">
        <v>3</v>
      </c>
      <c r="C136" s="137" t="s">
        <v>53</v>
      </c>
      <c r="E136" s="137">
        <v>3</v>
      </c>
      <c r="G136" s="94"/>
      <c r="H136" s="140">
        <v>0</v>
      </c>
      <c r="I136" s="94"/>
      <c r="J136" s="94"/>
      <c r="K136" s="140">
        <v>0</v>
      </c>
    </row>
    <row r="137" spans="1:11">
      <c r="A137" s="137">
        <v>4</v>
      </c>
      <c r="C137" s="137" t="s">
        <v>54</v>
      </c>
      <c r="E137" s="137">
        <v>4</v>
      </c>
      <c r="G137" s="94"/>
      <c r="H137" s="140">
        <v>0</v>
      </c>
      <c r="I137" s="94"/>
      <c r="J137" s="94"/>
      <c r="K137" s="140">
        <v>0</v>
      </c>
    </row>
    <row r="138" spans="1:11">
      <c r="A138" s="137">
        <v>5</v>
      </c>
      <c r="C138" s="137" t="s">
        <v>55</v>
      </c>
      <c r="E138" s="137">
        <v>5</v>
      </c>
      <c r="G138" s="94"/>
      <c r="H138" s="140">
        <v>0</v>
      </c>
      <c r="I138" s="94"/>
      <c r="J138" s="94"/>
      <c r="K138" s="140">
        <v>0</v>
      </c>
    </row>
    <row r="139" spans="1:11" ht="47.25" customHeight="1">
      <c r="A139" s="41">
        <v>6</v>
      </c>
      <c r="C139" s="223" t="s">
        <v>56</v>
      </c>
      <c r="D139" s="223"/>
      <c r="E139" s="41">
        <v>6</v>
      </c>
      <c r="G139" s="94"/>
      <c r="H139" s="139">
        <v>0</v>
      </c>
      <c r="I139" s="95"/>
      <c r="J139" s="95"/>
      <c r="K139" s="139">
        <v>0</v>
      </c>
    </row>
    <row r="140" spans="1:11">
      <c r="A140" s="137">
        <v>7</v>
      </c>
      <c r="E140" s="137">
        <v>7</v>
      </c>
      <c r="G140" s="94"/>
      <c r="H140" s="94"/>
      <c r="I140" s="94"/>
      <c r="J140" s="94"/>
      <c r="K140" s="94"/>
    </row>
    <row r="141" spans="1:11">
      <c r="A141" s="137">
        <v>8</v>
      </c>
      <c r="E141" s="137">
        <v>8</v>
      </c>
      <c r="G141" s="94"/>
      <c r="H141" s="94"/>
      <c r="I141" s="94"/>
      <c r="J141" s="94"/>
      <c r="K141" s="94"/>
    </row>
    <row r="142" spans="1:11">
      <c r="A142" s="137">
        <v>9</v>
      </c>
      <c r="E142" s="137">
        <v>9</v>
      </c>
      <c r="G142" s="94"/>
      <c r="H142" s="94"/>
      <c r="I142" s="94"/>
      <c r="J142" s="94"/>
      <c r="K142" s="94"/>
    </row>
    <row r="143" spans="1:11">
      <c r="A143" s="137">
        <v>10</v>
      </c>
      <c r="E143" s="137">
        <v>10</v>
      </c>
      <c r="G143" s="94"/>
      <c r="H143" s="94"/>
      <c r="I143" s="94"/>
      <c r="J143" s="94"/>
      <c r="K143" s="94"/>
    </row>
    <row r="144" spans="1:11">
      <c r="A144" s="137">
        <v>11</v>
      </c>
      <c r="E144" s="137">
        <v>11</v>
      </c>
      <c r="G144" s="94"/>
      <c r="H144" s="94"/>
      <c r="I144" s="94"/>
      <c r="J144" s="94"/>
      <c r="K144" s="94"/>
    </row>
    <row r="145" spans="1:11">
      <c r="A145" s="137">
        <v>12</v>
      </c>
      <c r="C145" s="137" t="s">
        <v>57</v>
      </c>
      <c r="E145" s="137">
        <v>12</v>
      </c>
      <c r="G145" s="94"/>
      <c r="H145" s="94">
        <f>SUM(H135:H144)</f>
        <v>0</v>
      </c>
      <c r="I145" s="94"/>
      <c r="J145" s="94"/>
      <c r="K145" s="94">
        <f>SUM(K135:K144)</f>
        <v>0</v>
      </c>
    </row>
    <row r="146" spans="1:11">
      <c r="E146" s="35"/>
    </row>
    <row r="147" spans="1:11">
      <c r="E147" s="35"/>
    </row>
    <row r="148" spans="1:11">
      <c r="E148" s="35"/>
    </row>
    <row r="149" spans="1:11">
      <c r="E149" s="35"/>
    </row>
    <row r="150" spans="1:11">
      <c r="E150" s="35"/>
    </row>
    <row r="151" spans="1:11">
      <c r="E151" s="35"/>
    </row>
    <row r="152" spans="1:11">
      <c r="E152" s="35"/>
    </row>
    <row r="154" spans="1:11">
      <c r="D154" s="42"/>
      <c r="F154" s="42"/>
      <c r="G154" s="43"/>
      <c r="H154" s="44"/>
    </row>
    <row r="155" spans="1:11">
      <c r="E155" s="35"/>
    </row>
    <row r="156" spans="1:11">
      <c r="E156" s="35"/>
    </row>
    <row r="157" spans="1:11">
      <c r="E157" s="35"/>
    </row>
    <row r="158" spans="1:11" ht="13.5">
      <c r="C158" s="137" t="s">
        <v>256</v>
      </c>
      <c r="E158" s="35"/>
    </row>
    <row r="159" spans="1:11">
      <c r="E159" s="35"/>
    </row>
    <row r="160" spans="1:11" ht="12.75">
      <c r="B160" s="45"/>
      <c r="C160" s="46"/>
      <c r="D160" s="47"/>
      <c r="E160" s="47"/>
      <c r="F160" s="47"/>
    </row>
    <row r="161" spans="1:11" ht="12.75">
      <c r="B161" s="45"/>
      <c r="C161" s="46"/>
      <c r="D161" s="47"/>
      <c r="E161" s="47"/>
      <c r="F161" s="47"/>
    </row>
    <row r="162" spans="1:11">
      <c r="E162" s="35"/>
    </row>
    <row r="163" spans="1:11">
      <c r="E163" s="35"/>
    </row>
    <row r="164" spans="1:11">
      <c r="E164" s="35"/>
    </row>
    <row r="165" spans="1:11">
      <c r="E165" s="35"/>
    </row>
    <row r="166" spans="1:11">
      <c r="E166" s="35"/>
    </row>
    <row r="167" spans="1:11">
      <c r="E167" s="35"/>
    </row>
    <row r="168" spans="1:11">
      <c r="E168" s="35"/>
    </row>
    <row r="169" spans="1:11">
      <c r="E169" s="35"/>
    </row>
    <row r="170" spans="1:11">
      <c r="E170" s="35"/>
    </row>
    <row r="171" spans="1:11">
      <c r="E171" s="35"/>
    </row>
    <row r="172" spans="1:11">
      <c r="E172" s="35"/>
    </row>
    <row r="173" spans="1:11">
      <c r="E173" s="35"/>
    </row>
    <row r="174" spans="1:11">
      <c r="A174" s="16" t="str">
        <f>$A$83</f>
        <v xml:space="preserve">Institution No.:  </v>
      </c>
      <c r="E174" s="35"/>
      <c r="G174" s="14"/>
      <c r="H174" s="40"/>
      <c r="J174" s="14"/>
      <c r="K174" s="15" t="s">
        <v>67</v>
      </c>
    </row>
    <row r="175" spans="1:11" s="36" customFormat="1">
      <c r="A175" s="222" t="s">
        <v>68</v>
      </c>
      <c r="B175" s="222"/>
      <c r="C175" s="222"/>
      <c r="D175" s="222"/>
      <c r="E175" s="222"/>
      <c r="F175" s="222"/>
      <c r="G175" s="222"/>
      <c r="H175" s="222"/>
      <c r="I175" s="222"/>
      <c r="J175" s="222"/>
      <c r="K175" s="222"/>
    </row>
    <row r="176" spans="1:11">
      <c r="A176" s="16" t="str">
        <f>$A$42</f>
        <v xml:space="preserve">NAME: </v>
      </c>
      <c r="C176" s="137" t="str">
        <f>$D$20</f>
        <v>University of Colorado</v>
      </c>
      <c r="H176" s="40"/>
      <c r="J176" s="14"/>
      <c r="K176" s="18" t="str">
        <f>$K$3</f>
        <v>Date: October 09, 2017</v>
      </c>
    </row>
    <row r="177" spans="1:11">
      <c r="A177" s="19" t="s">
        <v>6</v>
      </c>
      <c r="B177" s="19" t="s">
        <v>6</v>
      </c>
      <c r="C177" s="19" t="s">
        <v>6</v>
      </c>
      <c r="D177" s="19" t="s">
        <v>6</v>
      </c>
      <c r="E177" s="19" t="s">
        <v>6</v>
      </c>
      <c r="F177" s="19" t="s">
        <v>6</v>
      </c>
      <c r="G177" s="20" t="s">
        <v>6</v>
      </c>
      <c r="H177" s="21" t="s">
        <v>6</v>
      </c>
      <c r="I177" s="19" t="s">
        <v>6</v>
      </c>
      <c r="J177" s="20" t="s">
        <v>6</v>
      </c>
      <c r="K177" s="21" t="s">
        <v>6</v>
      </c>
    </row>
    <row r="178" spans="1:11">
      <c r="A178" s="22" t="s">
        <v>7</v>
      </c>
      <c r="E178" s="22" t="s">
        <v>7</v>
      </c>
      <c r="G178" s="24"/>
      <c r="H178" s="25" t="str">
        <f>H131</f>
        <v>2016-17</v>
      </c>
      <c r="I178" s="23"/>
      <c r="J178" s="137"/>
      <c r="K178" s="25" t="str">
        <f>K131</f>
        <v>2017-18</v>
      </c>
    </row>
    <row r="179" spans="1:11">
      <c r="A179" s="22" t="s">
        <v>9</v>
      </c>
      <c r="E179" s="22" t="s">
        <v>9</v>
      </c>
      <c r="G179" s="24"/>
      <c r="H179" s="25" t="s">
        <v>12</v>
      </c>
      <c r="I179" s="23"/>
      <c r="J179" s="137"/>
      <c r="K179" s="25" t="str">
        <f>K132</f>
        <v>Estimate</v>
      </c>
    </row>
    <row r="180" spans="1:11">
      <c r="A180" s="19" t="s">
        <v>6</v>
      </c>
      <c r="B180" s="19" t="s">
        <v>6</v>
      </c>
      <c r="C180" s="19" t="s">
        <v>6</v>
      </c>
      <c r="D180" s="19" t="s">
        <v>6</v>
      </c>
      <c r="E180" s="19" t="s">
        <v>6</v>
      </c>
      <c r="F180" s="19" t="s">
        <v>6</v>
      </c>
      <c r="G180" s="20" t="s">
        <v>6</v>
      </c>
      <c r="H180" s="21" t="s">
        <v>6</v>
      </c>
      <c r="I180" s="19" t="s">
        <v>6</v>
      </c>
      <c r="J180" s="20" t="s">
        <v>6</v>
      </c>
      <c r="K180" s="20" t="s">
        <v>6</v>
      </c>
    </row>
    <row r="181" spans="1:11">
      <c r="A181" s="8">
        <v>1</v>
      </c>
      <c r="C181" s="9" t="s">
        <v>69</v>
      </c>
      <c r="E181" s="8">
        <v>1</v>
      </c>
      <c r="G181" s="14"/>
      <c r="H181" s="30"/>
      <c r="J181" s="137"/>
      <c r="K181" s="137"/>
    </row>
    <row r="182" spans="1:11">
      <c r="A182" s="27" t="s">
        <v>70</v>
      </c>
      <c r="C182" s="9" t="s">
        <v>71</v>
      </c>
      <c r="E182" s="27" t="s">
        <v>70</v>
      </c>
      <c r="F182" s="60"/>
      <c r="G182" s="96"/>
      <c r="H182" s="141">
        <v>427</v>
      </c>
      <c r="I182" s="96"/>
      <c r="J182" s="137"/>
      <c r="K182" s="141">
        <v>427</v>
      </c>
    </row>
    <row r="183" spans="1:11">
      <c r="A183" s="27" t="s">
        <v>72</v>
      </c>
      <c r="C183" s="9" t="s">
        <v>73</v>
      </c>
      <c r="E183" s="27" t="s">
        <v>72</v>
      </c>
      <c r="F183" s="60"/>
      <c r="G183" s="96"/>
      <c r="H183" s="98"/>
      <c r="I183" s="96"/>
      <c r="J183" s="137"/>
      <c r="K183" s="98"/>
    </row>
    <row r="184" spans="1:11">
      <c r="A184" s="27" t="s">
        <v>74</v>
      </c>
      <c r="C184" s="9" t="s">
        <v>75</v>
      </c>
      <c r="E184" s="27" t="s">
        <v>74</v>
      </c>
      <c r="F184" s="60"/>
      <c r="G184" s="96"/>
      <c r="H184" s="191">
        <v>427</v>
      </c>
      <c r="I184" s="96"/>
      <c r="J184" s="137"/>
      <c r="K184" s="97">
        <v>427</v>
      </c>
    </row>
    <row r="185" spans="1:11">
      <c r="A185" s="8">
        <v>3</v>
      </c>
      <c r="C185" s="9" t="s">
        <v>76</v>
      </c>
      <c r="E185" s="8">
        <v>3</v>
      </c>
      <c r="F185" s="60"/>
      <c r="G185" s="96"/>
      <c r="H185" s="191">
        <v>2988</v>
      </c>
      <c r="I185" s="96"/>
      <c r="J185" s="137"/>
      <c r="K185" s="141">
        <v>2994</v>
      </c>
    </row>
    <row r="186" spans="1:11">
      <c r="A186" s="8">
        <v>4</v>
      </c>
      <c r="C186" s="9" t="s">
        <v>77</v>
      </c>
      <c r="E186" s="8">
        <v>4</v>
      </c>
      <c r="F186" s="60"/>
      <c r="G186" s="96"/>
      <c r="H186" s="193">
        <f>+H184+H185</f>
        <v>3415</v>
      </c>
      <c r="I186" s="96"/>
      <c r="J186" s="137"/>
      <c r="K186" s="97">
        <v>3421</v>
      </c>
    </row>
    <row r="187" spans="1:11">
      <c r="A187" s="8">
        <v>5</v>
      </c>
      <c r="E187" s="8">
        <v>5</v>
      </c>
      <c r="F187" s="60"/>
      <c r="G187" s="96"/>
      <c r="H187" s="193"/>
      <c r="I187" s="96"/>
      <c r="J187" s="137"/>
      <c r="K187" s="97"/>
    </row>
    <row r="188" spans="1:11">
      <c r="A188" s="8">
        <v>6</v>
      </c>
      <c r="C188" s="9" t="s">
        <v>78</v>
      </c>
      <c r="E188" s="8">
        <v>6</v>
      </c>
      <c r="F188" s="60"/>
      <c r="G188" s="96"/>
      <c r="H188" s="191">
        <v>52</v>
      </c>
      <c r="I188" s="96"/>
      <c r="J188" s="137"/>
      <c r="K188" s="141">
        <v>46</v>
      </c>
    </row>
    <row r="189" spans="1:11">
      <c r="A189" s="8">
        <v>7</v>
      </c>
      <c r="C189" s="9" t="s">
        <v>79</v>
      </c>
      <c r="E189" s="8">
        <v>7</v>
      </c>
      <c r="F189" s="60"/>
      <c r="G189" s="96"/>
      <c r="H189" s="191">
        <v>704</v>
      </c>
      <c r="I189" s="96"/>
      <c r="J189" s="137"/>
      <c r="K189" s="141">
        <v>708</v>
      </c>
    </row>
    <row r="190" spans="1:11">
      <c r="A190" s="8">
        <v>8</v>
      </c>
      <c r="C190" s="9" t="s">
        <v>80</v>
      </c>
      <c r="E190" s="8">
        <v>8</v>
      </c>
      <c r="F190" s="60"/>
      <c r="G190" s="96"/>
      <c r="H190" s="193">
        <f>+H188+H189</f>
        <v>756</v>
      </c>
      <c r="I190" s="96"/>
      <c r="J190" s="137"/>
      <c r="K190" s="97">
        <v>754</v>
      </c>
    </row>
    <row r="191" spans="1:11">
      <c r="A191" s="8">
        <v>9</v>
      </c>
      <c r="E191" s="8">
        <v>9</v>
      </c>
      <c r="F191" s="60"/>
      <c r="G191" s="96"/>
      <c r="H191" s="193"/>
      <c r="I191" s="96"/>
      <c r="J191" s="137"/>
      <c r="K191" s="97"/>
    </row>
    <row r="192" spans="1:11">
      <c r="A192" s="8">
        <v>10</v>
      </c>
      <c r="C192" s="9" t="s">
        <v>81</v>
      </c>
      <c r="E192" s="8">
        <v>10</v>
      </c>
      <c r="F192" s="60"/>
      <c r="G192" s="96"/>
      <c r="H192" s="193">
        <f>+H184+H188</f>
        <v>479</v>
      </c>
      <c r="I192" s="96"/>
      <c r="J192" s="137"/>
      <c r="K192" s="97">
        <v>473</v>
      </c>
    </row>
    <row r="193" spans="1:11">
      <c r="A193" s="8">
        <v>11</v>
      </c>
      <c r="C193" s="9" t="s">
        <v>82</v>
      </c>
      <c r="E193" s="8">
        <v>11</v>
      </c>
      <c r="F193" s="60"/>
      <c r="G193" s="96"/>
      <c r="H193" s="193">
        <f>+H185+H189</f>
        <v>3692</v>
      </c>
      <c r="I193" s="96"/>
      <c r="J193" s="137"/>
      <c r="K193" s="97">
        <v>3702</v>
      </c>
    </row>
    <row r="194" spans="1:11">
      <c r="A194" s="8">
        <v>12</v>
      </c>
      <c r="C194" s="9" t="s">
        <v>83</v>
      </c>
      <c r="E194" s="8">
        <v>12</v>
      </c>
      <c r="F194" s="60"/>
      <c r="G194" s="96"/>
      <c r="H194" s="193">
        <f>+H190+H186</f>
        <v>4171</v>
      </c>
      <c r="I194" s="96"/>
      <c r="J194" s="137"/>
      <c r="K194" s="97">
        <v>4175</v>
      </c>
    </row>
    <row r="195" spans="1:11">
      <c r="A195" s="8">
        <v>13</v>
      </c>
      <c r="E195" s="8">
        <v>13</v>
      </c>
      <c r="G195" s="96"/>
      <c r="H195" s="198"/>
      <c r="I195" s="100"/>
      <c r="J195" s="137"/>
      <c r="K195" s="99"/>
    </row>
    <row r="196" spans="1:11">
      <c r="A196" s="8">
        <v>15</v>
      </c>
      <c r="C196" s="9" t="s">
        <v>84</v>
      </c>
      <c r="E196" s="8">
        <v>15</v>
      </c>
      <c r="G196" s="96"/>
      <c r="H196" s="199"/>
      <c r="I196" s="100"/>
      <c r="J196" s="137"/>
      <c r="K196" s="101"/>
    </row>
    <row r="197" spans="1:11">
      <c r="A197" s="8">
        <v>16</v>
      </c>
      <c r="C197" s="9" t="s">
        <v>85</v>
      </c>
      <c r="E197" s="8">
        <v>16</v>
      </c>
      <c r="G197" s="96"/>
      <c r="H197" s="168">
        <f>(H119-H367)/H194</f>
        <v>48355.497880604176</v>
      </c>
      <c r="I197" s="102"/>
      <c r="J197" s="137"/>
      <c r="K197" s="99"/>
    </row>
    <row r="198" spans="1:11">
      <c r="A198" s="8">
        <v>17</v>
      </c>
      <c r="C198" s="9" t="s">
        <v>86</v>
      </c>
      <c r="E198" s="8">
        <v>17</v>
      </c>
      <c r="G198" s="96"/>
      <c r="H198" s="200"/>
      <c r="I198" s="100"/>
      <c r="J198" s="137"/>
      <c r="K198" s="100"/>
    </row>
    <row r="199" spans="1:11">
      <c r="A199" s="8">
        <v>18</v>
      </c>
      <c r="E199" s="8">
        <v>18</v>
      </c>
      <c r="G199" s="96"/>
      <c r="H199" s="198"/>
      <c r="I199" s="100"/>
      <c r="J199" s="137"/>
      <c r="K199" s="100"/>
    </row>
    <row r="200" spans="1:11">
      <c r="A200" s="137">
        <v>19</v>
      </c>
      <c r="C200" s="9" t="s">
        <v>87</v>
      </c>
      <c r="E200" s="137">
        <v>19</v>
      </c>
      <c r="G200" s="96"/>
      <c r="H200" s="198"/>
      <c r="I200" s="100"/>
      <c r="J200" s="137"/>
      <c r="K200" s="100"/>
    </row>
    <row r="201" spans="1:11">
      <c r="A201" s="8">
        <v>20</v>
      </c>
      <c r="C201" s="9" t="s">
        <v>88</v>
      </c>
      <c r="E201" s="8">
        <v>20</v>
      </c>
      <c r="F201" s="10"/>
      <c r="G201" s="103"/>
      <c r="H201" s="201">
        <f>G512+G551</f>
        <v>402.28</v>
      </c>
      <c r="I201" s="103"/>
      <c r="J201" s="137"/>
      <c r="K201" s="104"/>
    </row>
    <row r="202" spans="1:11">
      <c r="A202" s="8">
        <v>21</v>
      </c>
      <c r="C202" s="9" t="s">
        <v>89</v>
      </c>
      <c r="E202" s="8">
        <v>21</v>
      </c>
      <c r="F202" s="10"/>
      <c r="G202" s="103"/>
      <c r="H202" s="201">
        <f>G508+G547</f>
        <v>354.63</v>
      </c>
      <c r="I202" s="103"/>
      <c r="J202" s="137"/>
      <c r="K202" s="104"/>
    </row>
    <row r="203" spans="1:11">
      <c r="A203" s="8">
        <v>22</v>
      </c>
      <c r="C203" s="9" t="s">
        <v>90</v>
      </c>
      <c r="E203" s="8">
        <v>22</v>
      </c>
      <c r="F203" s="10"/>
      <c r="G203" s="103"/>
      <c r="H203" s="201">
        <f>G510+G549</f>
        <v>47.650000000000006</v>
      </c>
      <c r="I203" s="103"/>
      <c r="J203" s="137"/>
      <c r="K203" s="104"/>
    </row>
    <row r="204" spans="1:11">
      <c r="A204" s="8">
        <v>23</v>
      </c>
      <c r="E204" s="8">
        <v>23</v>
      </c>
      <c r="F204" s="10"/>
      <c r="G204" s="103"/>
      <c r="H204" s="201"/>
      <c r="I204" s="103"/>
      <c r="J204" s="137"/>
      <c r="K204" s="104"/>
    </row>
    <row r="205" spans="1:11">
      <c r="A205" s="8">
        <v>24</v>
      </c>
      <c r="C205" s="9" t="s">
        <v>91</v>
      </c>
      <c r="E205" s="8">
        <v>24</v>
      </c>
      <c r="F205" s="10"/>
      <c r="G205" s="103"/>
      <c r="H205" s="201"/>
      <c r="I205" s="103"/>
      <c r="K205" s="103"/>
    </row>
    <row r="206" spans="1:11" ht="15">
      <c r="A206" s="8">
        <v>25</v>
      </c>
      <c r="C206" s="9" t="s">
        <v>92</v>
      </c>
      <c r="E206" s="8">
        <v>25</v>
      </c>
      <c r="G206" s="96"/>
      <c r="H206" s="198">
        <f>IF(OR(G512&gt;0,G551&gt;0),(H551+H512)/(G551+G512),0)</f>
        <v>173040.52102764248</v>
      </c>
      <c r="I206" s="100"/>
      <c r="K206" s="136"/>
    </row>
    <row r="207" spans="1:11">
      <c r="A207" s="8">
        <v>26</v>
      </c>
      <c r="C207" s="9" t="s">
        <v>93</v>
      </c>
      <c r="E207" s="8">
        <v>26</v>
      </c>
      <c r="G207" s="96"/>
      <c r="H207" s="198">
        <f>IF(H202=0,0,(H508+H509+H547+H548)/H202)</f>
        <v>174095.58209683333</v>
      </c>
      <c r="I207" s="100"/>
      <c r="J207" s="137"/>
      <c r="K207" s="100"/>
    </row>
    <row r="208" spans="1:11">
      <c r="A208" s="8">
        <v>27</v>
      </c>
      <c r="C208" s="9" t="s">
        <v>94</v>
      </c>
      <c r="E208" s="8">
        <v>27</v>
      </c>
      <c r="G208" s="96"/>
      <c r="H208" s="198">
        <f>IF(H203=0,0,(H510+H511+H549+H550)/H203)</f>
        <v>165188.3424973767</v>
      </c>
      <c r="I208" s="100"/>
      <c r="J208" s="137"/>
      <c r="K208" s="100"/>
    </row>
    <row r="209" spans="1:11">
      <c r="A209" s="8">
        <v>28</v>
      </c>
      <c r="E209" s="8">
        <v>28</v>
      </c>
      <c r="G209" s="96"/>
      <c r="H209" s="198"/>
      <c r="I209" s="100"/>
      <c r="J209" s="137"/>
      <c r="K209" s="100"/>
    </row>
    <row r="210" spans="1:11">
      <c r="A210" s="8">
        <v>29</v>
      </c>
      <c r="C210" s="9" t="s">
        <v>95</v>
      </c>
      <c r="E210" s="8">
        <v>29</v>
      </c>
      <c r="F210" s="61"/>
      <c r="G210" s="96"/>
      <c r="H210" s="193">
        <f>G101</f>
        <v>1428.77</v>
      </c>
      <c r="I210" s="96"/>
      <c r="J210" s="137"/>
      <c r="K210" s="97"/>
    </row>
    <row r="211" spans="1:11">
      <c r="A211" s="9"/>
      <c r="H211" s="40"/>
      <c r="J211" s="137"/>
      <c r="K211" s="137"/>
    </row>
    <row r="212" spans="1:11">
      <c r="A212" s="9"/>
      <c r="H212" s="40"/>
      <c r="K212" s="40"/>
    </row>
    <row r="213" spans="1:11" ht="30" customHeight="1">
      <c r="A213" s="9"/>
      <c r="C213" s="231" t="s">
        <v>96</v>
      </c>
      <c r="D213" s="231"/>
      <c r="E213" s="231"/>
      <c r="F213" s="231"/>
      <c r="G213" s="231"/>
      <c r="H213" s="231"/>
      <c r="I213" s="231"/>
      <c r="K213" s="40"/>
    </row>
    <row r="214" spans="1:11">
      <c r="A214" s="9"/>
      <c r="H214" s="40"/>
      <c r="K214" s="40"/>
    </row>
    <row r="215" spans="1:11">
      <c r="A215" s="9"/>
      <c r="H215" s="40"/>
      <c r="K215" s="40"/>
    </row>
    <row r="216" spans="1:11">
      <c r="A216" s="9"/>
      <c r="H216" s="40"/>
      <c r="K216" s="40"/>
    </row>
    <row r="217" spans="1:11" ht="14.25" customHeight="1">
      <c r="A217" s="9"/>
      <c r="C217" s="36"/>
      <c r="D217" s="36"/>
      <c r="E217" s="36"/>
      <c r="F217" s="36"/>
      <c r="G217" s="202" t="s">
        <v>296</v>
      </c>
      <c r="H217" s="203"/>
      <c r="I217" s="204"/>
      <c r="K217" s="40"/>
    </row>
    <row r="218" spans="1:11">
      <c r="A218" s="9"/>
      <c r="G218" s="202" t="s">
        <v>297</v>
      </c>
      <c r="H218" s="205"/>
      <c r="I218" s="204"/>
      <c r="K218" s="40"/>
    </row>
    <row r="219" spans="1:11">
      <c r="A219" s="9"/>
      <c r="H219" s="40"/>
      <c r="K219" s="40"/>
    </row>
    <row r="220" spans="1:11">
      <c r="A220" s="9"/>
      <c r="H220" s="40"/>
      <c r="K220" s="40"/>
    </row>
    <row r="221" spans="1:11">
      <c r="A221" s="9"/>
      <c r="H221" s="40"/>
      <c r="K221" s="40"/>
    </row>
    <row r="222" spans="1:11">
      <c r="A222" s="9"/>
      <c r="H222" s="40"/>
      <c r="K222" s="40"/>
    </row>
    <row r="223" spans="1:11">
      <c r="A223" s="9"/>
      <c r="H223" s="40"/>
      <c r="K223" s="40"/>
    </row>
    <row r="224" spans="1:11">
      <c r="E224" s="35"/>
      <c r="G224" s="14"/>
      <c r="H224" s="40"/>
      <c r="I224" s="17"/>
      <c r="K224" s="40"/>
    </row>
    <row r="225" spans="1:11">
      <c r="A225" s="9"/>
      <c r="H225" s="40"/>
      <c r="K225" s="40"/>
    </row>
    <row r="226" spans="1:11">
      <c r="A226" s="16" t="str">
        <f>$A$83</f>
        <v xml:space="preserve">Institution No.:  </v>
      </c>
      <c r="C226" s="63"/>
      <c r="G226" s="137"/>
      <c r="H226" s="137"/>
      <c r="I226" s="31" t="s">
        <v>97</v>
      </c>
      <c r="J226" s="137"/>
      <c r="K226" s="137"/>
    </row>
    <row r="227" spans="1:11">
      <c r="A227" s="158"/>
      <c r="B227" s="232" t="s">
        <v>98</v>
      </c>
      <c r="C227" s="232"/>
      <c r="D227" s="232"/>
      <c r="E227" s="232"/>
      <c r="F227" s="232"/>
      <c r="G227" s="232"/>
      <c r="H227" s="232"/>
      <c r="I227" s="232"/>
      <c r="J227" s="232"/>
      <c r="K227" s="232"/>
    </row>
    <row r="228" spans="1:11">
      <c r="A228" s="16" t="str">
        <f>$A$42</f>
        <v xml:space="preserve">NAME: </v>
      </c>
      <c r="C228" s="137" t="str">
        <f>$D$20</f>
        <v>University of Colorado</v>
      </c>
      <c r="G228" s="137"/>
      <c r="H228" s="137"/>
      <c r="I228" s="18" t="str">
        <f>$K$3</f>
        <v>Date: October 09, 2017</v>
      </c>
      <c r="J228" s="137"/>
      <c r="K228" s="137"/>
    </row>
    <row r="229" spans="1:11">
      <c r="A229" s="19"/>
      <c r="C229" s="19" t="s">
        <v>6</v>
      </c>
      <c r="D229" s="19" t="s">
        <v>6</v>
      </c>
      <c r="E229" s="19" t="s">
        <v>6</v>
      </c>
      <c r="F229" s="19" t="s">
        <v>6</v>
      </c>
      <c r="G229" s="19" t="s">
        <v>6</v>
      </c>
      <c r="H229" s="19" t="s">
        <v>6</v>
      </c>
      <c r="I229" s="19" t="s">
        <v>6</v>
      </c>
      <c r="J229" s="19" t="s">
        <v>6</v>
      </c>
      <c r="K229" s="137"/>
    </row>
    <row r="230" spans="1:11">
      <c r="A230" s="22"/>
      <c r="D230" s="26" t="s">
        <v>232</v>
      </c>
      <c r="G230" s="137"/>
      <c r="H230" s="137"/>
      <c r="J230" s="137"/>
      <c r="K230" s="137"/>
    </row>
    <row r="231" spans="1:11">
      <c r="A231" s="22"/>
      <c r="D231" s="26" t="s">
        <v>12</v>
      </c>
      <c r="G231" s="137"/>
      <c r="H231" s="137"/>
      <c r="J231" s="137"/>
      <c r="K231" s="137"/>
    </row>
    <row r="232" spans="1:11">
      <c r="A232" s="19"/>
      <c r="D232" s="26" t="s">
        <v>99</v>
      </c>
      <c r="E232" s="26" t="s">
        <v>99</v>
      </c>
      <c r="F232" s="26" t="s">
        <v>100</v>
      </c>
      <c r="G232" s="26"/>
      <c r="H232" s="137"/>
      <c r="J232" s="137"/>
      <c r="K232" s="137"/>
    </row>
    <row r="233" spans="1:11">
      <c r="A233" s="9"/>
      <c r="C233" s="26" t="s">
        <v>101</v>
      </c>
      <c r="D233" s="26" t="s">
        <v>102</v>
      </c>
      <c r="E233" s="26" t="s">
        <v>103</v>
      </c>
      <c r="F233" s="26" t="s">
        <v>104</v>
      </c>
      <c r="G233" s="26"/>
      <c r="H233" s="137"/>
      <c r="J233" s="137"/>
      <c r="K233" s="137"/>
    </row>
    <row r="234" spans="1:11">
      <c r="A234" s="9"/>
      <c r="C234" s="19" t="s">
        <v>6</v>
      </c>
      <c r="D234" s="19" t="s">
        <v>6</v>
      </c>
      <c r="E234" s="19" t="s">
        <v>6</v>
      </c>
      <c r="F234" s="19" t="s">
        <v>6</v>
      </c>
      <c r="G234" s="19" t="s">
        <v>6</v>
      </c>
      <c r="H234" s="137"/>
      <c r="J234" s="137"/>
      <c r="K234" s="137"/>
    </row>
    <row r="235" spans="1:11">
      <c r="A235" s="9"/>
      <c r="G235" s="137"/>
      <c r="H235" s="137"/>
      <c r="J235" s="137"/>
      <c r="K235" s="137"/>
    </row>
    <row r="236" spans="1:11">
      <c r="A236" s="9"/>
      <c r="C236" s="9" t="s">
        <v>105</v>
      </c>
      <c r="D236" s="142">
        <v>0</v>
      </c>
      <c r="E236" s="142">
        <v>0</v>
      </c>
      <c r="F236" s="97"/>
      <c r="G236" s="137"/>
      <c r="H236" s="137"/>
      <c r="J236" s="137"/>
      <c r="K236" s="137"/>
    </row>
    <row r="237" spans="1:11">
      <c r="A237" s="9"/>
      <c r="D237" s="105"/>
      <c r="E237" s="105"/>
      <c r="F237" s="105"/>
      <c r="G237" s="137"/>
      <c r="H237" s="137"/>
      <c r="J237" s="137"/>
      <c r="K237" s="137"/>
    </row>
    <row r="238" spans="1:11">
      <c r="A238" s="9"/>
      <c r="C238" s="9" t="s">
        <v>106</v>
      </c>
      <c r="D238" s="141">
        <v>1</v>
      </c>
      <c r="E238" s="141">
        <v>0</v>
      </c>
      <c r="F238" s="97"/>
      <c r="G238" s="8"/>
      <c r="H238" s="137"/>
      <c r="J238" s="137"/>
      <c r="K238" s="137"/>
    </row>
    <row r="239" spans="1:11">
      <c r="A239" s="9"/>
      <c r="D239" s="99"/>
      <c r="E239" s="99"/>
      <c r="F239" s="99"/>
      <c r="G239" s="137"/>
      <c r="H239" s="137"/>
      <c r="J239" s="137"/>
      <c r="K239" s="137"/>
    </row>
    <row r="240" spans="1:11">
      <c r="A240" s="9"/>
      <c r="C240" s="9" t="s">
        <v>107</v>
      </c>
      <c r="D240" s="141">
        <v>478</v>
      </c>
      <c r="E240" s="141">
        <v>0</v>
      </c>
      <c r="F240" s="97"/>
      <c r="G240" s="8"/>
      <c r="H240" s="137"/>
      <c r="J240" s="137"/>
      <c r="K240" s="137"/>
    </row>
    <row r="241" spans="1:11">
      <c r="A241" s="9"/>
      <c r="D241" s="99"/>
      <c r="E241" s="99"/>
      <c r="F241" s="99"/>
      <c r="G241" s="137"/>
      <c r="H241" s="137"/>
      <c r="J241" s="137"/>
      <c r="K241" s="137"/>
    </row>
    <row r="242" spans="1:11">
      <c r="A242" s="9"/>
      <c r="C242" s="9" t="s">
        <v>108</v>
      </c>
      <c r="D242" s="97">
        <f>SUM(D236:D240)</f>
        <v>479</v>
      </c>
      <c r="E242" s="97">
        <f>SUM(E236:E240)</f>
        <v>0</v>
      </c>
      <c r="F242" s="97"/>
      <c r="G242" s="29"/>
      <c r="H242" s="64"/>
      <c r="J242" s="137"/>
      <c r="K242" s="137"/>
    </row>
    <row r="243" spans="1:11">
      <c r="A243" s="9"/>
      <c r="D243" s="65"/>
      <c r="E243" s="65"/>
      <c r="F243" s="65"/>
      <c r="G243" s="137"/>
      <c r="H243" s="137"/>
      <c r="J243" s="137"/>
      <c r="K243" s="137"/>
    </row>
    <row r="244" spans="1:11">
      <c r="A244" s="9"/>
      <c r="D244" s="65"/>
      <c r="E244" s="65"/>
      <c r="F244" s="65"/>
      <c r="G244" s="137"/>
      <c r="H244" s="137"/>
      <c r="J244" s="137"/>
      <c r="K244" s="137"/>
    </row>
    <row r="245" spans="1:11">
      <c r="A245" s="9"/>
      <c r="C245" s="9" t="s">
        <v>109</v>
      </c>
      <c r="D245" s="143">
        <v>1342</v>
      </c>
      <c r="E245" s="143">
        <v>0</v>
      </c>
      <c r="F245" s="97"/>
      <c r="G245" s="8"/>
      <c r="H245" s="137"/>
      <c r="J245" s="137"/>
      <c r="K245" s="137"/>
    </row>
    <row r="246" spans="1:11">
      <c r="A246" s="9"/>
      <c r="D246" s="99"/>
      <c r="E246" s="99"/>
      <c r="F246" s="97"/>
      <c r="G246" s="137"/>
      <c r="H246" s="137"/>
      <c r="J246" s="137"/>
      <c r="K246" s="137"/>
    </row>
    <row r="247" spans="1:11">
      <c r="A247" s="9"/>
      <c r="B247" s="9" t="s">
        <v>38</v>
      </c>
      <c r="C247" s="9" t="s">
        <v>110</v>
      </c>
      <c r="D247" s="143">
        <v>2350</v>
      </c>
      <c r="E247" s="143">
        <v>0</v>
      </c>
      <c r="F247" s="97"/>
      <c r="G247" s="8"/>
      <c r="H247" s="137"/>
      <c r="J247" s="137"/>
      <c r="K247" s="137"/>
    </row>
    <row r="248" spans="1:11">
      <c r="A248" s="9"/>
      <c r="D248" s="99"/>
      <c r="E248" s="99"/>
      <c r="F248" s="97"/>
      <c r="G248" s="137"/>
      <c r="H248" s="137"/>
      <c r="J248" s="137"/>
      <c r="K248" s="137"/>
    </row>
    <row r="249" spans="1:11">
      <c r="A249" s="9"/>
      <c r="C249" s="9" t="s">
        <v>111</v>
      </c>
      <c r="D249" s="99">
        <f>SUM(D245:D247)</f>
        <v>3692</v>
      </c>
      <c r="E249" s="99">
        <f>SUM(E245:E247)</f>
        <v>0</v>
      </c>
      <c r="F249" s="97"/>
      <c r="G249" s="8"/>
      <c r="H249" s="137"/>
      <c r="J249" s="137"/>
      <c r="K249" s="137"/>
    </row>
    <row r="250" spans="1:11">
      <c r="A250" s="9"/>
      <c r="D250" s="87"/>
      <c r="E250" s="87"/>
      <c r="F250" s="97"/>
      <c r="G250" s="137"/>
      <c r="H250" s="137"/>
      <c r="J250" s="137"/>
      <c r="K250" s="137"/>
    </row>
    <row r="251" spans="1:11">
      <c r="A251" s="9"/>
      <c r="C251" s="9" t="s">
        <v>112</v>
      </c>
      <c r="D251" s="90">
        <f>SUM(D242,D249)</f>
        <v>4171</v>
      </c>
      <c r="E251" s="90">
        <f>H201</f>
        <v>402.28</v>
      </c>
      <c r="F251" s="97">
        <f>D251/E251</f>
        <v>10.368400119319878</v>
      </c>
      <c r="G251" s="8"/>
      <c r="H251" s="137"/>
      <c r="J251" s="137"/>
      <c r="K251" s="137"/>
    </row>
    <row r="252" spans="1:11">
      <c r="A252" s="9"/>
      <c r="G252" s="137"/>
      <c r="H252" s="137"/>
      <c r="J252" s="137"/>
      <c r="K252" s="137"/>
    </row>
    <row r="253" spans="1:11">
      <c r="A253" s="9"/>
      <c r="G253" s="137"/>
      <c r="H253" s="137"/>
      <c r="J253" s="137"/>
      <c r="K253" s="137"/>
    </row>
    <row r="254" spans="1:11">
      <c r="A254" s="9"/>
      <c r="G254" s="137"/>
      <c r="H254" s="137"/>
      <c r="J254" s="137"/>
      <c r="K254" s="137"/>
    </row>
    <row r="255" spans="1:11">
      <c r="A255" s="9"/>
      <c r="G255" s="137"/>
      <c r="H255" s="137"/>
      <c r="J255" s="137"/>
      <c r="K255" s="137"/>
    </row>
    <row r="256" spans="1:11">
      <c r="A256" s="9"/>
      <c r="C256" s="9" t="s">
        <v>113</v>
      </c>
      <c r="G256" s="137"/>
      <c r="H256" s="137"/>
      <c r="J256" s="137"/>
      <c r="K256" s="137"/>
    </row>
    <row r="257" spans="1:11">
      <c r="A257" s="9"/>
      <c r="C257" s="9" t="s">
        <v>114</v>
      </c>
      <c r="G257" s="137"/>
      <c r="H257" s="137"/>
      <c r="J257" s="137"/>
      <c r="K257" s="137"/>
    </row>
    <row r="258" spans="1:11">
      <c r="A258" s="9"/>
      <c r="H258" s="40"/>
      <c r="K258" s="40"/>
    </row>
    <row r="259" spans="1:11">
      <c r="A259" s="9"/>
      <c r="C259" s="206" t="s">
        <v>298</v>
      </c>
      <c r="D259" s="207"/>
      <c r="F259" s="206" t="s">
        <v>296</v>
      </c>
      <c r="G259" s="207"/>
      <c r="H259" s="208"/>
      <c r="K259" s="40"/>
    </row>
    <row r="260" spans="1:11">
      <c r="A260" s="9"/>
      <c r="C260" s="206" t="s">
        <v>299</v>
      </c>
      <c r="D260" s="207"/>
      <c r="F260" s="206" t="s">
        <v>300</v>
      </c>
      <c r="G260" s="207"/>
      <c r="H260" s="208"/>
      <c r="K260" s="40"/>
    </row>
    <row r="261" spans="1:11">
      <c r="A261" s="9"/>
      <c r="H261" s="40"/>
      <c r="K261" s="40"/>
    </row>
    <row r="262" spans="1:11">
      <c r="A262" s="9"/>
      <c r="C262" s="206" t="s">
        <v>301</v>
      </c>
      <c r="D262" s="204"/>
      <c r="E262" s="204"/>
      <c r="F262" s="204"/>
      <c r="G262" s="209"/>
      <c r="H262" s="205"/>
      <c r="K262" s="40"/>
    </row>
    <row r="263" spans="1:11">
      <c r="A263" s="9"/>
      <c r="H263" s="40"/>
      <c r="K263" s="40"/>
    </row>
    <row r="264" spans="1:11">
      <c r="A264" s="9"/>
      <c r="H264" s="40"/>
      <c r="K264" s="40"/>
    </row>
    <row r="265" spans="1:11">
      <c r="A265" s="9"/>
      <c r="H265" s="40"/>
      <c r="K265" s="40"/>
    </row>
    <row r="266" spans="1:11">
      <c r="A266" s="9"/>
      <c r="H266" s="40"/>
      <c r="K266" s="40"/>
    </row>
    <row r="267" spans="1:11">
      <c r="A267" s="9"/>
      <c r="H267" s="40"/>
      <c r="K267" s="40"/>
    </row>
    <row r="268" spans="1:11">
      <c r="A268" s="9"/>
      <c r="H268" s="40"/>
      <c r="K268" s="40"/>
    </row>
    <row r="269" spans="1:11">
      <c r="A269" s="9"/>
      <c r="H269" s="40"/>
      <c r="K269" s="40"/>
    </row>
    <row r="270" spans="1:11">
      <c r="A270" s="9"/>
      <c r="H270" s="40"/>
      <c r="K270" s="40"/>
    </row>
    <row r="271" spans="1:11">
      <c r="A271" s="9"/>
      <c r="H271" s="40"/>
      <c r="K271" s="40"/>
    </row>
    <row r="272" spans="1:11">
      <c r="A272" s="9"/>
      <c r="H272" s="40"/>
      <c r="K272" s="40"/>
    </row>
    <row r="273" spans="1:11">
      <c r="A273" s="9"/>
      <c r="H273" s="40"/>
      <c r="K273" s="40"/>
    </row>
    <row r="274" spans="1:11">
      <c r="A274" s="9"/>
      <c r="H274" s="40"/>
      <c r="K274" s="40"/>
    </row>
    <row r="275" spans="1:11" s="36" customFormat="1">
      <c r="A275" s="16" t="str">
        <f>$A$83</f>
        <v xml:space="preserve">Institution No.:  </v>
      </c>
      <c r="E275" s="37"/>
      <c r="G275" s="38"/>
      <c r="H275" s="39"/>
      <c r="J275" s="38"/>
      <c r="K275" s="15" t="s">
        <v>115</v>
      </c>
    </row>
    <row r="276" spans="1:11" s="36" customFormat="1">
      <c r="E276" s="37" t="s">
        <v>116</v>
      </c>
      <c r="G276" s="38"/>
      <c r="H276" s="39"/>
      <c r="J276" s="38"/>
      <c r="K276" s="39"/>
    </row>
    <row r="277" spans="1:11">
      <c r="A277" s="16" t="str">
        <f>$A$42</f>
        <v xml:space="preserve">NAME: </v>
      </c>
      <c r="C277" s="137" t="str">
        <f>$D$20</f>
        <v>University of Colorado</v>
      </c>
      <c r="F277" s="32"/>
      <c r="G277" s="66"/>
      <c r="H277" s="67"/>
      <c r="J277" s="14"/>
      <c r="K277" s="18" t="str">
        <f>$K$3</f>
        <v>Date: October 09, 2017</v>
      </c>
    </row>
    <row r="278" spans="1:11">
      <c r="A278" s="19" t="s">
        <v>6</v>
      </c>
      <c r="B278" s="19" t="s">
        <v>6</v>
      </c>
      <c r="C278" s="19" t="s">
        <v>6</v>
      </c>
      <c r="D278" s="19" t="s">
        <v>6</v>
      </c>
      <c r="E278" s="19" t="s">
        <v>6</v>
      </c>
      <c r="F278" s="19" t="s">
        <v>6</v>
      </c>
      <c r="G278" s="20" t="s">
        <v>6</v>
      </c>
      <c r="H278" s="21" t="s">
        <v>6</v>
      </c>
      <c r="I278" s="19"/>
      <c r="J278" s="137"/>
      <c r="K278" s="21"/>
    </row>
    <row r="279" spans="1:11">
      <c r="A279" s="22" t="s">
        <v>7</v>
      </c>
      <c r="E279" s="22" t="s">
        <v>7</v>
      </c>
      <c r="F279" s="23"/>
      <c r="G279" s="24"/>
      <c r="H279" s="25" t="str">
        <f>H178</f>
        <v>2016-17</v>
      </c>
      <c r="I279" s="23"/>
      <c r="J279" s="137"/>
      <c r="K279" s="25"/>
    </row>
    <row r="280" spans="1:11" ht="21" customHeight="1">
      <c r="A280" s="22" t="s">
        <v>9</v>
      </c>
      <c r="C280" s="26" t="s">
        <v>51</v>
      </c>
      <c r="D280" s="68" t="s">
        <v>235</v>
      </c>
      <c r="E280" s="22" t="s">
        <v>9</v>
      </c>
      <c r="F280" s="23"/>
      <c r="G280" s="24" t="s">
        <v>11</v>
      </c>
      <c r="H280" s="25" t="s">
        <v>12</v>
      </c>
      <c r="I280" s="23"/>
      <c r="J280" s="137"/>
      <c r="K280" s="23"/>
    </row>
    <row r="281" spans="1:11">
      <c r="A281" s="19" t="s">
        <v>6</v>
      </c>
      <c r="B281" s="19" t="s">
        <v>6</v>
      </c>
      <c r="C281" s="19" t="s">
        <v>6</v>
      </c>
      <c r="D281" s="19" t="s">
        <v>6</v>
      </c>
      <c r="E281" s="19" t="s">
        <v>6</v>
      </c>
      <c r="F281" s="19" t="s">
        <v>6</v>
      </c>
      <c r="G281" s="20" t="s">
        <v>6</v>
      </c>
      <c r="H281" s="21" t="s">
        <v>6</v>
      </c>
      <c r="I281" s="19"/>
      <c r="J281" s="137"/>
      <c r="K281" s="19"/>
    </row>
    <row r="282" spans="1:11">
      <c r="A282" s="8">
        <v>1</v>
      </c>
      <c r="C282" s="9" t="s">
        <v>117</v>
      </c>
      <c r="E282" s="8">
        <v>1</v>
      </c>
      <c r="G282" s="14"/>
      <c r="H282" s="40"/>
      <c r="J282" s="137"/>
      <c r="K282" s="137"/>
    </row>
    <row r="283" spans="1:11">
      <c r="A283" s="8">
        <f>(A282+1)</f>
        <v>2</v>
      </c>
      <c r="C283" s="9" t="s">
        <v>118</v>
      </c>
      <c r="D283" s="9" t="s">
        <v>119</v>
      </c>
      <c r="E283" s="8">
        <f>(E282+1)</f>
        <v>2</v>
      </c>
      <c r="F283" s="10"/>
      <c r="G283" s="144">
        <v>0</v>
      </c>
      <c r="H283" s="145">
        <v>9262068.9399999995</v>
      </c>
      <c r="I283" s="103"/>
      <c r="J283" s="137"/>
      <c r="K283" s="137"/>
    </row>
    <row r="284" spans="1:11">
      <c r="A284" s="8">
        <f>(A283+1)</f>
        <v>3</v>
      </c>
      <c r="D284" s="9" t="s">
        <v>120</v>
      </c>
      <c r="E284" s="8">
        <f>(E283+1)</f>
        <v>3</v>
      </c>
      <c r="F284" s="10"/>
      <c r="G284" s="144">
        <v>0</v>
      </c>
      <c r="H284" s="145">
        <v>1862956.92</v>
      </c>
      <c r="I284" s="103"/>
      <c r="J284" s="137"/>
      <c r="K284" s="137"/>
    </row>
    <row r="285" spans="1:11">
      <c r="A285" s="8">
        <v>4</v>
      </c>
      <c r="C285" s="9" t="s">
        <v>121</v>
      </c>
      <c r="D285" s="9" t="s">
        <v>122</v>
      </c>
      <c r="E285" s="8">
        <v>4</v>
      </c>
      <c r="F285" s="10"/>
      <c r="G285" s="144">
        <v>0</v>
      </c>
      <c r="H285" s="145">
        <v>3631794.18</v>
      </c>
      <c r="I285" s="103"/>
      <c r="J285" s="137"/>
      <c r="K285" s="137"/>
    </row>
    <row r="286" spans="1:11">
      <c r="A286" s="8">
        <f>(A285+1)</f>
        <v>5</v>
      </c>
      <c r="D286" s="9" t="s">
        <v>123</v>
      </c>
      <c r="E286" s="8">
        <f>(E285+1)</f>
        <v>5</v>
      </c>
      <c r="F286" s="10"/>
      <c r="G286" s="144">
        <v>0</v>
      </c>
      <c r="H286" s="145">
        <v>469123</v>
      </c>
      <c r="I286" s="103"/>
      <c r="J286" s="137"/>
      <c r="K286" s="137"/>
    </row>
    <row r="287" spans="1:11">
      <c r="A287" s="8">
        <f>(A286+1)</f>
        <v>6</v>
      </c>
      <c r="C287" s="9" t="s">
        <v>124</v>
      </c>
      <c r="E287" s="8">
        <f>(E286+1)</f>
        <v>6</v>
      </c>
      <c r="G287" s="100">
        <f>SUM(G283:G286)</f>
        <v>0</v>
      </c>
      <c r="H287" s="100">
        <f>SUM(H283:H286)</f>
        <v>15225943.039999999</v>
      </c>
      <c r="I287" s="100"/>
      <c r="J287" s="137"/>
      <c r="K287" s="137"/>
    </row>
    <row r="288" spans="1:11">
      <c r="A288" s="8">
        <f>(A287+1)</f>
        <v>7</v>
      </c>
      <c r="C288" s="9" t="s">
        <v>125</v>
      </c>
      <c r="E288" s="8">
        <f>(E287+1)</f>
        <v>7</v>
      </c>
      <c r="G288" s="97"/>
      <c r="H288" s="96"/>
      <c r="I288" s="100"/>
      <c r="J288" s="137"/>
      <c r="K288" s="137"/>
    </row>
    <row r="289" spans="1:11">
      <c r="A289" s="8">
        <f>(A288+1)</f>
        <v>8</v>
      </c>
      <c r="C289" s="9" t="s">
        <v>118</v>
      </c>
      <c r="D289" s="9" t="s">
        <v>119</v>
      </c>
      <c r="E289" s="8">
        <f>(E288+1)</f>
        <v>8</v>
      </c>
      <c r="F289" s="10"/>
      <c r="G289" s="144">
        <v>0</v>
      </c>
      <c r="H289" s="145">
        <v>24485087.204999998</v>
      </c>
      <c r="I289" s="103"/>
      <c r="J289" s="137"/>
      <c r="K289" s="137"/>
    </row>
    <row r="290" spans="1:11">
      <c r="A290" s="8">
        <v>9</v>
      </c>
      <c r="D290" s="9" t="s">
        <v>120</v>
      </c>
      <c r="E290" s="8">
        <v>9</v>
      </c>
      <c r="F290" s="10"/>
      <c r="G290" s="144">
        <v>0</v>
      </c>
      <c r="H290" s="145">
        <v>3191350</v>
      </c>
      <c r="I290" s="103"/>
      <c r="J290" s="137"/>
      <c r="K290" s="137"/>
    </row>
    <row r="291" spans="1:11">
      <c r="A291" s="8">
        <v>10</v>
      </c>
      <c r="C291" s="9" t="s">
        <v>121</v>
      </c>
      <c r="D291" s="9" t="s">
        <v>122</v>
      </c>
      <c r="E291" s="8">
        <v>10</v>
      </c>
      <c r="F291" s="10"/>
      <c r="G291" s="144">
        <v>0</v>
      </c>
      <c r="H291" s="145">
        <v>9729869.2300000004</v>
      </c>
      <c r="I291" s="103"/>
      <c r="J291" s="137"/>
      <c r="K291" s="137"/>
    </row>
    <row r="292" spans="1:11">
      <c r="A292" s="8">
        <f>(A291+1)</f>
        <v>11</v>
      </c>
      <c r="D292" s="9" t="s">
        <v>123</v>
      </c>
      <c r="E292" s="8">
        <f>(E291+1)</f>
        <v>11</v>
      </c>
      <c r="F292" s="10"/>
      <c r="G292" s="144">
        <v>0</v>
      </c>
      <c r="H292" s="145">
        <v>614520</v>
      </c>
      <c r="I292" s="103"/>
      <c r="J292" s="137"/>
      <c r="K292" s="137"/>
    </row>
    <row r="293" spans="1:11">
      <c r="A293" s="8">
        <f>(A292+1)</f>
        <v>12</v>
      </c>
      <c r="C293" s="9" t="s">
        <v>126</v>
      </c>
      <c r="E293" s="8">
        <f>(E292+1)</f>
        <v>12</v>
      </c>
      <c r="G293" s="99">
        <f>SUM(G289:G292)</f>
        <v>0</v>
      </c>
      <c r="H293" s="100">
        <f>SUM(H289:H292)</f>
        <v>38020826.435000002</v>
      </c>
      <c r="I293" s="100"/>
      <c r="J293" s="137"/>
      <c r="K293" s="137"/>
    </row>
    <row r="294" spans="1:11">
      <c r="A294" s="8">
        <f>(A293+1)</f>
        <v>13</v>
      </c>
      <c r="C294" s="9" t="s">
        <v>127</v>
      </c>
      <c r="E294" s="8">
        <f>(E293+1)</f>
        <v>13</v>
      </c>
      <c r="G294" s="97"/>
      <c r="H294" s="96"/>
      <c r="I294" s="100"/>
      <c r="J294" s="137"/>
      <c r="K294" s="137"/>
    </row>
    <row r="295" spans="1:11">
      <c r="A295" s="8">
        <f>(A294+1)</f>
        <v>14</v>
      </c>
      <c r="C295" s="9" t="s">
        <v>118</v>
      </c>
      <c r="D295" s="9" t="s">
        <v>119</v>
      </c>
      <c r="E295" s="8">
        <f>(E294+1)</f>
        <v>14</v>
      </c>
      <c r="F295" s="10"/>
      <c r="G295" s="144"/>
      <c r="H295" s="145">
        <v>0</v>
      </c>
      <c r="I295" s="103"/>
      <c r="J295" s="137"/>
      <c r="K295" s="137"/>
    </row>
    <row r="296" spans="1:11">
      <c r="A296" s="8">
        <v>15</v>
      </c>
      <c r="C296" s="9"/>
      <c r="D296" s="9" t="s">
        <v>120</v>
      </c>
      <c r="E296" s="8">
        <v>15</v>
      </c>
      <c r="F296" s="10"/>
      <c r="G296" s="144"/>
      <c r="H296" s="145">
        <v>0</v>
      </c>
      <c r="I296" s="103"/>
      <c r="J296" s="137"/>
      <c r="K296" s="137"/>
    </row>
    <row r="297" spans="1:11">
      <c r="A297" s="8">
        <v>16</v>
      </c>
      <c r="C297" s="9" t="s">
        <v>121</v>
      </c>
      <c r="D297" s="9" t="s">
        <v>122</v>
      </c>
      <c r="E297" s="8">
        <v>16</v>
      </c>
      <c r="F297" s="10"/>
      <c r="G297" s="144"/>
      <c r="H297" s="145">
        <v>0</v>
      </c>
      <c r="I297" s="103"/>
      <c r="J297" s="137"/>
      <c r="K297" s="137"/>
    </row>
    <row r="298" spans="1:11">
      <c r="A298" s="8">
        <v>17</v>
      </c>
      <c r="C298" s="9"/>
      <c r="D298" s="9" t="s">
        <v>123</v>
      </c>
      <c r="E298" s="8">
        <v>17</v>
      </c>
      <c r="G298" s="143"/>
      <c r="H298" s="146">
        <v>0</v>
      </c>
      <c r="I298" s="100"/>
      <c r="J298" s="137"/>
      <c r="K298" s="137"/>
    </row>
    <row r="299" spans="1:11">
      <c r="A299" s="8">
        <v>18</v>
      </c>
      <c r="C299" s="9" t="s">
        <v>128</v>
      </c>
      <c r="D299" s="9"/>
      <c r="E299" s="8">
        <v>18</v>
      </c>
      <c r="G299" s="99">
        <f>SUM(G295:G298)</f>
        <v>0</v>
      </c>
      <c r="H299" s="100">
        <f>SUM(H295:H298)</f>
        <v>0</v>
      </c>
      <c r="I299" s="100"/>
      <c r="J299" s="137"/>
      <c r="K299" s="137"/>
    </row>
    <row r="300" spans="1:11">
      <c r="A300" s="8">
        <v>19</v>
      </c>
      <c r="C300" s="9" t="s">
        <v>129</v>
      </c>
      <c r="D300" s="9"/>
      <c r="E300" s="8">
        <v>19</v>
      </c>
      <c r="G300" s="99"/>
      <c r="H300" s="100"/>
      <c r="I300" s="100"/>
      <c r="J300" s="137"/>
      <c r="K300" s="137"/>
    </row>
    <row r="301" spans="1:11">
      <c r="A301" s="8">
        <v>20</v>
      </c>
      <c r="C301" s="9" t="s">
        <v>118</v>
      </c>
      <c r="D301" s="9" t="s">
        <v>119</v>
      </c>
      <c r="E301" s="8">
        <v>20</v>
      </c>
      <c r="F301" s="69"/>
      <c r="G301" s="144">
        <v>0</v>
      </c>
      <c r="H301" s="145">
        <v>23472171.355</v>
      </c>
      <c r="I301" s="103"/>
      <c r="J301" s="137"/>
      <c r="K301" s="137"/>
    </row>
    <row r="302" spans="1:11">
      <c r="A302" s="8">
        <v>21</v>
      </c>
      <c r="C302" s="9"/>
      <c r="D302" s="9" t="s">
        <v>120</v>
      </c>
      <c r="E302" s="8">
        <v>21</v>
      </c>
      <c r="F302" s="69"/>
      <c r="G302" s="144">
        <v>0</v>
      </c>
      <c r="H302" s="145">
        <v>3267335</v>
      </c>
      <c r="I302" s="103"/>
      <c r="J302" s="137"/>
      <c r="K302" s="137"/>
    </row>
    <row r="303" spans="1:11">
      <c r="A303" s="8">
        <v>22</v>
      </c>
      <c r="C303" s="9" t="s">
        <v>121</v>
      </c>
      <c r="D303" s="9" t="s">
        <v>122</v>
      </c>
      <c r="E303" s="8">
        <v>22</v>
      </c>
      <c r="F303" s="69"/>
      <c r="G303" s="144">
        <v>0</v>
      </c>
      <c r="H303" s="145">
        <v>9313945.8300000001</v>
      </c>
      <c r="I303" s="103"/>
      <c r="J303" s="137"/>
      <c r="K303" s="137"/>
    </row>
    <row r="304" spans="1:11">
      <c r="A304" s="8">
        <v>23</v>
      </c>
      <c r="D304" s="9" t="s">
        <v>123</v>
      </c>
      <c r="E304" s="8">
        <v>23</v>
      </c>
      <c r="F304" s="69"/>
      <c r="G304" s="144">
        <v>0</v>
      </c>
      <c r="H304" s="145">
        <v>520985</v>
      </c>
      <c r="I304" s="103"/>
      <c r="J304" s="137"/>
      <c r="K304" s="137"/>
    </row>
    <row r="305" spans="1:11">
      <c r="A305" s="8">
        <v>24</v>
      </c>
      <c r="C305" s="9" t="s">
        <v>130</v>
      </c>
      <c r="E305" s="8">
        <v>24</v>
      </c>
      <c r="F305" s="57"/>
      <c r="G305" s="97">
        <f>SUM(G301:G304)</f>
        <v>0</v>
      </c>
      <c r="H305" s="96">
        <f>SUM(H301:H304)</f>
        <v>36574437.185000002</v>
      </c>
      <c r="I305" s="96"/>
      <c r="J305" s="137"/>
      <c r="K305" s="137"/>
    </row>
    <row r="306" spans="1:11">
      <c r="A306" s="8">
        <v>25</v>
      </c>
      <c r="C306" s="9" t="s">
        <v>131</v>
      </c>
      <c r="E306" s="8">
        <v>25</v>
      </c>
      <c r="G306" s="99"/>
      <c r="H306" s="100"/>
      <c r="I306" s="100"/>
      <c r="J306" s="137"/>
      <c r="K306" s="137"/>
    </row>
    <row r="307" spans="1:11">
      <c r="A307" s="8">
        <v>26</v>
      </c>
      <c r="C307" s="9" t="s">
        <v>118</v>
      </c>
      <c r="D307" s="9" t="s">
        <v>119</v>
      </c>
      <c r="E307" s="8">
        <v>26</v>
      </c>
      <c r="G307" s="99">
        <f>H185</f>
        <v>2988</v>
      </c>
      <c r="H307" s="100">
        <f t="shared" ref="H307:H310" si="0">H283+H289+H295+H301</f>
        <v>57219327.5</v>
      </c>
      <c r="I307" s="100"/>
      <c r="J307" s="137"/>
      <c r="K307" s="99"/>
    </row>
    <row r="308" spans="1:11">
      <c r="A308" s="8">
        <v>27</v>
      </c>
      <c r="C308" s="9"/>
      <c r="D308" s="9" t="s">
        <v>120</v>
      </c>
      <c r="E308" s="8">
        <v>27</v>
      </c>
      <c r="G308" s="99">
        <v>427</v>
      </c>
      <c r="H308" s="100">
        <f t="shared" si="0"/>
        <v>8321641.9199999999</v>
      </c>
      <c r="I308" s="100"/>
      <c r="J308" s="137"/>
      <c r="K308" s="99"/>
    </row>
    <row r="309" spans="1:11">
      <c r="A309" s="8">
        <v>28</v>
      </c>
      <c r="C309" s="9" t="s">
        <v>121</v>
      </c>
      <c r="D309" s="9" t="s">
        <v>122</v>
      </c>
      <c r="E309" s="8">
        <v>28</v>
      </c>
      <c r="G309" s="99">
        <f>H189</f>
        <v>704</v>
      </c>
      <c r="H309" s="100">
        <f t="shared" si="0"/>
        <v>22675609.240000002</v>
      </c>
      <c r="I309" s="100"/>
      <c r="J309" s="137"/>
      <c r="K309" s="99"/>
    </row>
    <row r="310" spans="1:11">
      <c r="A310" s="8">
        <v>29</v>
      </c>
      <c r="D310" s="9" t="s">
        <v>123</v>
      </c>
      <c r="E310" s="8">
        <v>29</v>
      </c>
      <c r="G310" s="99">
        <f>H188</f>
        <v>52</v>
      </c>
      <c r="H310" s="100">
        <f t="shared" si="0"/>
        <v>1604628</v>
      </c>
      <c r="I310" s="100"/>
      <c r="J310" s="137"/>
      <c r="K310" s="99"/>
    </row>
    <row r="311" spans="1:11">
      <c r="A311" s="8">
        <v>30</v>
      </c>
      <c r="E311" s="8">
        <v>30</v>
      </c>
      <c r="G311" s="97"/>
      <c r="H311" s="96"/>
      <c r="I311" s="100"/>
      <c r="J311" s="137"/>
      <c r="K311" s="97"/>
    </row>
    <row r="312" spans="1:11">
      <c r="A312" s="8">
        <v>31</v>
      </c>
      <c r="C312" s="9" t="s">
        <v>132</v>
      </c>
      <c r="E312" s="8">
        <v>31</v>
      </c>
      <c r="G312" s="99">
        <f>SUM(G307:G308)</f>
        <v>3415</v>
      </c>
      <c r="H312" s="100">
        <f>SUM(H307:H308)</f>
        <v>65540969.420000002</v>
      </c>
      <c r="I312" s="100"/>
      <c r="J312" s="137"/>
      <c r="K312" s="99"/>
    </row>
    <row r="313" spans="1:11">
      <c r="A313" s="8">
        <v>32</v>
      </c>
      <c r="C313" s="9" t="s">
        <v>133</v>
      </c>
      <c r="E313" s="8">
        <v>32</v>
      </c>
      <c r="G313" s="99">
        <f>SUM(G309:G310)</f>
        <v>756</v>
      </c>
      <c r="H313" s="100">
        <f>SUM(H309:H310)</f>
        <v>24280237.240000002</v>
      </c>
      <c r="I313" s="100"/>
      <c r="J313" s="137"/>
      <c r="K313" s="99"/>
    </row>
    <row r="314" spans="1:11">
      <c r="A314" s="8">
        <v>33</v>
      </c>
      <c r="C314" s="9" t="s">
        <v>134</v>
      </c>
      <c r="E314" s="8">
        <v>33</v>
      </c>
      <c r="F314" s="57"/>
      <c r="G314" s="97">
        <f>SUM(G307,G309)</f>
        <v>3692</v>
      </c>
      <c r="H314" s="96">
        <f>SUM(H307,H309)</f>
        <v>79894936.74000001</v>
      </c>
      <c r="I314" s="96"/>
      <c r="J314" s="137"/>
      <c r="K314" s="97"/>
    </row>
    <row r="315" spans="1:11">
      <c r="A315" s="8">
        <v>34</v>
      </c>
      <c r="C315" s="9" t="s">
        <v>135</v>
      </c>
      <c r="E315" s="8">
        <v>34</v>
      </c>
      <c r="F315" s="57"/>
      <c r="G315" s="97">
        <f>SUM(G308,G310)</f>
        <v>479</v>
      </c>
      <c r="H315" s="96">
        <f>SUM(H308,H310)</f>
        <v>9926269.9199999999</v>
      </c>
      <c r="I315" s="96"/>
      <c r="J315" s="137"/>
      <c r="K315" s="97"/>
    </row>
    <row r="316" spans="1:11">
      <c r="A316" s="9"/>
      <c r="C316" s="19" t="s">
        <v>6</v>
      </c>
      <c r="D316" s="19" t="s">
        <v>6</v>
      </c>
      <c r="E316" s="19" t="s">
        <v>6</v>
      </c>
      <c r="F316" s="19" t="s">
        <v>6</v>
      </c>
      <c r="G316" s="19" t="s">
        <v>6</v>
      </c>
      <c r="H316" s="19" t="s">
        <v>6</v>
      </c>
      <c r="I316" s="19"/>
      <c r="J316" s="19"/>
      <c r="K316" s="19"/>
    </row>
    <row r="317" spans="1:11">
      <c r="A317" s="8">
        <v>35</v>
      </c>
      <c r="C317" s="137" t="s">
        <v>136</v>
      </c>
      <c r="E317" s="8">
        <v>35</v>
      </c>
      <c r="G317" s="99">
        <f>SUM(G314:G315)</f>
        <v>4171</v>
      </c>
      <c r="H317" s="100">
        <f>SUM(H314:H315)</f>
        <v>89821206.660000011</v>
      </c>
      <c r="I317" s="100"/>
      <c r="J317" s="100"/>
      <c r="K317" s="99"/>
    </row>
    <row r="318" spans="1:11">
      <c r="C318" s="9" t="s">
        <v>238</v>
      </c>
      <c r="F318" s="70" t="s">
        <v>6</v>
      </c>
      <c r="G318" s="20"/>
      <c r="H318" s="21"/>
      <c r="I318" s="70"/>
      <c r="J318" s="70"/>
      <c r="K318" s="20"/>
    </row>
    <row r="319" spans="1:11">
      <c r="C319" s="9"/>
      <c r="F319" s="70"/>
      <c r="G319" s="20"/>
      <c r="H319" s="21"/>
      <c r="I319" s="70"/>
      <c r="J319" s="137"/>
      <c r="K319" s="137"/>
    </row>
    <row r="320" spans="1:11">
      <c r="J320" s="137"/>
      <c r="K320" s="137"/>
    </row>
    <row r="321" spans="1:11" ht="36" customHeight="1">
      <c r="A321" s="137">
        <v>36</v>
      </c>
      <c r="B321" s="33"/>
      <c r="C321" s="221" t="s">
        <v>233</v>
      </c>
      <c r="D321" s="221"/>
      <c r="E321" s="221"/>
      <c r="F321" s="221"/>
      <c r="G321" s="221"/>
      <c r="H321" s="221"/>
      <c r="I321" s="221"/>
      <c r="J321" s="221"/>
      <c r="K321" s="137"/>
    </row>
    <row r="322" spans="1:11">
      <c r="C322" s="137" t="s">
        <v>137</v>
      </c>
      <c r="F322" s="70"/>
      <c r="G322" s="20"/>
      <c r="H322" s="40"/>
      <c r="I322" s="70"/>
      <c r="J322" s="20"/>
      <c r="K322" s="40"/>
    </row>
    <row r="323" spans="1:11">
      <c r="C323" s="137" t="s">
        <v>2</v>
      </c>
      <c r="F323" s="70"/>
      <c r="G323" s="20"/>
      <c r="H323" s="40"/>
      <c r="I323" s="70"/>
      <c r="J323" s="20"/>
      <c r="K323" s="40"/>
    </row>
    <row r="324" spans="1:11">
      <c r="A324" s="9"/>
    </row>
    <row r="325" spans="1:11" s="36" customFormat="1">
      <c r="A325" s="16" t="str">
        <f>$A$83</f>
        <v xml:space="preserve">Institution No.:  </v>
      </c>
      <c r="E325" s="37"/>
      <c r="G325" s="38"/>
      <c r="H325" s="39"/>
      <c r="J325" s="38"/>
      <c r="K325" s="71" t="s">
        <v>138</v>
      </c>
    </row>
    <row r="326" spans="1:11" s="36" customFormat="1" ht="14.25">
      <c r="D326" s="58" t="s">
        <v>246</v>
      </c>
      <c r="E326" s="37"/>
      <c r="G326" s="38"/>
      <c r="H326" s="39"/>
      <c r="J326" s="38"/>
      <c r="K326" s="39"/>
    </row>
    <row r="327" spans="1:11">
      <c r="A327" s="16" t="str">
        <f>$A$42</f>
        <v xml:space="preserve">NAME: </v>
      </c>
      <c r="C327" s="137" t="str">
        <f>$D$20</f>
        <v>University of Colorado</v>
      </c>
      <c r="F327" s="72"/>
      <c r="G327" s="66"/>
      <c r="H327" s="67"/>
      <c r="J327" s="14"/>
      <c r="K327" s="18" t="str">
        <f>$K$3</f>
        <v>Date: October 09, 2017</v>
      </c>
    </row>
    <row r="328" spans="1:11">
      <c r="A328" s="19" t="s">
        <v>6</v>
      </c>
      <c r="B328" s="19" t="s">
        <v>6</v>
      </c>
      <c r="C328" s="19" t="s">
        <v>6</v>
      </c>
      <c r="D328" s="19" t="s">
        <v>6</v>
      </c>
      <c r="E328" s="19" t="s">
        <v>6</v>
      </c>
      <c r="F328" s="19" t="s">
        <v>6</v>
      </c>
      <c r="G328" s="20" t="s">
        <v>6</v>
      </c>
      <c r="H328" s="21" t="s">
        <v>6</v>
      </c>
      <c r="I328" s="19" t="s">
        <v>6</v>
      </c>
      <c r="J328" s="20" t="s">
        <v>6</v>
      </c>
      <c r="K328" s="21" t="s">
        <v>6</v>
      </c>
    </row>
    <row r="329" spans="1:11">
      <c r="A329" s="22" t="s">
        <v>7</v>
      </c>
      <c r="E329" s="22" t="s">
        <v>7</v>
      </c>
      <c r="G329" s="24"/>
      <c r="H329" s="25" t="str">
        <f>H279</f>
        <v>2016-17</v>
      </c>
      <c r="I329" s="23"/>
      <c r="J329" s="24"/>
      <c r="K329" s="25" t="s">
        <v>261</v>
      </c>
    </row>
    <row r="330" spans="1:11">
      <c r="A330" s="22" t="s">
        <v>9</v>
      </c>
      <c r="C330" s="26" t="s">
        <v>51</v>
      </c>
      <c r="E330" s="22" t="s">
        <v>9</v>
      </c>
      <c r="G330" s="14"/>
      <c r="H330" s="25" t="s">
        <v>12</v>
      </c>
      <c r="J330" s="14"/>
      <c r="K330" s="25" t="s">
        <v>13</v>
      </c>
    </row>
    <row r="331" spans="1:11">
      <c r="A331" s="19" t="s">
        <v>6</v>
      </c>
      <c r="B331" s="19" t="s">
        <v>6</v>
      </c>
      <c r="C331" s="19" t="s">
        <v>6</v>
      </c>
      <c r="D331" s="19" t="s">
        <v>6</v>
      </c>
      <c r="E331" s="19" t="s">
        <v>6</v>
      </c>
      <c r="F331" s="19" t="s">
        <v>6</v>
      </c>
      <c r="G331" s="20" t="s">
        <v>6</v>
      </c>
      <c r="H331" s="21" t="s">
        <v>6</v>
      </c>
      <c r="I331" s="19" t="s">
        <v>6</v>
      </c>
      <c r="J331" s="20" t="s">
        <v>6</v>
      </c>
      <c r="K331" s="21" t="s">
        <v>6</v>
      </c>
    </row>
    <row r="332" spans="1:11" ht="13.5">
      <c r="A332" s="73">
        <v>1</v>
      </c>
      <c r="C332" s="9" t="s">
        <v>247</v>
      </c>
      <c r="E332" s="73">
        <v>1</v>
      </c>
      <c r="G332" s="14"/>
      <c r="H332" s="40" t="s">
        <v>226</v>
      </c>
      <c r="J332" s="14"/>
      <c r="K332" s="40" t="s">
        <v>226</v>
      </c>
    </row>
    <row r="333" spans="1:11">
      <c r="A333" s="73">
        <v>2</v>
      </c>
      <c r="C333" s="9"/>
      <c r="E333" s="73">
        <v>2</v>
      </c>
      <c r="G333" s="14"/>
      <c r="H333" s="147">
        <v>0</v>
      </c>
      <c r="J333" s="14"/>
      <c r="K333" s="147">
        <v>0</v>
      </c>
    </row>
    <row r="334" spans="1:11" ht="13.5">
      <c r="A334" s="137">
        <v>3</v>
      </c>
      <c r="C334" s="137" t="s">
        <v>248</v>
      </c>
      <c r="E334" s="137">
        <v>3</v>
      </c>
      <c r="F334" s="40"/>
      <c r="G334" s="40"/>
      <c r="H334" s="40" t="s">
        <v>226</v>
      </c>
      <c r="I334" s="40"/>
      <c r="J334" s="40"/>
      <c r="K334" s="40" t="s">
        <v>226</v>
      </c>
    </row>
    <row r="335" spans="1:11">
      <c r="A335" s="73">
        <v>4</v>
      </c>
      <c r="C335" s="137" t="s">
        <v>139</v>
      </c>
      <c r="E335" s="73">
        <v>4</v>
      </c>
      <c r="F335" s="40"/>
      <c r="G335" s="40"/>
      <c r="H335" s="147">
        <v>15325373</v>
      </c>
      <c r="I335" s="40"/>
      <c r="J335" s="40"/>
      <c r="K335" s="147">
        <v>15465812</v>
      </c>
    </row>
    <row r="336" spans="1:11">
      <c r="A336" s="73">
        <v>5</v>
      </c>
      <c r="C336" s="137" t="s">
        <v>140</v>
      </c>
      <c r="E336" s="73">
        <v>5</v>
      </c>
      <c r="F336" s="40"/>
      <c r="G336" s="40"/>
      <c r="H336" s="147"/>
      <c r="I336" s="40"/>
      <c r="J336" s="40"/>
      <c r="K336" s="147"/>
    </row>
    <row r="337" spans="1:11">
      <c r="A337" s="73">
        <v>6</v>
      </c>
      <c r="E337" s="73">
        <v>6</v>
      </c>
      <c r="F337" s="40"/>
      <c r="G337" s="40"/>
      <c r="H337" s="147"/>
      <c r="I337" s="40"/>
      <c r="J337" s="40"/>
      <c r="K337" s="147"/>
    </row>
    <row r="338" spans="1:11">
      <c r="A338" s="73">
        <v>7</v>
      </c>
      <c r="E338" s="73">
        <v>7</v>
      </c>
      <c r="F338" s="40"/>
      <c r="G338" s="40"/>
      <c r="H338" s="147"/>
      <c r="I338" s="40"/>
      <c r="J338" s="40"/>
      <c r="K338" s="147"/>
    </row>
    <row r="339" spans="1:11">
      <c r="A339" s="73">
        <v>8</v>
      </c>
      <c r="E339" s="73">
        <v>8</v>
      </c>
      <c r="F339" s="40"/>
      <c r="G339" s="40"/>
      <c r="H339" s="147"/>
      <c r="I339" s="40"/>
      <c r="J339" s="40"/>
      <c r="K339" s="147"/>
    </row>
    <row r="340" spans="1:11">
      <c r="A340" s="73">
        <v>9</v>
      </c>
      <c r="E340" s="73">
        <v>9</v>
      </c>
      <c r="F340" s="40"/>
      <c r="G340" s="40"/>
      <c r="H340" s="147"/>
      <c r="I340" s="40"/>
      <c r="J340" s="40"/>
      <c r="K340" s="147"/>
    </row>
    <row r="341" spans="1:11">
      <c r="A341" s="73">
        <v>10</v>
      </c>
      <c r="E341" s="73">
        <v>10</v>
      </c>
      <c r="F341" s="40"/>
      <c r="G341" s="40"/>
      <c r="H341" s="147"/>
      <c r="I341" s="40"/>
      <c r="J341" s="40"/>
      <c r="K341" s="147"/>
    </row>
    <row r="342" spans="1:11">
      <c r="A342" s="73">
        <v>11</v>
      </c>
      <c r="E342" s="73">
        <v>11</v>
      </c>
      <c r="F342" s="40"/>
      <c r="G342" s="40"/>
      <c r="H342" s="147"/>
      <c r="I342" s="40"/>
      <c r="J342" s="40"/>
      <c r="K342" s="147"/>
    </row>
    <row r="343" spans="1:11">
      <c r="A343" s="73">
        <v>12</v>
      </c>
      <c r="E343" s="73">
        <v>12</v>
      </c>
      <c r="F343" s="40"/>
      <c r="G343" s="40"/>
      <c r="H343" s="147"/>
      <c r="I343" s="40"/>
      <c r="J343" s="40"/>
      <c r="K343" s="147"/>
    </row>
    <row r="344" spans="1:11">
      <c r="A344" s="73">
        <v>13</v>
      </c>
      <c r="E344" s="73">
        <v>13</v>
      </c>
      <c r="F344" s="40"/>
      <c r="G344" s="40"/>
      <c r="H344" s="147"/>
      <c r="I344" s="40"/>
      <c r="J344" s="40"/>
      <c r="K344" s="147"/>
    </row>
    <row r="345" spans="1:11">
      <c r="A345" s="73">
        <v>14</v>
      </c>
      <c r="C345" s="74" t="s">
        <v>38</v>
      </c>
      <c r="D345" s="75"/>
      <c r="E345" s="73">
        <v>14</v>
      </c>
      <c r="F345" s="40"/>
      <c r="G345" s="40"/>
      <c r="H345" s="147"/>
      <c r="I345" s="40"/>
      <c r="J345" s="40"/>
      <c r="K345" s="147"/>
    </row>
    <row r="346" spans="1:11">
      <c r="A346" s="73">
        <v>15</v>
      </c>
      <c r="C346" s="74"/>
      <c r="D346" s="75"/>
      <c r="E346" s="73">
        <v>15</v>
      </c>
      <c r="F346" s="40"/>
      <c r="G346" s="40"/>
      <c r="H346" s="147"/>
      <c r="I346" s="40"/>
      <c r="J346" s="40"/>
      <c r="K346" s="147"/>
    </row>
    <row r="347" spans="1:11">
      <c r="A347" s="73">
        <v>16</v>
      </c>
      <c r="E347" s="73">
        <v>16</v>
      </c>
      <c r="F347" s="40"/>
      <c r="G347" s="40"/>
      <c r="H347" s="147"/>
      <c r="I347" s="40"/>
      <c r="J347" s="40"/>
      <c r="K347" s="147"/>
    </row>
    <row r="348" spans="1:11">
      <c r="A348" s="73">
        <v>17</v>
      </c>
      <c r="C348" s="9" t="s">
        <v>38</v>
      </c>
      <c r="E348" s="73">
        <v>17</v>
      </c>
      <c r="F348" s="40"/>
      <c r="G348" s="40"/>
      <c r="H348" s="147"/>
      <c r="I348" s="40"/>
      <c r="J348" s="40"/>
      <c r="K348" s="147"/>
    </row>
    <row r="349" spans="1:11">
      <c r="A349" s="73">
        <v>18</v>
      </c>
      <c r="E349" s="73">
        <v>18</v>
      </c>
      <c r="F349" s="40"/>
      <c r="G349" s="40"/>
      <c r="H349" s="147"/>
      <c r="I349" s="40"/>
      <c r="J349" s="40" t="s">
        <v>38</v>
      </c>
      <c r="K349" s="147"/>
    </row>
    <row r="350" spans="1:11">
      <c r="A350" s="73">
        <v>19</v>
      </c>
      <c r="E350" s="73">
        <v>19</v>
      </c>
      <c r="F350" s="40"/>
      <c r="G350" s="40"/>
      <c r="H350" s="147"/>
      <c r="I350" s="40"/>
      <c r="J350" s="40"/>
      <c r="K350" s="147"/>
    </row>
    <row r="351" spans="1:11">
      <c r="A351" s="73"/>
      <c r="C351" s="74"/>
      <c r="E351" s="73"/>
      <c r="F351" s="70" t="s">
        <v>6</v>
      </c>
      <c r="G351" s="20" t="s">
        <v>6</v>
      </c>
      <c r="H351" s="21" t="s">
        <v>6</v>
      </c>
      <c r="I351" s="70" t="s">
        <v>6</v>
      </c>
      <c r="J351" s="20" t="s">
        <v>6</v>
      </c>
      <c r="K351" s="21" t="s">
        <v>6</v>
      </c>
    </row>
    <row r="352" spans="1:11">
      <c r="A352" s="73">
        <v>20</v>
      </c>
      <c r="C352" s="74" t="s">
        <v>141</v>
      </c>
      <c r="E352" s="73">
        <v>20</v>
      </c>
      <c r="G352" s="96"/>
      <c r="H352" s="100">
        <f>SUM(H332:H350)</f>
        <v>15325373</v>
      </c>
      <c r="I352" s="100"/>
      <c r="J352" s="96"/>
      <c r="K352" s="100">
        <f>SUM(K332:K350)</f>
        <v>15465812</v>
      </c>
    </row>
    <row r="353" spans="1:11">
      <c r="A353" s="76"/>
      <c r="C353" s="9"/>
      <c r="E353" s="35"/>
      <c r="F353" s="70" t="s">
        <v>6</v>
      </c>
      <c r="G353" s="20" t="s">
        <v>6</v>
      </c>
      <c r="H353" s="21" t="s">
        <v>6</v>
      </c>
      <c r="I353" s="70" t="s">
        <v>6</v>
      </c>
      <c r="J353" s="20" t="s">
        <v>6</v>
      </c>
      <c r="K353" s="21" t="s">
        <v>6</v>
      </c>
    </row>
    <row r="354" spans="1:11" ht="13.5">
      <c r="C354" s="137" t="s">
        <v>254</v>
      </c>
      <c r="F354" s="70"/>
      <c r="G354" s="20"/>
      <c r="H354" s="40"/>
      <c r="I354" s="70"/>
      <c r="J354" s="20"/>
      <c r="K354" s="40"/>
    </row>
    <row r="355" spans="1:11" ht="13.5">
      <c r="C355" s="137" t="s">
        <v>253</v>
      </c>
      <c r="F355" s="70"/>
      <c r="G355" s="20"/>
      <c r="H355" s="40"/>
      <c r="I355" s="70"/>
      <c r="J355" s="20"/>
      <c r="K355" s="40"/>
    </row>
    <row r="356" spans="1:11" ht="13.5">
      <c r="A356" s="9"/>
      <c r="C356" s="137" t="s">
        <v>255</v>
      </c>
    </row>
    <row r="357" spans="1:11">
      <c r="A357" s="9"/>
      <c r="C357" s="137" t="s">
        <v>240</v>
      </c>
    </row>
    <row r="358" spans="1:11" s="36" customFormat="1">
      <c r="A358" s="16" t="str">
        <f>$A$83</f>
        <v xml:space="preserve">Institution No.:  </v>
      </c>
      <c r="E358" s="37"/>
      <c r="G358" s="38"/>
      <c r="H358" s="39"/>
      <c r="J358" s="38"/>
      <c r="K358" s="15" t="s">
        <v>142</v>
      </c>
    </row>
    <row r="359" spans="1:11" s="36" customFormat="1" ht="14.25">
      <c r="D359" s="58" t="s">
        <v>241</v>
      </c>
      <c r="E359" s="37"/>
      <c r="G359" s="38"/>
      <c r="H359" s="39"/>
      <c r="J359" s="38"/>
      <c r="K359" s="39"/>
    </row>
    <row r="360" spans="1:11">
      <c r="A360" s="16" t="str">
        <f>$A$42</f>
        <v xml:space="preserve">NAME: </v>
      </c>
      <c r="C360" s="137" t="str">
        <f>$D$20</f>
        <v>University of Colorado</v>
      </c>
      <c r="F360" s="72"/>
      <c r="G360" s="66"/>
      <c r="H360" s="40"/>
      <c r="J360" s="14"/>
      <c r="K360" s="18" t="str">
        <f>$K$3</f>
        <v>Date: October 09, 2017</v>
      </c>
    </row>
    <row r="361" spans="1:11">
      <c r="A361" s="19" t="s">
        <v>6</v>
      </c>
      <c r="B361" s="19" t="s">
        <v>6</v>
      </c>
      <c r="C361" s="19" t="s">
        <v>6</v>
      </c>
      <c r="D361" s="19" t="s">
        <v>6</v>
      </c>
      <c r="E361" s="19" t="s">
        <v>6</v>
      </c>
      <c r="F361" s="19" t="s">
        <v>6</v>
      </c>
      <c r="G361" s="20" t="s">
        <v>6</v>
      </c>
      <c r="H361" s="21" t="s">
        <v>6</v>
      </c>
      <c r="I361" s="19" t="s">
        <v>6</v>
      </c>
      <c r="J361" s="20" t="s">
        <v>6</v>
      </c>
      <c r="K361" s="21" t="s">
        <v>6</v>
      </c>
    </row>
    <row r="362" spans="1:11">
      <c r="A362" s="22" t="s">
        <v>7</v>
      </c>
      <c r="E362" s="22" t="s">
        <v>7</v>
      </c>
      <c r="G362" s="24"/>
      <c r="H362" s="25" t="str">
        <f>H329</f>
        <v>2016-17</v>
      </c>
      <c r="I362" s="23"/>
      <c r="J362" s="24"/>
      <c r="K362" s="25" t="str">
        <f>K329</f>
        <v>2017-18</v>
      </c>
    </row>
    <row r="363" spans="1:11">
      <c r="A363" s="22" t="s">
        <v>9</v>
      </c>
      <c r="C363" s="26" t="s">
        <v>51</v>
      </c>
      <c r="E363" s="22" t="s">
        <v>9</v>
      </c>
      <c r="G363" s="14"/>
      <c r="H363" s="25" t="s">
        <v>12</v>
      </c>
      <c r="J363" s="14"/>
      <c r="K363" s="25" t="s">
        <v>13</v>
      </c>
    </row>
    <row r="364" spans="1:11">
      <c r="A364" s="19" t="s">
        <v>6</v>
      </c>
      <c r="B364" s="19" t="s">
        <v>6</v>
      </c>
      <c r="C364" s="19" t="s">
        <v>6</v>
      </c>
      <c r="D364" s="19" t="s">
        <v>6</v>
      </c>
      <c r="E364" s="19" t="s">
        <v>6</v>
      </c>
      <c r="F364" s="19" t="s">
        <v>6</v>
      </c>
      <c r="G364" s="20" t="s">
        <v>6</v>
      </c>
      <c r="H364" s="21" t="s">
        <v>6</v>
      </c>
      <c r="I364" s="19" t="s">
        <v>6</v>
      </c>
      <c r="J364" s="20" t="s">
        <v>6</v>
      </c>
      <c r="K364" s="21" t="s">
        <v>6</v>
      </c>
    </row>
    <row r="365" spans="1:11">
      <c r="A365" s="73"/>
      <c r="C365" s="31" t="s">
        <v>143</v>
      </c>
      <c r="E365" s="73"/>
      <c r="G365" s="96"/>
      <c r="H365" s="96"/>
      <c r="I365" s="100"/>
      <c r="J365" s="96"/>
      <c r="K365" s="96"/>
    </row>
    <row r="366" spans="1:11" ht="13.5">
      <c r="A366" s="73">
        <v>1</v>
      </c>
      <c r="C366" s="77" t="s">
        <v>250</v>
      </c>
      <c r="E366" s="73">
        <v>1</v>
      </c>
      <c r="G366" s="96"/>
      <c r="H366" s="148">
        <v>9699393.8599999994</v>
      </c>
      <c r="I366" s="100"/>
      <c r="J366" s="96"/>
      <c r="K366" s="148">
        <v>9272855</v>
      </c>
    </row>
    <row r="367" spans="1:11">
      <c r="A367" s="73">
        <v>2</v>
      </c>
      <c r="C367" s="10" t="s">
        <v>144</v>
      </c>
      <c r="E367" s="73">
        <v>2</v>
      </c>
      <c r="F367" s="10"/>
      <c r="G367" s="103"/>
      <c r="H367" s="145">
        <v>75040986.959999993</v>
      </c>
      <c r="I367" s="103"/>
      <c r="J367" s="103"/>
      <c r="K367" s="145">
        <v>70269620</v>
      </c>
    </row>
    <row r="368" spans="1:11">
      <c r="A368" s="73">
        <v>3</v>
      </c>
      <c r="C368" s="10" t="s">
        <v>145</v>
      </c>
      <c r="E368" s="73">
        <v>3</v>
      </c>
      <c r="F368" s="10"/>
      <c r="G368" s="103"/>
      <c r="H368" s="145">
        <f>2010173.87+17626141.45+3354734.83+9461598.05-9125774.63</f>
        <v>23326873.57</v>
      </c>
      <c r="I368" s="103"/>
      <c r="J368" s="103"/>
      <c r="K368" s="145">
        <f>12636240.68+2170000+3126618+7681144-7681144+7052929.32-1504258+122306</f>
        <v>23603836</v>
      </c>
    </row>
    <row r="369" spans="1:11" ht="13.5">
      <c r="A369" s="73">
        <v>4</v>
      </c>
      <c r="C369" s="10" t="s">
        <v>252</v>
      </c>
      <c r="E369" s="73">
        <v>4</v>
      </c>
      <c r="F369" s="10"/>
      <c r="G369" s="103"/>
      <c r="H369" s="145"/>
      <c r="I369" s="103"/>
      <c r="J369" s="103"/>
      <c r="K369" s="145"/>
    </row>
    <row r="370" spans="1:11">
      <c r="A370" s="73">
        <v>5</v>
      </c>
      <c r="C370" s="10" t="s">
        <v>146</v>
      </c>
      <c r="E370" s="73">
        <v>5</v>
      </c>
      <c r="F370" s="10"/>
      <c r="G370" s="103"/>
      <c r="H370" s="145"/>
      <c r="I370" s="103"/>
      <c r="J370" s="103"/>
      <c r="K370" s="145"/>
    </row>
    <row r="371" spans="1:11">
      <c r="A371" s="73">
        <v>6</v>
      </c>
      <c r="C371" s="10" t="s">
        <v>147</v>
      </c>
      <c r="E371" s="73">
        <v>6</v>
      </c>
      <c r="F371" s="10"/>
      <c r="G371" s="103"/>
      <c r="H371" s="145"/>
      <c r="I371" s="103"/>
      <c r="J371" s="103"/>
      <c r="K371" s="145"/>
    </row>
    <row r="372" spans="1:11">
      <c r="A372" s="73">
        <v>7</v>
      </c>
      <c r="C372" s="10" t="s">
        <v>148</v>
      </c>
      <c r="E372" s="73">
        <v>7</v>
      </c>
      <c r="F372" s="10"/>
      <c r="G372" s="103"/>
      <c r="H372" s="145"/>
      <c r="I372" s="103"/>
      <c r="J372" s="103"/>
      <c r="K372" s="145"/>
    </row>
    <row r="373" spans="1:11">
      <c r="A373" s="73">
        <v>8</v>
      </c>
      <c r="C373" s="10" t="s">
        <v>149</v>
      </c>
      <c r="E373" s="73">
        <v>8</v>
      </c>
      <c r="F373" s="70"/>
      <c r="G373" s="20"/>
      <c r="H373" s="149"/>
      <c r="I373" s="70"/>
      <c r="J373" s="20"/>
      <c r="K373" s="149"/>
    </row>
    <row r="374" spans="1:11" ht="13.5">
      <c r="A374" s="73">
        <v>9</v>
      </c>
      <c r="C374" s="137" t="s">
        <v>251</v>
      </c>
      <c r="E374" s="73">
        <v>9</v>
      </c>
      <c r="F374" s="70"/>
      <c r="G374" s="20"/>
      <c r="H374" s="149"/>
      <c r="I374" s="70"/>
      <c r="J374" s="20"/>
      <c r="K374" s="149"/>
    </row>
    <row r="375" spans="1:11">
      <c r="A375" s="73">
        <v>10</v>
      </c>
      <c r="C375" s="10"/>
      <c r="E375" s="73">
        <v>10</v>
      </c>
      <c r="F375" s="70"/>
      <c r="G375" s="20"/>
      <c r="H375" s="149"/>
      <c r="I375" s="70"/>
      <c r="J375" s="20"/>
      <c r="K375" s="149"/>
    </row>
    <row r="376" spans="1:11">
      <c r="A376" s="73">
        <v>11</v>
      </c>
      <c r="C376" s="10"/>
      <c r="E376" s="73">
        <v>11</v>
      </c>
      <c r="F376" s="70"/>
      <c r="G376" s="20"/>
      <c r="H376" s="149"/>
      <c r="I376" s="70"/>
      <c r="J376" s="20"/>
      <c r="K376" s="149"/>
    </row>
    <row r="377" spans="1:11">
      <c r="A377" s="73">
        <v>12</v>
      </c>
      <c r="C377" s="10"/>
      <c r="E377" s="73">
        <v>12</v>
      </c>
      <c r="F377" s="70"/>
      <c r="G377" s="20"/>
      <c r="H377" s="149"/>
      <c r="I377" s="70"/>
      <c r="J377" s="20"/>
      <c r="K377" s="149"/>
    </row>
    <row r="378" spans="1:11">
      <c r="A378" s="73">
        <v>13</v>
      </c>
      <c r="C378" s="10"/>
      <c r="E378" s="73">
        <v>13</v>
      </c>
      <c r="F378" s="70"/>
      <c r="G378" s="20"/>
      <c r="H378" s="149"/>
      <c r="I378" s="70"/>
      <c r="J378" s="20"/>
      <c r="K378" s="149"/>
    </row>
    <row r="379" spans="1:11">
      <c r="A379" s="73">
        <v>14</v>
      </c>
      <c r="C379" s="10"/>
      <c r="E379" s="73">
        <v>14</v>
      </c>
      <c r="F379" s="70"/>
      <c r="G379" s="20"/>
      <c r="H379" s="149"/>
      <c r="I379" s="70"/>
      <c r="J379" s="20"/>
      <c r="K379" s="149"/>
    </row>
    <row r="380" spans="1:11">
      <c r="A380" s="73">
        <v>15</v>
      </c>
      <c r="E380" s="73">
        <v>15</v>
      </c>
      <c r="F380" s="10"/>
      <c r="G380" s="103"/>
      <c r="H380" s="145"/>
      <c r="I380" s="103"/>
      <c r="J380" s="103"/>
      <c r="K380" s="145"/>
    </row>
    <row r="381" spans="1:11">
      <c r="A381" s="73"/>
      <c r="C381" s="10"/>
      <c r="E381" s="73"/>
      <c r="F381" s="10"/>
      <c r="G381" s="103"/>
      <c r="H381" s="145"/>
      <c r="I381" s="103"/>
      <c r="J381" s="103"/>
      <c r="K381" s="145"/>
    </row>
    <row r="382" spans="1:11">
      <c r="A382" s="73">
        <v>16</v>
      </c>
      <c r="C382" s="10" t="s">
        <v>150</v>
      </c>
      <c r="E382" s="73">
        <v>16</v>
      </c>
      <c r="F382" s="10"/>
      <c r="G382" s="103"/>
      <c r="H382" s="145">
        <v>1067986.8799999999</v>
      </c>
      <c r="I382" s="103"/>
      <c r="J382" s="103"/>
      <c r="K382" s="145">
        <v>1023847</v>
      </c>
    </row>
    <row r="383" spans="1:11">
      <c r="A383" s="73">
        <v>17</v>
      </c>
      <c r="C383" s="10" t="s">
        <v>151</v>
      </c>
      <c r="E383" s="73">
        <v>17</v>
      </c>
      <c r="F383" s="10"/>
      <c r="G383" s="103"/>
      <c r="H383" s="145">
        <v>340.19</v>
      </c>
      <c r="I383" s="103"/>
      <c r="J383" s="103"/>
      <c r="K383" s="145"/>
    </row>
    <row r="384" spans="1:11">
      <c r="A384" s="73">
        <v>18</v>
      </c>
      <c r="C384" s="10" t="s">
        <v>152</v>
      </c>
      <c r="E384" s="73">
        <v>18</v>
      </c>
      <c r="F384" s="10"/>
      <c r="G384" s="103"/>
      <c r="H384" s="145"/>
      <c r="I384" s="103"/>
      <c r="J384" s="103"/>
      <c r="K384" s="145"/>
    </row>
    <row r="385" spans="1:11">
      <c r="A385" s="73">
        <v>19</v>
      </c>
      <c r="C385" s="10" t="s">
        <v>38</v>
      </c>
      <c r="E385" s="73">
        <v>19</v>
      </c>
      <c r="F385" s="10"/>
      <c r="G385" s="103"/>
      <c r="H385" s="145"/>
      <c r="I385" s="103"/>
      <c r="J385" s="103"/>
      <c r="K385" s="145"/>
    </row>
    <row r="386" spans="1:11">
      <c r="A386" s="137">
        <v>20</v>
      </c>
      <c r="C386" s="10"/>
      <c r="E386" s="137">
        <v>20</v>
      </c>
      <c r="F386" s="70"/>
      <c r="G386" s="20"/>
      <c r="H386" s="149"/>
      <c r="I386" s="70"/>
      <c r="J386" s="20"/>
      <c r="K386" s="149"/>
    </row>
    <row r="387" spans="1:11">
      <c r="A387" s="137">
        <v>21</v>
      </c>
      <c r="C387" s="10"/>
      <c r="E387" s="137">
        <v>21</v>
      </c>
      <c r="F387" s="70"/>
      <c r="G387" s="20"/>
      <c r="H387" s="149"/>
      <c r="I387" s="70"/>
      <c r="J387" s="20"/>
      <c r="K387" s="149"/>
    </row>
    <row r="388" spans="1:11">
      <c r="A388" s="137">
        <v>22</v>
      </c>
      <c r="C388" s="10"/>
      <c r="E388" s="137">
        <v>22</v>
      </c>
      <c r="F388" s="70"/>
      <c r="G388" s="20"/>
      <c r="H388" s="149"/>
      <c r="I388" s="70"/>
      <c r="J388" s="20"/>
      <c r="K388" s="149"/>
    </row>
    <row r="389" spans="1:11">
      <c r="A389" s="137">
        <v>23</v>
      </c>
      <c r="C389" s="10"/>
      <c r="E389" s="137">
        <v>23</v>
      </c>
      <c r="F389" s="70"/>
      <c r="G389" s="20"/>
      <c r="H389" s="149"/>
      <c r="I389" s="70"/>
      <c r="J389" s="20"/>
      <c r="K389" s="149"/>
    </row>
    <row r="390" spans="1:11">
      <c r="A390" s="137">
        <v>24</v>
      </c>
      <c r="C390" s="10"/>
      <c r="E390" s="137">
        <v>24</v>
      </c>
      <c r="F390" s="70"/>
      <c r="G390" s="20"/>
      <c r="H390" s="149"/>
      <c r="I390" s="70"/>
      <c r="J390" s="20"/>
      <c r="K390" s="149"/>
    </row>
    <row r="391" spans="1:11">
      <c r="A391" s="73"/>
      <c r="C391" s="10"/>
      <c r="E391" s="73"/>
      <c r="F391" s="70" t="s">
        <v>6</v>
      </c>
      <c r="G391" s="20" t="s">
        <v>6</v>
      </c>
      <c r="H391" s="21"/>
      <c r="I391" s="70"/>
      <c r="J391" s="20"/>
      <c r="K391" s="21"/>
    </row>
    <row r="392" spans="1:11">
      <c r="A392" s="73">
        <v>25</v>
      </c>
      <c r="C392" s="9" t="s">
        <v>153</v>
      </c>
      <c r="E392" s="73">
        <v>25</v>
      </c>
      <c r="G392" s="96"/>
      <c r="H392" s="100">
        <f>SUM(H366:H390)</f>
        <v>109135581.45999998</v>
      </c>
      <c r="I392" s="100"/>
      <c r="J392" s="96"/>
      <c r="K392" s="100">
        <f>SUM(K366:K390)</f>
        <v>104170158</v>
      </c>
    </row>
    <row r="393" spans="1:11">
      <c r="A393" s="73"/>
      <c r="C393" s="9"/>
      <c r="E393" s="73"/>
      <c r="F393" s="70" t="s">
        <v>6</v>
      </c>
      <c r="G393" s="20" t="s">
        <v>6</v>
      </c>
      <c r="H393" s="21"/>
      <c r="I393" s="70"/>
      <c r="J393" s="20"/>
      <c r="K393" s="21"/>
    </row>
    <row r="394" spans="1:11" ht="13.5">
      <c r="A394" s="73">
        <v>26</v>
      </c>
      <c r="C394" s="9" t="s">
        <v>245</v>
      </c>
      <c r="E394" s="73">
        <v>26</v>
      </c>
      <c r="G394" s="96"/>
      <c r="H394" s="96">
        <v>-372502</v>
      </c>
      <c r="I394" s="100"/>
      <c r="J394" s="96"/>
      <c r="K394" s="96">
        <v>0</v>
      </c>
    </row>
    <row r="395" spans="1:11">
      <c r="A395" s="73">
        <v>27</v>
      </c>
      <c r="E395" s="73">
        <v>27</v>
      </c>
      <c r="G395" s="96"/>
      <c r="H395" s="96"/>
      <c r="I395" s="100"/>
      <c r="J395" s="96"/>
      <c r="K395" s="96"/>
    </row>
    <row r="396" spans="1:11">
      <c r="A396" s="73">
        <v>28</v>
      </c>
      <c r="E396" s="73">
        <v>28</v>
      </c>
      <c r="G396" s="100"/>
      <c r="H396" s="100"/>
      <c r="I396" s="100"/>
      <c r="J396" s="100"/>
      <c r="K396" s="100"/>
    </row>
    <row r="397" spans="1:11">
      <c r="A397" s="73">
        <v>29</v>
      </c>
      <c r="C397" s="137" t="s">
        <v>38</v>
      </c>
      <c r="E397" s="73">
        <v>29</v>
      </c>
      <c r="G397" s="100"/>
      <c r="H397" s="100"/>
      <c r="I397" s="100"/>
      <c r="J397" s="100"/>
      <c r="K397" s="100"/>
    </row>
    <row r="398" spans="1:11">
      <c r="A398" s="73"/>
      <c r="C398" s="74"/>
      <c r="E398" s="73"/>
      <c r="F398" s="70" t="s">
        <v>6</v>
      </c>
      <c r="G398" s="20" t="s">
        <v>6</v>
      </c>
      <c r="H398" s="21"/>
      <c r="I398" s="70"/>
      <c r="J398" s="20"/>
      <c r="K398" s="21"/>
    </row>
    <row r="399" spans="1:11">
      <c r="A399" s="73">
        <v>30</v>
      </c>
      <c r="C399" s="74" t="s">
        <v>154</v>
      </c>
      <c r="E399" s="73">
        <v>30</v>
      </c>
      <c r="G399" s="96"/>
      <c r="H399" s="100">
        <f>SUM(H392:H397)</f>
        <v>108763079.45999998</v>
      </c>
      <c r="I399" s="100"/>
      <c r="J399" s="96"/>
      <c r="K399" s="100">
        <f>SUM(K392:K397)</f>
        <v>104170158</v>
      </c>
    </row>
    <row r="400" spans="1:11">
      <c r="A400" s="76"/>
      <c r="C400" s="9"/>
      <c r="E400" s="35"/>
      <c r="F400" s="70" t="s">
        <v>6</v>
      </c>
      <c r="G400" s="20" t="s">
        <v>6</v>
      </c>
      <c r="H400" s="21" t="s">
        <v>6</v>
      </c>
      <c r="I400" s="70" t="s">
        <v>6</v>
      </c>
      <c r="J400" s="20" t="s">
        <v>6</v>
      </c>
      <c r="K400" s="21" t="s">
        <v>6</v>
      </c>
    </row>
    <row r="401" spans="1:11" ht="13.5">
      <c r="C401" s="137" t="s">
        <v>254</v>
      </c>
      <c r="F401" s="70"/>
      <c r="G401" s="20"/>
      <c r="H401" s="40"/>
      <c r="I401" s="70"/>
      <c r="J401" s="20"/>
      <c r="K401" s="40"/>
    </row>
    <row r="402" spans="1:11" ht="13.5">
      <c r="C402" s="137" t="s">
        <v>253</v>
      </c>
      <c r="F402" s="70"/>
      <c r="G402" s="20"/>
      <c r="H402" s="40"/>
      <c r="I402" s="70"/>
      <c r="J402" s="20"/>
      <c r="K402" s="40"/>
    </row>
    <row r="403" spans="1:11" ht="13.5">
      <c r="C403" s="137" t="s">
        <v>242</v>
      </c>
      <c r="F403" s="70"/>
      <c r="G403" s="20"/>
      <c r="H403" s="40"/>
      <c r="I403" s="70"/>
      <c r="J403" s="20"/>
      <c r="K403" s="40"/>
    </row>
    <row r="404" spans="1:11">
      <c r="C404" s="137" t="s">
        <v>155</v>
      </c>
      <c r="F404" s="70"/>
      <c r="G404" s="20"/>
      <c r="H404" s="40"/>
      <c r="I404" s="70"/>
      <c r="J404" s="20"/>
      <c r="K404" s="40"/>
    </row>
    <row r="405" spans="1:11" ht="13.5">
      <c r="C405" s="137" t="s">
        <v>243</v>
      </c>
      <c r="F405" s="70"/>
      <c r="G405" s="20"/>
      <c r="H405" s="40"/>
      <c r="I405" s="70"/>
      <c r="J405" s="20"/>
      <c r="K405" s="40"/>
    </row>
    <row r="406" spans="1:11">
      <c r="C406" s="137" t="s">
        <v>156</v>
      </c>
      <c r="F406" s="70"/>
      <c r="G406" s="20"/>
      <c r="H406" s="40"/>
      <c r="I406" s="70"/>
      <c r="J406" s="20"/>
      <c r="K406" s="40"/>
    </row>
    <row r="407" spans="1:11" ht="13.5">
      <c r="C407" s="137" t="s">
        <v>244</v>
      </c>
      <c r="F407" s="70"/>
      <c r="G407" s="20"/>
      <c r="H407" s="40"/>
      <c r="I407" s="70"/>
      <c r="J407" s="20"/>
      <c r="K407" s="40"/>
    </row>
    <row r="408" spans="1:11">
      <c r="A408" s="76"/>
      <c r="C408" s="137" t="s">
        <v>240</v>
      </c>
      <c r="E408" s="35"/>
      <c r="F408" s="70"/>
      <c r="G408" s="20"/>
      <c r="H408" s="21"/>
      <c r="I408" s="70"/>
      <c r="J408" s="20"/>
      <c r="K408" s="21"/>
    </row>
    <row r="409" spans="1:11" ht="13.5" customHeight="1"/>
    <row r="410" spans="1:11">
      <c r="A410" s="16" t="str">
        <f>$A$83</f>
        <v xml:space="preserve">Institution No.:  </v>
      </c>
      <c r="B410" s="36"/>
      <c r="C410" s="36"/>
      <c r="D410" s="36"/>
      <c r="E410" s="37"/>
      <c r="F410" s="36"/>
      <c r="G410" s="38"/>
      <c r="H410" s="39"/>
      <c r="I410" s="36"/>
      <c r="J410" s="38"/>
      <c r="K410" s="15" t="s">
        <v>262</v>
      </c>
    </row>
    <row r="411" spans="1:11">
      <c r="A411" s="36"/>
      <c r="B411" s="36"/>
      <c r="C411" s="36"/>
      <c r="D411" s="58" t="s">
        <v>266</v>
      </c>
      <c r="E411" s="37"/>
      <c r="F411" s="36"/>
      <c r="G411" s="38"/>
      <c r="H411" s="39"/>
      <c r="I411" s="36"/>
      <c r="J411" s="38"/>
      <c r="K411" s="39"/>
    </row>
    <row r="412" spans="1:11" s="36" customFormat="1">
      <c r="A412" s="16" t="str">
        <f>$A$42</f>
        <v xml:space="preserve">NAME: </v>
      </c>
      <c r="B412" s="137"/>
      <c r="C412" s="137" t="str">
        <f>$D$20</f>
        <v>University of Colorado</v>
      </c>
      <c r="D412" s="137"/>
      <c r="E412" s="137"/>
      <c r="F412" s="72"/>
      <c r="G412" s="66"/>
      <c r="H412" s="40"/>
      <c r="I412" s="137"/>
      <c r="J412" s="14"/>
      <c r="K412" s="18" t="str">
        <f>$K$3</f>
        <v>Date: October 09, 2017</v>
      </c>
    </row>
    <row r="413" spans="1:11" ht="12.75" customHeight="1">
      <c r="A413" s="19" t="s">
        <v>6</v>
      </c>
      <c r="B413" s="19" t="s">
        <v>6</v>
      </c>
      <c r="C413" s="19" t="s">
        <v>6</v>
      </c>
      <c r="D413" s="19" t="s">
        <v>6</v>
      </c>
      <c r="E413" s="19" t="s">
        <v>6</v>
      </c>
      <c r="F413" s="19" t="s">
        <v>6</v>
      </c>
      <c r="G413" s="20" t="s">
        <v>6</v>
      </c>
      <c r="H413" s="21" t="s">
        <v>6</v>
      </c>
      <c r="I413" s="19" t="s">
        <v>6</v>
      </c>
      <c r="J413" s="20" t="s">
        <v>6</v>
      </c>
      <c r="K413" s="21" t="s">
        <v>6</v>
      </c>
    </row>
    <row r="414" spans="1:11">
      <c r="A414" s="22" t="s">
        <v>7</v>
      </c>
      <c r="E414" s="22" t="s">
        <v>7</v>
      </c>
      <c r="G414" s="24"/>
      <c r="H414" s="25" t="s">
        <v>257</v>
      </c>
      <c r="I414" s="23"/>
      <c r="J414" s="24"/>
      <c r="K414" s="25" t="s">
        <v>261</v>
      </c>
    </row>
    <row r="415" spans="1:11">
      <c r="A415" s="22" t="s">
        <v>9</v>
      </c>
      <c r="C415" s="26" t="s">
        <v>51</v>
      </c>
      <c r="E415" s="22" t="s">
        <v>9</v>
      </c>
      <c r="G415" s="14"/>
      <c r="H415" s="25" t="s">
        <v>12</v>
      </c>
      <c r="J415" s="14"/>
      <c r="K415" s="25" t="s">
        <v>13</v>
      </c>
    </row>
    <row r="416" spans="1:11">
      <c r="A416" s="19" t="s">
        <v>6</v>
      </c>
      <c r="B416" s="19" t="s">
        <v>6</v>
      </c>
      <c r="C416" s="19" t="s">
        <v>6</v>
      </c>
      <c r="D416" s="19" t="s">
        <v>6</v>
      </c>
      <c r="E416" s="19" t="s">
        <v>6</v>
      </c>
      <c r="F416" s="19" t="s">
        <v>6</v>
      </c>
      <c r="G416" s="20" t="s">
        <v>6</v>
      </c>
      <c r="H416" s="21" t="s">
        <v>6</v>
      </c>
      <c r="I416" s="19" t="s">
        <v>6</v>
      </c>
      <c r="J416" s="20" t="s">
        <v>6</v>
      </c>
      <c r="K416" s="21" t="s">
        <v>6</v>
      </c>
    </row>
    <row r="417" spans="1:11">
      <c r="A417" s="73"/>
      <c r="C417" s="31" t="s">
        <v>265</v>
      </c>
      <c r="E417" s="73"/>
      <c r="G417" s="96"/>
      <c r="H417" s="96"/>
      <c r="I417" s="100"/>
      <c r="J417" s="96"/>
      <c r="K417" s="96"/>
    </row>
    <row r="418" spans="1:11">
      <c r="A418" s="73">
        <v>1</v>
      </c>
      <c r="C418" s="9" t="s">
        <v>263</v>
      </c>
      <c r="E418" s="73">
        <v>1</v>
      </c>
      <c r="G418" s="96"/>
      <c r="H418" s="148"/>
      <c r="I418" s="100"/>
      <c r="J418" s="96"/>
      <c r="K418" s="148">
        <v>1500000</v>
      </c>
    </row>
    <row r="419" spans="1:11">
      <c r="A419" s="73">
        <v>2</v>
      </c>
      <c r="C419" s="10"/>
      <c r="E419" s="73">
        <v>2</v>
      </c>
      <c r="F419" s="10"/>
      <c r="G419" s="103"/>
      <c r="H419" s="145"/>
      <c r="I419" s="103"/>
      <c r="J419" s="103"/>
      <c r="K419" s="145"/>
    </row>
    <row r="420" spans="1:11">
      <c r="A420" s="73">
        <v>3</v>
      </c>
      <c r="C420" s="10"/>
      <c r="E420" s="73">
        <v>3</v>
      </c>
      <c r="F420" s="10"/>
      <c r="G420" s="103"/>
      <c r="H420" s="145"/>
      <c r="I420" s="103"/>
      <c r="J420" s="103"/>
      <c r="K420" s="145"/>
    </row>
    <row r="421" spans="1:11">
      <c r="A421" s="73">
        <v>4</v>
      </c>
      <c r="C421" s="10"/>
      <c r="E421" s="73">
        <v>4</v>
      </c>
      <c r="F421" s="10"/>
      <c r="G421" s="103"/>
      <c r="H421" s="145"/>
      <c r="I421" s="103"/>
      <c r="J421" s="103"/>
      <c r="K421" s="145"/>
    </row>
    <row r="422" spans="1:11">
      <c r="A422" s="73">
        <v>5</v>
      </c>
      <c r="C422" s="10"/>
      <c r="E422" s="73">
        <v>5</v>
      </c>
      <c r="F422" s="10"/>
      <c r="G422" s="103"/>
      <c r="H422" s="145"/>
      <c r="I422" s="103"/>
      <c r="J422" s="103"/>
      <c r="K422" s="145"/>
    </row>
    <row r="423" spans="1:11">
      <c r="A423" s="73">
        <v>6</v>
      </c>
      <c r="C423" s="10"/>
      <c r="E423" s="73">
        <v>6</v>
      </c>
      <c r="F423" s="10"/>
      <c r="G423" s="103"/>
      <c r="H423" s="145"/>
      <c r="I423" s="103"/>
      <c r="J423" s="103"/>
      <c r="K423" s="145"/>
    </row>
    <row r="424" spans="1:11">
      <c r="A424" s="73">
        <v>7</v>
      </c>
      <c r="C424" s="10"/>
      <c r="E424" s="73">
        <v>7</v>
      </c>
      <c r="F424" s="10"/>
      <c r="G424" s="103"/>
      <c r="H424" s="145"/>
      <c r="I424" s="103"/>
      <c r="J424" s="103"/>
      <c r="K424" s="145"/>
    </row>
    <row r="425" spans="1:11">
      <c r="A425" s="73">
        <v>8</v>
      </c>
      <c r="C425" s="10"/>
      <c r="E425" s="73">
        <v>8</v>
      </c>
      <c r="F425" s="70"/>
      <c r="G425" s="20"/>
      <c r="H425" s="149"/>
      <c r="I425" s="70"/>
      <c r="J425" s="20"/>
      <c r="K425" s="149"/>
    </row>
    <row r="426" spans="1:11">
      <c r="A426" s="73">
        <v>9</v>
      </c>
      <c r="E426" s="73">
        <v>9</v>
      </c>
      <c r="F426" s="70"/>
      <c r="G426" s="20"/>
      <c r="H426" s="149"/>
      <c r="I426" s="70"/>
      <c r="J426" s="20"/>
      <c r="K426" s="149"/>
    </row>
    <row r="427" spans="1:11">
      <c r="A427" s="73">
        <v>10</v>
      </c>
      <c r="C427" s="10"/>
      <c r="E427" s="73">
        <v>10</v>
      </c>
      <c r="F427" s="70"/>
      <c r="G427" s="20"/>
      <c r="H427" s="149"/>
      <c r="I427" s="70"/>
      <c r="J427" s="20"/>
      <c r="K427" s="149"/>
    </row>
    <row r="428" spans="1:11">
      <c r="A428" s="73">
        <v>11</v>
      </c>
      <c r="C428" s="10"/>
      <c r="E428" s="73">
        <v>11</v>
      </c>
      <c r="F428" s="70"/>
      <c r="G428" s="20"/>
      <c r="H428" s="149"/>
      <c r="I428" s="70"/>
      <c r="J428" s="20"/>
      <c r="K428" s="149"/>
    </row>
    <row r="429" spans="1:11">
      <c r="A429" s="73">
        <v>12</v>
      </c>
      <c r="C429" s="10"/>
      <c r="E429" s="73">
        <v>12</v>
      </c>
      <c r="F429" s="70"/>
      <c r="G429" s="20"/>
      <c r="H429" s="149"/>
      <c r="I429" s="70"/>
      <c r="J429" s="20"/>
      <c r="K429" s="149"/>
    </row>
    <row r="430" spans="1:11">
      <c r="A430" s="73">
        <v>13</v>
      </c>
      <c r="C430" s="10"/>
      <c r="E430" s="73">
        <v>13</v>
      </c>
      <c r="F430" s="70"/>
      <c r="G430" s="20"/>
      <c r="H430" s="149"/>
      <c r="I430" s="70"/>
      <c r="J430" s="20"/>
      <c r="K430" s="149"/>
    </row>
    <row r="431" spans="1:11">
      <c r="A431" s="73">
        <v>14</v>
      </c>
      <c r="C431" s="10"/>
      <c r="E431" s="73">
        <v>14</v>
      </c>
      <c r="F431" s="70"/>
      <c r="G431" s="20"/>
      <c r="H431" s="149"/>
      <c r="I431" s="70"/>
      <c r="J431" s="20"/>
      <c r="K431" s="149"/>
    </row>
    <row r="432" spans="1:11">
      <c r="A432" s="73">
        <v>15</v>
      </c>
      <c r="E432" s="73">
        <v>15</v>
      </c>
      <c r="F432" s="10"/>
      <c r="G432" s="103"/>
      <c r="H432" s="145"/>
      <c r="I432" s="103"/>
      <c r="J432" s="103"/>
      <c r="K432" s="145"/>
    </row>
    <row r="433" spans="1:11">
      <c r="A433" s="73"/>
      <c r="C433" s="10"/>
      <c r="E433" s="73"/>
      <c r="F433" s="10"/>
      <c r="G433" s="103"/>
      <c r="H433" s="145"/>
      <c r="I433" s="103"/>
      <c r="J433" s="103"/>
      <c r="K433" s="145"/>
    </row>
    <row r="434" spans="1:11">
      <c r="A434" s="73">
        <v>16</v>
      </c>
      <c r="C434" s="10"/>
      <c r="E434" s="73">
        <v>16</v>
      </c>
      <c r="F434" s="10"/>
      <c r="G434" s="103"/>
      <c r="H434" s="145"/>
      <c r="I434" s="103"/>
      <c r="J434" s="103"/>
      <c r="K434" s="145"/>
    </row>
    <row r="435" spans="1:11">
      <c r="A435" s="73">
        <v>17</v>
      </c>
      <c r="C435" s="10"/>
      <c r="E435" s="73">
        <v>17</v>
      </c>
      <c r="F435" s="10"/>
      <c r="G435" s="103"/>
      <c r="H435" s="145"/>
      <c r="I435" s="103"/>
      <c r="J435" s="103"/>
      <c r="K435" s="145"/>
    </row>
    <row r="436" spans="1:11">
      <c r="A436" s="73">
        <v>18</v>
      </c>
      <c r="C436" s="10"/>
      <c r="E436" s="73">
        <v>18</v>
      </c>
      <c r="F436" s="10"/>
      <c r="G436" s="103"/>
      <c r="H436" s="145"/>
      <c r="I436" s="103"/>
      <c r="J436" s="103"/>
      <c r="K436" s="145"/>
    </row>
    <row r="437" spans="1:11">
      <c r="A437" s="73">
        <v>19</v>
      </c>
      <c r="C437" s="10" t="s">
        <v>38</v>
      </c>
      <c r="E437" s="73">
        <v>19</v>
      </c>
      <c r="F437" s="10"/>
      <c r="G437" s="103"/>
      <c r="H437" s="145"/>
      <c r="I437" s="103"/>
      <c r="J437" s="103"/>
      <c r="K437" s="145"/>
    </row>
    <row r="438" spans="1:11">
      <c r="A438" s="137">
        <v>20</v>
      </c>
      <c r="C438" s="10"/>
      <c r="E438" s="137">
        <v>20</v>
      </c>
      <c r="F438" s="70"/>
      <c r="G438" s="20"/>
      <c r="H438" s="149"/>
      <c r="I438" s="70"/>
      <c r="J438" s="20"/>
      <c r="K438" s="149"/>
    </row>
    <row r="439" spans="1:11">
      <c r="A439" s="137">
        <v>21</v>
      </c>
      <c r="C439" s="10"/>
      <c r="E439" s="137">
        <v>21</v>
      </c>
      <c r="F439" s="70"/>
      <c r="G439" s="20"/>
      <c r="H439" s="149"/>
      <c r="I439" s="70"/>
      <c r="J439" s="20"/>
      <c r="K439" s="149"/>
    </row>
    <row r="440" spans="1:11">
      <c r="A440" s="137">
        <v>22</v>
      </c>
      <c r="C440" s="10"/>
      <c r="E440" s="137">
        <v>22</v>
      </c>
      <c r="F440" s="70"/>
      <c r="G440" s="20"/>
      <c r="H440" s="149"/>
      <c r="I440" s="70"/>
      <c r="J440" s="20"/>
      <c r="K440" s="149"/>
    </row>
    <row r="441" spans="1:11">
      <c r="A441" s="137">
        <v>23</v>
      </c>
      <c r="C441" s="10"/>
      <c r="E441" s="137">
        <v>23</v>
      </c>
      <c r="F441" s="70"/>
      <c r="G441" s="20"/>
      <c r="H441" s="149"/>
      <c r="I441" s="70"/>
      <c r="J441" s="20"/>
      <c r="K441" s="149"/>
    </row>
    <row r="442" spans="1:11">
      <c r="A442" s="137">
        <v>24</v>
      </c>
      <c r="C442" s="10"/>
      <c r="E442" s="137">
        <v>24</v>
      </c>
      <c r="F442" s="70"/>
      <c r="G442" s="20"/>
      <c r="H442" s="149"/>
      <c r="I442" s="70"/>
      <c r="J442" s="20"/>
      <c r="K442" s="149"/>
    </row>
    <row r="443" spans="1:11">
      <c r="A443" s="73"/>
      <c r="C443" s="10"/>
      <c r="E443" s="73"/>
      <c r="F443" s="70" t="s">
        <v>6</v>
      </c>
      <c r="G443" s="20" t="s">
        <v>6</v>
      </c>
      <c r="H443" s="21"/>
      <c r="I443" s="70"/>
      <c r="J443" s="20"/>
      <c r="K443" s="21"/>
    </row>
    <row r="444" spans="1:11">
      <c r="A444" s="73">
        <v>25</v>
      </c>
      <c r="C444" s="9"/>
      <c r="E444" s="73">
        <v>25</v>
      </c>
      <c r="G444" s="96"/>
      <c r="H444" s="100">
        <f>SUM(H418:H442)</f>
        <v>0</v>
      </c>
      <c r="I444" s="100"/>
      <c r="J444" s="96"/>
      <c r="K444" s="100">
        <f>SUM(K418:K442)</f>
        <v>1500000</v>
      </c>
    </row>
    <row r="445" spans="1:11">
      <c r="A445" s="73"/>
      <c r="C445" s="9"/>
      <c r="E445" s="73"/>
      <c r="F445" s="70" t="s">
        <v>6</v>
      </c>
      <c r="G445" s="20" t="s">
        <v>6</v>
      </c>
      <c r="H445" s="21"/>
      <c r="I445" s="70"/>
      <c r="J445" s="20"/>
      <c r="K445" s="21"/>
    </row>
    <row r="446" spans="1:11">
      <c r="A446" s="73">
        <v>26</v>
      </c>
      <c r="C446" s="9"/>
      <c r="E446" s="73">
        <v>26</v>
      </c>
      <c r="G446" s="96"/>
      <c r="H446" s="96">
        <v>0</v>
      </c>
      <c r="I446" s="100"/>
      <c r="J446" s="96"/>
      <c r="K446" s="96">
        <v>0</v>
      </c>
    </row>
    <row r="447" spans="1:11">
      <c r="A447" s="73">
        <v>27</v>
      </c>
      <c r="E447" s="73">
        <v>27</v>
      </c>
      <c r="G447" s="96"/>
      <c r="H447" s="96"/>
      <c r="I447" s="100"/>
      <c r="J447" s="96"/>
      <c r="K447" s="96"/>
    </row>
    <row r="448" spans="1:11">
      <c r="A448" s="73">
        <v>28</v>
      </c>
      <c r="E448" s="73">
        <v>28</v>
      </c>
      <c r="G448" s="100"/>
      <c r="H448" s="100"/>
      <c r="I448" s="100"/>
      <c r="J448" s="100"/>
      <c r="K448" s="100"/>
    </row>
    <row r="449" spans="1:11">
      <c r="A449" s="73">
        <v>29</v>
      </c>
      <c r="C449" s="137" t="s">
        <v>38</v>
      </c>
      <c r="E449" s="73">
        <v>29</v>
      </c>
      <c r="G449" s="100"/>
      <c r="H449" s="100"/>
      <c r="I449" s="100"/>
      <c r="J449" s="100"/>
      <c r="K449" s="100"/>
    </row>
    <row r="450" spans="1:11" s="36" customFormat="1">
      <c r="A450" s="73"/>
      <c r="B450" s="137"/>
      <c r="C450" s="74"/>
      <c r="D450" s="137"/>
      <c r="E450" s="73"/>
      <c r="F450" s="70" t="s">
        <v>6</v>
      </c>
      <c r="G450" s="20" t="s">
        <v>6</v>
      </c>
      <c r="H450" s="21"/>
      <c r="I450" s="70"/>
      <c r="J450" s="20"/>
      <c r="K450" s="21"/>
    </row>
    <row r="451" spans="1:11" s="36" customFormat="1">
      <c r="A451" s="73">
        <v>30</v>
      </c>
      <c r="B451" s="137"/>
      <c r="C451" s="74" t="s">
        <v>267</v>
      </c>
      <c r="D451" s="137"/>
      <c r="E451" s="73">
        <v>30</v>
      </c>
      <c r="F451" s="137"/>
      <c r="G451" s="96"/>
      <c r="H451" s="100"/>
      <c r="I451" s="100"/>
      <c r="J451" s="96"/>
      <c r="K451" s="100">
        <f>SUM(K444:K449)</f>
        <v>1500000</v>
      </c>
    </row>
    <row r="452" spans="1:11">
      <c r="A452" s="76"/>
      <c r="C452" s="9"/>
      <c r="E452" s="35"/>
      <c r="F452" s="70" t="s">
        <v>6</v>
      </c>
      <c r="G452" s="20" t="s">
        <v>6</v>
      </c>
      <c r="H452" s="21" t="s">
        <v>6</v>
      </c>
      <c r="I452" s="70" t="s">
        <v>6</v>
      </c>
      <c r="J452" s="20" t="s">
        <v>6</v>
      </c>
      <c r="K452" s="21" t="s">
        <v>6</v>
      </c>
    </row>
    <row r="453" spans="1:11">
      <c r="F453" s="70"/>
      <c r="G453" s="20"/>
      <c r="H453" s="40"/>
      <c r="I453" s="70"/>
      <c r="J453" s="20"/>
      <c r="K453" s="40"/>
    </row>
    <row r="454" spans="1:11">
      <c r="F454" s="70"/>
      <c r="G454" s="20"/>
      <c r="H454" s="40"/>
      <c r="I454" s="70"/>
      <c r="J454" s="20"/>
      <c r="K454" s="40"/>
    </row>
    <row r="455" spans="1:11">
      <c r="C455" s="137" t="s">
        <v>38</v>
      </c>
      <c r="F455" s="70"/>
      <c r="G455" s="20"/>
      <c r="H455" s="40"/>
      <c r="I455" s="70"/>
      <c r="J455" s="20"/>
      <c r="K455" s="40"/>
    </row>
    <row r="456" spans="1:11">
      <c r="F456" s="70"/>
      <c r="G456" s="20"/>
      <c r="H456" s="40"/>
      <c r="I456" s="70"/>
      <c r="J456" s="20"/>
      <c r="K456" s="40"/>
    </row>
    <row r="457" spans="1:11">
      <c r="C457" s="137" t="s">
        <v>38</v>
      </c>
      <c r="F457" s="70"/>
      <c r="G457" s="20"/>
      <c r="H457" s="40"/>
      <c r="I457" s="70"/>
      <c r="J457" s="20"/>
      <c r="K457" s="40"/>
    </row>
    <row r="458" spans="1:11">
      <c r="F458" s="70"/>
      <c r="G458" s="20"/>
      <c r="H458" s="40"/>
      <c r="I458" s="70"/>
      <c r="J458" s="20"/>
      <c r="K458" s="40"/>
    </row>
    <row r="459" spans="1:11">
      <c r="F459" s="70"/>
      <c r="G459" s="20"/>
      <c r="H459" s="40"/>
      <c r="I459" s="70"/>
      <c r="J459" s="20"/>
      <c r="K459" s="40"/>
    </row>
    <row r="460" spans="1:11">
      <c r="A460" s="76"/>
      <c r="E460" s="35"/>
      <c r="F460" s="70"/>
      <c r="G460" s="20"/>
      <c r="H460" s="21"/>
      <c r="I460" s="70"/>
      <c r="J460" s="20"/>
      <c r="K460" s="21"/>
    </row>
    <row r="463" spans="1:11">
      <c r="A463" s="16" t="str">
        <f>$A$83</f>
        <v xml:space="preserve">Institution No.:  </v>
      </c>
      <c r="B463" s="36"/>
      <c r="C463" s="36"/>
      <c r="D463" s="36"/>
      <c r="E463" s="37"/>
      <c r="F463" s="36"/>
      <c r="G463" s="38"/>
      <c r="H463" s="39"/>
      <c r="I463" s="36"/>
      <c r="J463" s="38"/>
      <c r="K463" s="15" t="s">
        <v>157</v>
      </c>
    </row>
    <row r="464" spans="1:11">
      <c r="A464" s="222" t="s">
        <v>158</v>
      </c>
      <c r="B464" s="222"/>
      <c r="C464" s="222"/>
      <c r="D464" s="222"/>
      <c r="E464" s="222"/>
      <c r="F464" s="222"/>
      <c r="G464" s="222"/>
      <c r="H464" s="222"/>
      <c r="I464" s="222"/>
      <c r="J464" s="222"/>
      <c r="K464" s="222"/>
    </row>
    <row r="465" spans="1:11">
      <c r="A465" s="16" t="str">
        <f>$A$42</f>
        <v xml:space="preserve">NAME: </v>
      </c>
      <c r="C465" s="137" t="str">
        <f>$D$20</f>
        <v>University of Colorado</v>
      </c>
      <c r="H465" s="40"/>
      <c r="J465" s="14"/>
      <c r="K465" s="18" t="str">
        <f>$K$3</f>
        <v>Date: October 09, 2017</v>
      </c>
    </row>
    <row r="466" spans="1:11">
      <c r="A466" s="19" t="s">
        <v>6</v>
      </c>
      <c r="B466" s="19" t="s">
        <v>6</v>
      </c>
      <c r="C466" s="19" t="s">
        <v>6</v>
      </c>
      <c r="D466" s="19" t="s">
        <v>6</v>
      </c>
      <c r="E466" s="19" t="s">
        <v>6</v>
      </c>
      <c r="F466" s="19" t="s">
        <v>6</v>
      </c>
      <c r="G466" s="20" t="s">
        <v>6</v>
      </c>
      <c r="H466" s="21" t="s">
        <v>6</v>
      </c>
      <c r="I466" s="19" t="s">
        <v>6</v>
      </c>
      <c r="J466" s="20" t="s">
        <v>6</v>
      </c>
      <c r="K466" s="21" t="s">
        <v>6</v>
      </c>
    </row>
    <row r="467" spans="1:11">
      <c r="A467" s="22" t="s">
        <v>7</v>
      </c>
      <c r="E467" s="22" t="s">
        <v>7</v>
      </c>
      <c r="F467" s="23"/>
      <c r="G467" s="24"/>
      <c r="H467" s="25" t="str">
        <f>H362</f>
        <v>2016-17</v>
      </c>
      <c r="I467" s="23"/>
      <c r="J467" s="24"/>
      <c r="K467" s="25" t="str">
        <f>K362</f>
        <v>2017-18</v>
      </c>
    </row>
    <row r="468" spans="1:11">
      <c r="A468" s="22" t="s">
        <v>9</v>
      </c>
      <c r="C468" s="26" t="s">
        <v>51</v>
      </c>
      <c r="E468" s="22" t="s">
        <v>9</v>
      </c>
      <c r="F468" s="23"/>
      <c r="G468" s="24"/>
      <c r="H468" s="25" t="s">
        <v>12</v>
      </c>
      <c r="I468" s="23"/>
      <c r="J468" s="24"/>
      <c r="K468" s="25" t="s">
        <v>13</v>
      </c>
    </row>
    <row r="469" spans="1:11">
      <c r="A469" s="19" t="s">
        <v>6</v>
      </c>
      <c r="B469" s="19" t="s">
        <v>6</v>
      </c>
      <c r="C469" s="19" t="s">
        <v>6</v>
      </c>
      <c r="D469" s="19" t="s">
        <v>6</v>
      </c>
      <c r="E469" s="19" t="s">
        <v>6</v>
      </c>
      <c r="F469" s="19" t="s">
        <v>6</v>
      </c>
      <c r="G469" s="20" t="s">
        <v>6</v>
      </c>
      <c r="H469" s="21" t="s">
        <v>6</v>
      </c>
      <c r="I469" s="19" t="s">
        <v>6</v>
      </c>
      <c r="J469" s="20" t="s">
        <v>6</v>
      </c>
      <c r="K469" s="21" t="s">
        <v>6</v>
      </c>
    </row>
    <row r="470" spans="1:11">
      <c r="A470" s="78">
        <v>1</v>
      </c>
      <c r="C470" s="9" t="s">
        <v>159</v>
      </c>
      <c r="E470" s="78">
        <v>1</v>
      </c>
      <c r="F470" s="10"/>
      <c r="G470" s="11"/>
      <c r="H470" s="150"/>
      <c r="I470" s="10"/>
      <c r="J470" s="11"/>
      <c r="K470" s="152"/>
    </row>
    <row r="471" spans="1:11">
      <c r="A471" s="78">
        <f t="shared" ref="A471:A493" si="1">(A470+1)</f>
        <v>2</v>
      </c>
      <c r="C471" s="9" t="s">
        <v>160</v>
      </c>
      <c r="E471" s="78">
        <f t="shared" ref="E471:E493" si="2">(E470+1)</f>
        <v>2</v>
      </c>
      <c r="F471" s="10"/>
      <c r="G471" s="106"/>
      <c r="H471" s="151"/>
      <c r="I471" s="106"/>
      <c r="J471" s="106"/>
      <c r="K471" s="151"/>
    </row>
    <row r="472" spans="1:11">
      <c r="A472" s="78">
        <f t="shared" si="1"/>
        <v>3</v>
      </c>
      <c r="C472" s="9"/>
      <c r="E472" s="78">
        <f t="shared" si="2"/>
        <v>3</v>
      </c>
      <c r="F472" s="10"/>
      <c r="G472" s="106"/>
      <c r="H472" s="151"/>
      <c r="I472" s="106"/>
      <c r="J472" s="106"/>
      <c r="K472" s="151"/>
    </row>
    <row r="473" spans="1:11">
      <c r="A473" s="78">
        <f t="shared" si="1"/>
        <v>4</v>
      </c>
      <c r="C473" s="9"/>
      <c r="E473" s="78">
        <f t="shared" si="2"/>
        <v>4</v>
      </c>
      <c r="F473" s="10"/>
      <c r="G473" s="106"/>
      <c r="H473" s="151"/>
      <c r="I473" s="106"/>
      <c r="J473" s="106"/>
      <c r="K473" s="151"/>
    </row>
    <row r="474" spans="1:11">
      <c r="A474" s="78">
        <f>(A473+1)</f>
        <v>5</v>
      </c>
      <c r="C474" s="10"/>
      <c r="E474" s="78">
        <f>(E473+1)</f>
        <v>5</v>
      </c>
      <c r="F474" s="10"/>
      <c r="G474" s="106"/>
      <c r="H474" s="151"/>
      <c r="I474" s="106"/>
      <c r="J474" s="106"/>
      <c r="K474" s="151"/>
    </row>
    <row r="475" spans="1:11">
      <c r="A475" s="78">
        <f t="shared" si="1"/>
        <v>6</v>
      </c>
      <c r="C475" s="10"/>
      <c r="E475" s="78">
        <f t="shared" si="2"/>
        <v>6</v>
      </c>
      <c r="F475" s="10"/>
      <c r="G475" s="106"/>
      <c r="H475" s="151"/>
      <c r="I475" s="106"/>
      <c r="J475" s="106"/>
      <c r="K475" s="151"/>
    </row>
    <row r="476" spans="1:11" ht="12" customHeight="1">
      <c r="A476" s="78">
        <f>(A475+1)</f>
        <v>7</v>
      </c>
      <c r="C476" s="9"/>
      <c r="E476" s="78">
        <f>(E475+1)</f>
        <v>7</v>
      </c>
      <c r="F476" s="10"/>
      <c r="G476" s="106"/>
      <c r="H476" s="151"/>
      <c r="I476" s="106"/>
      <c r="J476" s="106"/>
      <c r="K476" s="151"/>
    </row>
    <row r="477" spans="1:11" s="82" customFormat="1" ht="12" customHeight="1">
      <c r="A477" s="78">
        <f>(A476+1)</f>
        <v>8</v>
      </c>
      <c r="B477" s="137"/>
      <c r="C477" s="10"/>
      <c r="D477" s="137"/>
      <c r="E477" s="78">
        <f>(E476+1)</f>
        <v>8</v>
      </c>
      <c r="F477" s="10"/>
      <c r="G477" s="106"/>
      <c r="H477" s="151"/>
      <c r="I477" s="106"/>
      <c r="J477" s="106"/>
      <c r="K477" s="151"/>
    </row>
    <row r="478" spans="1:11">
      <c r="A478" s="78">
        <f t="shared" si="1"/>
        <v>9</v>
      </c>
      <c r="C478" s="10"/>
      <c r="E478" s="78">
        <f t="shared" si="2"/>
        <v>9</v>
      </c>
      <c r="F478" s="10"/>
      <c r="G478" s="106"/>
      <c r="H478" s="151"/>
      <c r="I478" s="106"/>
      <c r="J478" s="106"/>
      <c r="K478" s="151"/>
    </row>
    <row r="479" spans="1:11">
      <c r="A479" s="78">
        <f t="shared" si="1"/>
        <v>10</v>
      </c>
      <c r="E479" s="78">
        <f t="shared" si="2"/>
        <v>10</v>
      </c>
      <c r="F479" s="10"/>
      <c r="G479" s="106"/>
      <c r="H479" s="151"/>
      <c r="I479" s="106"/>
      <c r="J479" s="106"/>
      <c r="K479" s="151"/>
    </row>
    <row r="480" spans="1:11">
      <c r="A480" s="78">
        <f t="shared" si="1"/>
        <v>11</v>
      </c>
      <c r="E480" s="78">
        <f t="shared" si="2"/>
        <v>11</v>
      </c>
      <c r="F480" s="10"/>
      <c r="G480" s="106"/>
      <c r="H480" s="151"/>
      <c r="I480" s="106"/>
      <c r="J480" s="106"/>
      <c r="K480" s="151"/>
    </row>
    <row r="481" spans="1:11">
      <c r="A481" s="78">
        <f t="shared" si="1"/>
        <v>12</v>
      </c>
      <c r="E481" s="78">
        <f t="shared" si="2"/>
        <v>12</v>
      </c>
      <c r="F481" s="10"/>
      <c r="G481" s="106"/>
      <c r="H481" s="151"/>
      <c r="I481" s="106"/>
      <c r="J481" s="106"/>
      <c r="K481" s="151"/>
    </row>
    <row r="482" spans="1:11">
      <c r="A482" s="78">
        <f t="shared" si="1"/>
        <v>13</v>
      </c>
      <c r="C482" s="10"/>
      <c r="E482" s="78">
        <f t="shared" si="2"/>
        <v>13</v>
      </c>
      <c r="F482" s="10"/>
      <c r="G482" s="106"/>
      <c r="H482" s="151"/>
      <c r="I482" s="106"/>
      <c r="J482" s="106"/>
      <c r="K482" s="151"/>
    </row>
    <row r="483" spans="1:11">
      <c r="A483" s="78">
        <f t="shared" si="1"/>
        <v>14</v>
      </c>
      <c r="C483" s="10" t="s">
        <v>161</v>
      </c>
      <c r="E483" s="78">
        <f t="shared" si="2"/>
        <v>14</v>
      </c>
      <c r="F483" s="10"/>
      <c r="G483" s="106"/>
      <c r="H483" s="151"/>
      <c r="I483" s="106"/>
      <c r="J483" s="106"/>
      <c r="K483" s="151"/>
    </row>
    <row r="484" spans="1:11">
      <c r="A484" s="78">
        <f t="shared" si="1"/>
        <v>15</v>
      </c>
      <c r="C484" s="10"/>
      <c r="E484" s="78">
        <f t="shared" si="2"/>
        <v>15</v>
      </c>
      <c r="F484" s="10"/>
      <c r="G484" s="106"/>
      <c r="H484" s="151"/>
      <c r="I484" s="106"/>
      <c r="J484" s="106"/>
      <c r="K484" s="151"/>
    </row>
    <row r="485" spans="1:11" ht="20.25" customHeight="1">
      <c r="A485" s="78">
        <f t="shared" si="1"/>
        <v>16</v>
      </c>
      <c r="C485" s="10"/>
      <c r="E485" s="78">
        <f t="shared" si="2"/>
        <v>16</v>
      </c>
      <c r="F485" s="10"/>
      <c r="G485" s="106"/>
      <c r="H485" s="151"/>
      <c r="I485" s="106"/>
      <c r="J485" s="106"/>
      <c r="K485" s="151"/>
    </row>
    <row r="486" spans="1:11">
      <c r="A486" s="78">
        <f t="shared" si="1"/>
        <v>17</v>
      </c>
      <c r="C486" s="10"/>
      <c r="E486" s="78">
        <f t="shared" si="2"/>
        <v>17</v>
      </c>
      <c r="F486" s="10"/>
      <c r="G486" s="106"/>
      <c r="H486" s="151"/>
      <c r="I486" s="106"/>
      <c r="J486" s="106"/>
      <c r="K486" s="151"/>
    </row>
    <row r="487" spans="1:11">
      <c r="A487" s="78">
        <f t="shared" si="1"/>
        <v>18</v>
      </c>
      <c r="C487" s="10"/>
      <c r="E487" s="78">
        <f t="shared" si="2"/>
        <v>18</v>
      </c>
      <c r="F487" s="10"/>
      <c r="G487" s="106"/>
      <c r="H487" s="151"/>
      <c r="I487" s="106"/>
      <c r="J487" s="106"/>
      <c r="K487" s="151"/>
    </row>
    <row r="488" spans="1:11">
      <c r="A488" s="78">
        <f t="shared" si="1"/>
        <v>19</v>
      </c>
      <c r="C488" s="10"/>
      <c r="E488" s="78">
        <f t="shared" si="2"/>
        <v>19</v>
      </c>
      <c r="F488" s="10"/>
      <c r="G488" s="106"/>
      <c r="H488" s="151"/>
      <c r="I488" s="106"/>
      <c r="J488" s="106"/>
      <c r="K488" s="151"/>
    </row>
    <row r="489" spans="1:11" s="36" customFormat="1">
      <c r="A489" s="78">
        <f t="shared" si="1"/>
        <v>20</v>
      </c>
      <c r="B489" s="137"/>
      <c r="C489" s="10"/>
      <c r="D489" s="137"/>
      <c r="E489" s="78">
        <f t="shared" si="2"/>
        <v>20</v>
      </c>
      <c r="F489" s="10"/>
      <c r="G489" s="106"/>
      <c r="H489" s="151"/>
      <c r="I489" s="106"/>
      <c r="J489" s="106"/>
      <c r="K489" s="151"/>
    </row>
    <row r="490" spans="1:11" s="36" customFormat="1">
      <c r="A490" s="78">
        <f t="shared" si="1"/>
        <v>21</v>
      </c>
      <c r="B490" s="137"/>
      <c r="C490" s="10"/>
      <c r="D490" s="137"/>
      <c r="E490" s="78">
        <f t="shared" si="2"/>
        <v>21</v>
      </c>
      <c r="F490" s="10"/>
      <c r="G490" s="106"/>
      <c r="H490" s="151"/>
      <c r="I490" s="106"/>
      <c r="J490" s="106"/>
      <c r="K490" s="151"/>
    </row>
    <row r="491" spans="1:11">
      <c r="A491" s="78">
        <f t="shared" si="1"/>
        <v>22</v>
      </c>
      <c r="C491" s="10"/>
      <c r="E491" s="78">
        <f t="shared" si="2"/>
        <v>22</v>
      </c>
      <c r="F491" s="10"/>
      <c r="G491" s="106"/>
      <c r="H491" s="151"/>
      <c r="I491" s="106"/>
      <c r="J491" s="106"/>
      <c r="K491" s="151"/>
    </row>
    <row r="492" spans="1:11">
      <c r="A492" s="78">
        <f t="shared" si="1"/>
        <v>23</v>
      </c>
      <c r="C492" s="10"/>
      <c r="E492" s="78">
        <f t="shared" si="2"/>
        <v>23</v>
      </c>
      <c r="F492" s="10"/>
      <c r="G492" s="106"/>
      <c r="H492" s="151"/>
      <c r="I492" s="106"/>
      <c r="J492" s="106"/>
      <c r="K492" s="151"/>
    </row>
    <row r="493" spans="1:11">
      <c r="A493" s="78">
        <f t="shared" si="1"/>
        <v>24</v>
      </c>
      <c r="C493" s="10"/>
      <c r="E493" s="78">
        <f t="shared" si="2"/>
        <v>24</v>
      </c>
      <c r="F493" s="10"/>
      <c r="G493" s="106"/>
      <c r="H493" s="151"/>
      <c r="I493" s="106"/>
      <c r="J493" s="106"/>
      <c r="K493" s="151"/>
    </row>
    <row r="494" spans="1:11">
      <c r="A494" s="79"/>
      <c r="E494" s="79"/>
      <c r="F494" s="70" t="s">
        <v>6</v>
      </c>
      <c r="G494" s="20" t="s">
        <v>6</v>
      </c>
      <c r="H494" s="21"/>
      <c r="I494" s="70"/>
      <c r="J494" s="20"/>
      <c r="K494" s="21"/>
    </row>
    <row r="495" spans="1:11">
      <c r="A495" s="78">
        <f>(A493+1)</f>
        <v>25</v>
      </c>
      <c r="C495" s="9" t="s">
        <v>162</v>
      </c>
      <c r="E495" s="78">
        <f>(E493+1)</f>
        <v>25</v>
      </c>
      <c r="G495" s="107"/>
      <c r="H495" s="108">
        <f>SUM(H470:H493)</f>
        <v>0</v>
      </c>
      <c r="I495" s="108"/>
      <c r="J495" s="107"/>
      <c r="K495" s="108">
        <f>SUM(K470:K493)</f>
        <v>0</v>
      </c>
    </row>
    <row r="496" spans="1:11">
      <c r="A496" s="78"/>
      <c r="C496" s="9"/>
      <c r="E496" s="78"/>
      <c r="F496" s="70" t="s">
        <v>6</v>
      </c>
      <c r="G496" s="20" t="s">
        <v>6</v>
      </c>
      <c r="H496" s="21"/>
      <c r="I496" s="70"/>
      <c r="J496" s="20"/>
      <c r="K496" s="21"/>
    </row>
    <row r="497" spans="1:11">
      <c r="E497" s="35"/>
    </row>
    <row r="498" spans="1:11">
      <c r="E498" s="35"/>
    </row>
    <row r="500" spans="1:11">
      <c r="E500" s="35"/>
      <c r="G500" s="14"/>
      <c r="H500" s="40"/>
      <c r="J500" s="14"/>
      <c r="K500" s="40"/>
    </row>
    <row r="501" spans="1:11">
      <c r="A501" s="16" t="str">
        <f>$A$83</f>
        <v xml:space="preserve">Institution No.:  </v>
      </c>
      <c r="B501" s="36"/>
      <c r="C501" s="36"/>
      <c r="D501" s="36"/>
      <c r="E501" s="37"/>
      <c r="F501" s="36"/>
      <c r="G501" s="38"/>
      <c r="H501" s="39"/>
      <c r="I501" s="36"/>
      <c r="J501" s="38"/>
      <c r="K501" s="15" t="s">
        <v>163</v>
      </c>
    </row>
    <row r="502" spans="1:11">
      <c r="A502" s="229" t="s">
        <v>164</v>
      </c>
      <c r="B502" s="229"/>
      <c r="C502" s="229"/>
      <c r="D502" s="229"/>
      <c r="E502" s="229"/>
      <c r="F502" s="229"/>
      <c r="G502" s="229"/>
      <c r="H502" s="229"/>
      <c r="I502" s="229"/>
      <c r="J502" s="229"/>
      <c r="K502" s="229"/>
    </row>
    <row r="503" spans="1:11">
      <c r="A503" s="16" t="str">
        <f>$A$42</f>
        <v xml:space="preserve">NAME: </v>
      </c>
      <c r="C503" s="137" t="str">
        <f>$D$20</f>
        <v>University of Colorado</v>
      </c>
      <c r="G503" s="80"/>
      <c r="H503" s="40"/>
      <c r="J503" s="14"/>
      <c r="K503" s="18" t="str">
        <f>$K$3</f>
        <v>Date: October 09, 2017</v>
      </c>
    </row>
    <row r="504" spans="1:11" ht="12.75" customHeight="1">
      <c r="A504" s="19" t="s">
        <v>6</v>
      </c>
      <c r="B504" s="19" t="s">
        <v>6</v>
      </c>
      <c r="C504" s="19" t="s">
        <v>6</v>
      </c>
      <c r="D504" s="19" t="s">
        <v>6</v>
      </c>
      <c r="E504" s="19" t="s">
        <v>6</v>
      </c>
      <c r="F504" s="19" t="s">
        <v>6</v>
      </c>
      <c r="G504" s="20" t="s">
        <v>6</v>
      </c>
      <c r="H504" s="21" t="s">
        <v>6</v>
      </c>
      <c r="I504" s="19" t="s">
        <v>6</v>
      </c>
      <c r="J504" s="20" t="s">
        <v>6</v>
      </c>
      <c r="K504" s="21" t="s">
        <v>6</v>
      </c>
    </row>
    <row r="505" spans="1:11">
      <c r="A505" s="22" t="s">
        <v>7</v>
      </c>
      <c r="E505" s="22" t="s">
        <v>7</v>
      </c>
      <c r="F505" s="23"/>
      <c r="G505" s="24"/>
      <c r="H505" s="25" t="str">
        <f>H467</f>
        <v>2016-17</v>
      </c>
      <c r="I505" s="23"/>
      <c r="J505" s="24"/>
      <c r="K505" s="25" t="str">
        <f>K467</f>
        <v>2017-18</v>
      </c>
    </row>
    <row r="506" spans="1:11">
      <c r="A506" s="22" t="s">
        <v>9</v>
      </c>
      <c r="C506" s="26" t="s">
        <v>51</v>
      </c>
      <c r="E506" s="22" t="s">
        <v>9</v>
      </c>
      <c r="F506" s="23"/>
      <c r="G506" s="24" t="s">
        <v>11</v>
      </c>
      <c r="H506" s="25" t="s">
        <v>12</v>
      </c>
      <c r="I506" s="23"/>
      <c r="J506" s="24" t="s">
        <v>11</v>
      </c>
      <c r="K506" s="25" t="s">
        <v>13</v>
      </c>
    </row>
    <row r="507" spans="1:11">
      <c r="A507" s="19" t="s">
        <v>6</v>
      </c>
      <c r="B507" s="19" t="s">
        <v>6</v>
      </c>
      <c r="C507" s="19" t="s">
        <v>6</v>
      </c>
      <c r="D507" s="19" t="s">
        <v>6</v>
      </c>
      <c r="E507" s="19" t="s">
        <v>6</v>
      </c>
      <c r="F507" s="19" t="s">
        <v>6</v>
      </c>
      <c r="G507" s="20" t="s">
        <v>6</v>
      </c>
      <c r="H507" s="21" t="s">
        <v>6</v>
      </c>
      <c r="I507" s="19" t="s">
        <v>6</v>
      </c>
      <c r="J507" s="20" t="s">
        <v>6</v>
      </c>
      <c r="K507" s="21" t="s">
        <v>6</v>
      </c>
    </row>
    <row r="508" spans="1:11">
      <c r="A508" s="8">
        <v>1</v>
      </c>
      <c r="B508" s="19"/>
      <c r="C508" s="9" t="s">
        <v>165</v>
      </c>
      <c r="D508" s="19"/>
      <c r="E508" s="8">
        <v>1</v>
      </c>
      <c r="F508" s="19"/>
      <c r="G508" s="153">
        <f>241.04+85.71+27.35</f>
        <v>354.1</v>
      </c>
      <c r="H508" s="156">
        <v>48740008.254000001</v>
      </c>
      <c r="I508" s="109"/>
      <c r="J508" s="153">
        <f>K508/((H508*1/G508))</f>
        <v>390.08778605345537</v>
      </c>
      <c r="K508" s="156">
        <v>53693538.299999997</v>
      </c>
    </row>
    <row r="509" spans="1:11">
      <c r="A509" s="8">
        <v>2</v>
      </c>
      <c r="B509" s="19"/>
      <c r="C509" s="9" t="s">
        <v>166</v>
      </c>
      <c r="D509" s="19"/>
      <c r="E509" s="8">
        <v>2</v>
      </c>
      <c r="F509" s="19"/>
      <c r="G509" s="20"/>
      <c r="H509" s="156">
        <v>12833513.525000004</v>
      </c>
      <c r="I509" s="19"/>
      <c r="J509" s="20"/>
      <c r="K509" s="185">
        <v>14253038.060000001</v>
      </c>
    </row>
    <row r="510" spans="1:11">
      <c r="A510" s="8">
        <v>3</v>
      </c>
      <c r="C510" s="9" t="s">
        <v>167</v>
      </c>
      <c r="E510" s="8">
        <v>3</v>
      </c>
      <c r="F510" s="10"/>
      <c r="G510" s="153">
        <f>40.49+7.16</f>
        <v>47.650000000000006</v>
      </c>
      <c r="H510" s="156">
        <v>5479943.620000001</v>
      </c>
      <c r="I510" s="110"/>
      <c r="J510" s="153">
        <f>K510/((H510*1/G510))</f>
        <v>39.177198332197442</v>
      </c>
      <c r="K510" s="156">
        <f>3755537+750000</f>
        <v>4505537</v>
      </c>
    </row>
    <row r="511" spans="1:11">
      <c r="A511" s="8">
        <v>4</v>
      </c>
      <c r="C511" s="9" t="s">
        <v>168</v>
      </c>
      <c r="E511" s="8">
        <v>4</v>
      </c>
      <c r="F511" s="10"/>
      <c r="G511" s="109"/>
      <c r="H511" s="156">
        <v>2346657.4699999997</v>
      </c>
      <c r="I511" s="110"/>
      <c r="J511" s="109"/>
      <c r="K511" s="156">
        <f>1850074+250000</f>
        <v>2100074</v>
      </c>
    </row>
    <row r="512" spans="1:11">
      <c r="A512" s="8">
        <v>5</v>
      </c>
      <c r="C512" s="9" t="s">
        <v>169</v>
      </c>
      <c r="E512" s="8">
        <v>5</v>
      </c>
      <c r="F512" s="10"/>
      <c r="G512" s="109">
        <f>G508+G510</f>
        <v>401.75</v>
      </c>
      <c r="H512" s="110">
        <f>SUM(H508:H511)</f>
        <v>69400122.869000003</v>
      </c>
      <c r="I512" s="110"/>
      <c r="J512" s="110">
        <f>SUM(J508:J511)</f>
        <v>429.26498438565284</v>
      </c>
      <c r="K512" s="110">
        <f>SUM(K508:K511)</f>
        <v>74552187.359999999</v>
      </c>
    </row>
    <row r="513" spans="1:11">
      <c r="A513" s="8">
        <v>6</v>
      </c>
      <c r="C513" s="9" t="s">
        <v>170</v>
      </c>
      <c r="E513" s="8">
        <v>6</v>
      </c>
      <c r="F513" s="10"/>
      <c r="G513" s="153">
        <f>125.28+4.34+64.62+1.48+0.3+21.88+5.92+26.93+0.44</f>
        <v>251.19</v>
      </c>
      <c r="H513" s="156">
        <v>16106735.879999993</v>
      </c>
      <c r="I513" s="110"/>
      <c r="J513" s="153">
        <f>K513/((H513*1/G513))</f>
        <v>231.76070427800431</v>
      </c>
      <c r="K513" s="156">
        <f>14110895.94+750000</f>
        <v>14860895.939999999</v>
      </c>
    </row>
    <row r="514" spans="1:11">
      <c r="A514" s="8">
        <v>7</v>
      </c>
      <c r="C514" s="9" t="s">
        <v>171</v>
      </c>
      <c r="E514" s="8">
        <v>7</v>
      </c>
      <c r="F514" s="10"/>
      <c r="G514" s="109"/>
      <c r="H514" s="156">
        <v>5733575.3299999963</v>
      </c>
      <c r="I514" s="110"/>
      <c r="J514" s="109"/>
      <c r="K514" s="156">
        <f>4972190.75+250000</f>
        <v>5222190.75</v>
      </c>
    </row>
    <row r="515" spans="1:11" ht="12" customHeight="1">
      <c r="A515" s="8">
        <v>8</v>
      </c>
      <c r="C515" s="9" t="s">
        <v>172</v>
      </c>
      <c r="E515" s="8">
        <v>8</v>
      </c>
      <c r="F515" s="10"/>
      <c r="G515" s="109">
        <f>G512+G513+G514</f>
        <v>652.94000000000005</v>
      </c>
      <c r="H515" s="110">
        <f>H512+H513+H514</f>
        <v>91240434.078999996</v>
      </c>
      <c r="I515" s="109"/>
      <c r="J515" s="109">
        <f>J512+J513+J514</f>
        <v>661.02568866365709</v>
      </c>
      <c r="K515" s="110">
        <f>K512+K513+K514</f>
        <v>94635274.049999997</v>
      </c>
    </row>
    <row r="516" spans="1:11" s="82" customFormat="1" ht="12" customHeight="1">
      <c r="A516" s="8">
        <v>9</v>
      </c>
      <c r="B516" s="137"/>
      <c r="C516" s="137"/>
      <c r="D516" s="137"/>
      <c r="E516" s="8">
        <v>9</v>
      </c>
      <c r="F516" s="10"/>
      <c r="G516" s="109"/>
      <c r="H516" s="110"/>
      <c r="I516" s="108"/>
      <c r="J516" s="109"/>
      <c r="K516" s="110"/>
    </row>
    <row r="517" spans="1:11">
      <c r="A517" s="8">
        <v>10</v>
      </c>
      <c r="C517" s="9" t="s">
        <v>173</v>
      </c>
      <c r="E517" s="8">
        <v>10</v>
      </c>
      <c r="F517" s="10"/>
      <c r="G517" s="153">
        <v>0</v>
      </c>
      <c r="H517" s="156">
        <v>0</v>
      </c>
      <c r="I517" s="110"/>
      <c r="J517" s="153">
        <v>0</v>
      </c>
      <c r="K517" s="156">
        <v>0</v>
      </c>
    </row>
    <row r="518" spans="1:11">
      <c r="A518" s="8">
        <v>11</v>
      </c>
      <c r="C518" s="9" t="s">
        <v>174</v>
      </c>
      <c r="E518" s="8">
        <v>11</v>
      </c>
      <c r="F518" s="10"/>
      <c r="G518" s="153">
        <f>97.24+1</f>
        <v>98.24</v>
      </c>
      <c r="H518" s="156">
        <v>4702568.3400000017</v>
      </c>
      <c r="I518" s="110"/>
      <c r="J518" s="153">
        <f>K518/((H518*1/G518))</f>
        <v>113.61599048710471</v>
      </c>
      <c r="K518" s="156">
        <f>4688588.76+750000</f>
        <v>5438588.7599999998</v>
      </c>
    </row>
    <row r="519" spans="1:11">
      <c r="A519" s="8">
        <v>12</v>
      </c>
      <c r="C519" s="9" t="s">
        <v>175</v>
      </c>
      <c r="E519" s="8">
        <v>12</v>
      </c>
      <c r="F519" s="10"/>
      <c r="G519" s="109"/>
      <c r="H519" s="156">
        <v>2207372.9499999993</v>
      </c>
      <c r="I519" s="110"/>
      <c r="J519" s="109"/>
      <c r="K519" s="156">
        <f>2109981.86+250000</f>
        <v>2359981.86</v>
      </c>
    </row>
    <row r="520" spans="1:11">
      <c r="A520" s="8">
        <v>13</v>
      </c>
      <c r="C520" s="9" t="s">
        <v>176</v>
      </c>
      <c r="E520" s="8">
        <v>13</v>
      </c>
      <c r="F520" s="10"/>
      <c r="G520" s="109">
        <f>SUM(G517:G519)</f>
        <v>98.24</v>
      </c>
      <c r="H520" s="110">
        <f>SUM(H517:H519)</f>
        <v>6909941.290000001</v>
      </c>
      <c r="I520" s="107"/>
      <c r="J520" s="109">
        <f>SUM(J517:J519)</f>
        <v>113.61599048710471</v>
      </c>
      <c r="K520" s="110">
        <f>SUM(K517:K519)</f>
        <v>7798570.6199999992</v>
      </c>
    </row>
    <row r="521" spans="1:11">
      <c r="A521" s="8">
        <v>14</v>
      </c>
      <c r="E521" s="8">
        <v>14</v>
      </c>
      <c r="F521" s="10"/>
      <c r="G521" s="111"/>
      <c r="H521" s="110"/>
      <c r="I521" s="108"/>
      <c r="J521" s="111"/>
      <c r="K521" s="110"/>
    </row>
    <row r="522" spans="1:11">
      <c r="A522" s="8">
        <v>15</v>
      </c>
      <c r="C522" s="9" t="s">
        <v>177</v>
      </c>
      <c r="E522" s="8">
        <v>15</v>
      </c>
      <c r="G522" s="112">
        <f>SUM(G515+G520)</f>
        <v>751.18000000000006</v>
      </c>
      <c r="H522" s="108">
        <f>SUM(H515+H520)</f>
        <v>98150375.369000003</v>
      </c>
      <c r="I522" s="108"/>
      <c r="J522" s="112">
        <f>SUM(J515+J520)</f>
        <v>774.64167915076177</v>
      </c>
      <c r="K522" s="108">
        <f>SUM(K515+K520)</f>
        <v>102433844.67</v>
      </c>
    </row>
    <row r="523" spans="1:11">
      <c r="A523" s="8">
        <v>16</v>
      </c>
      <c r="E523" s="8">
        <v>16</v>
      </c>
      <c r="G523" s="112"/>
      <c r="H523" s="108"/>
      <c r="I523" s="108"/>
      <c r="J523" s="112"/>
      <c r="K523" s="108"/>
    </row>
    <row r="524" spans="1:11">
      <c r="A524" s="8">
        <v>17</v>
      </c>
      <c r="C524" s="9" t="s">
        <v>178</v>
      </c>
      <c r="E524" s="8">
        <v>17</v>
      </c>
      <c r="F524" s="10"/>
      <c r="G524" s="109"/>
      <c r="H524" s="156">
        <v>863048.69</v>
      </c>
      <c r="I524" s="110"/>
      <c r="J524" s="109"/>
      <c r="K524" s="156">
        <v>269842</v>
      </c>
    </row>
    <row r="525" spans="1:11">
      <c r="A525" s="8">
        <v>18</v>
      </c>
      <c r="E525" s="8">
        <v>18</v>
      </c>
      <c r="F525" s="10"/>
      <c r="G525" s="109"/>
      <c r="H525" s="110"/>
      <c r="I525" s="110"/>
      <c r="J525" s="109"/>
      <c r="K525" s="110"/>
    </row>
    <row r="526" spans="1:11" s="36" customFormat="1">
      <c r="A526" s="8">
        <v>19</v>
      </c>
      <c r="B526" s="137"/>
      <c r="C526" s="9" t="s">
        <v>179</v>
      </c>
      <c r="D526" s="137"/>
      <c r="E526" s="8">
        <v>19</v>
      </c>
      <c r="F526" s="10"/>
      <c r="G526" s="109"/>
      <c r="H526" s="156">
        <v>1970380.9200000002</v>
      </c>
      <c r="I526" s="110"/>
      <c r="J526" s="109"/>
      <c r="K526" s="156">
        <v>1224942</v>
      </c>
    </row>
    <row r="527" spans="1:11" s="36" customFormat="1">
      <c r="A527" s="8">
        <v>20</v>
      </c>
      <c r="B527" s="137"/>
      <c r="C527" s="81" t="s">
        <v>180</v>
      </c>
      <c r="D527" s="137"/>
      <c r="E527" s="8">
        <v>20</v>
      </c>
      <c r="F527" s="10"/>
      <c r="G527" s="109"/>
      <c r="H527" s="156">
        <f>23345366.114+'[1]ID Revenue by Nacubo'!$K$43</f>
        <v>16906384.353999998</v>
      </c>
      <c r="I527" s="110"/>
      <c r="J527" s="109"/>
      <c r="K527" s="156">
        <f>35633577.24-5890093-5000000-3000000</f>
        <v>21743484.240000002</v>
      </c>
    </row>
    <row r="528" spans="1:11">
      <c r="A528" s="8">
        <v>21</v>
      </c>
      <c r="C528" s="81"/>
      <c r="E528" s="8">
        <v>21</v>
      </c>
      <c r="F528" s="10"/>
      <c r="G528" s="109"/>
      <c r="H528" s="110"/>
      <c r="I528" s="110"/>
      <c r="J528" s="109"/>
      <c r="K528" s="110"/>
    </row>
    <row r="529" spans="1:11">
      <c r="A529" s="8">
        <v>22</v>
      </c>
      <c r="C529" s="9"/>
      <c r="E529" s="8">
        <v>22</v>
      </c>
      <c r="G529" s="109"/>
      <c r="H529" s="110"/>
      <c r="I529" s="110"/>
      <c r="J529" s="109"/>
      <c r="K529" s="110"/>
    </row>
    <row r="530" spans="1:11">
      <c r="A530" s="8">
        <v>23</v>
      </c>
      <c r="C530" s="9" t="s">
        <v>181</v>
      </c>
      <c r="E530" s="8">
        <v>23</v>
      </c>
      <c r="G530" s="109"/>
      <c r="H530" s="156">
        <v>2949265.2199999997</v>
      </c>
      <c r="I530" s="110"/>
      <c r="J530" s="109"/>
      <c r="K530" s="156">
        <v>0</v>
      </c>
    </row>
    <row r="531" spans="1:11">
      <c r="A531" s="8">
        <v>24</v>
      </c>
      <c r="C531" s="9"/>
      <c r="E531" s="8">
        <v>24</v>
      </c>
      <c r="G531" s="109"/>
      <c r="H531" s="110"/>
      <c r="I531" s="110"/>
      <c r="J531" s="109"/>
      <c r="K531" s="110"/>
    </row>
    <row r="532" spans="1:11">
      <c r="A532" s="8"/>
      <c r="E532" s="8"/>
      <c r="F532" s="70" t="s">
        <v>6</v>
      </c>
      <c r="G532" s="83"/>
      <c r="H532" s="21"/>
      <c r="I532" s="70"/>
      <c r="J532" s="83"/>
      <c r="K532" s="21"/>
    </row>
    <row r="533" spans="1:11">
      <c r="A533" s="8">
        <v>25</v>
      </c>
      <c r="C533" s="9" t="s">
        <v>182</v>
      </c>
      <c r="E533" s="8">
        <v>25</v>
      </c>
      <c r="G533" s="108">
        <f>SUM(G522:G531)</f>
        <v>751.18000000000006</v>
      </c>
      <c r="H533" s="108">
        <f>SUM(H522:H531)</f>
        <v>120839454.553</v>
      </c>
      <c r="I533" s="113"/>
      <c r="J533" s="108">
        <f>SUM(J522:J531)</f>
        <v>774.64167915076177</v>
      </c>
      <c r="K533" s="108">
        <f>SUM(K522:K531)</f>
        <v>125672112.91</v>
      </c>
    </row>
    <row r="534" spans="1:11">
      <c r="F534" s="70" t="s">
        <v>6</v>
      </c>
      <c r="G534" s="20"/>
      <c r="H534" s="21"/>
      <c r="I534" s="70"/>
      <c r="J534" s="20"/>
      <c r="K534" s="21"/>
    </row>
    <row r="535" spans="1:11">
      <c r="F535" s="70"/>
      <c r="G535" s="20"/>
      <c r="H535" s="21"/>
      <c r="I535" s="70"/>
      <c r="J535" s="20"/>
      <c r="K535" s="21"/>
    </row>
    <row r="536" spans="1:11" ht="15.75">
      <c r="C536" s="84"/>
      <c r="D536" s="84"/>
      <c r="E536" s="84"/>
      <c r="F536" s="70"/>
      <c r="G536" s="20"/>
      <c r="H536" s="21"/>
      <c r="I536" s="70"/>
      <c r="J536" s="20"/>
      <c r="K536" s="21"/>
    </row>
    <row r="537" spans="1:11">
      <c r="C537" s="137" t="s">
        <v>49</v>
      </c>
      <c r="F537" s="70"/>
      <c r="G537" s="20"/>
      <c r="H537" s="21"/>
      <c r="I537" s="70"/>
      <c r="J537" s="20"/>
      <c r="K537" s="21"/>
    </row>
    <row r="538" spans="1:11">
      <c r="A538" s="9"/>
    </row>
    <row r="539" spans="1:11">
      <c r="E539" s="35"/>
      <c r="G539" s="14"/>
      <c r="H539" s="40"/>
      <c r="J539" s="14"/>
      <c r="K539" s="40"/>
    </row>
    <row r="540" spans="1:11">
      <c r="A540" s="16" t="str">
        <f>$A$83</f>
        <v xml:space="preserve">Institution No.:  </v>
      </c>
      <c r="B540" s="36"/>
      <c r="C540" s="36"/>
      <c r="D540" s="36"/>
      <c r="E540" s="37"/>
      <c r="F540" s="36"/>
      <c r="G540" s="38"/>
      <c r="H540" s="39"/>
      <c r="I540" s="36"/>
      <c r="J540" s="38"/>
      <c r="K540" s="15" t="s">
        <v>183</v>
      </c>
    </row>
    <row r="541" spans="1:11">
      <c r="A541" s="229" t="s">
        <v>184</v>
      </c>
      <c r="B541" s="229"/>
      <c r="C541" s="229"/>
      <c r="D541" s="229"/>
      <c r="E541" s="229"/>
      <c r="F541" s="229"/>
      <c r="G541" s="229"/>
      <c r="H541" s="229"/>
      <c r="I541" s="229"/>
      <c r="J541" s="229"/>
      <c r="K541" s="229"/>
    </row>
    <row r="542" spans="1:11">
      <c r="A542" s="16" t="str">
        <f>$A$42</f>
        <v xml:space="preserve">NAME: </v>
      </c>
      <c r="C542" s="137" t="str">
        <f>$D$20</f>
        <v>University of Colorado</v>
      </c>
      <c r="G542" s="80"/>
      <c r="H542" s="40"/>
      <c r="J542" s="14"/>
      <c r="K542" s="18" t="str">
        <f>$K$3</f>
        <v>Date: October 09, 2017</v>
      </c>
    </row>
    <row r="543" spans="1:11">
      <c r="A543" s="19" t="s">
        <v>6</v>
      </c>
      <c r="B543" s="19" t="s">
        <v>6</v>
      </c>
      <c r="C543" s="19" t="s">
        <v>6</v>
      </c>
      <c r="D543" s="19" t="s">
        <v>6</v>
      </c>
      <c r="E543" s="19" t="s">
        <v>6</v>
      </c>
      <c r="F543" s="19" t="s">
        <v>6</v>
      </c>
      <c r="G543" s="20" t="s">
        <v>6</v>
      </c>
      <c r="H543" s="21" t="s">
        <v>6</v>
      </c>
      <c r="I543" s="19" t="s">
        <v>6</v>
      </c>
      <c r="J543" s="20" t="s">
        <v>6</v>
      </c>
      <c r="K543" s="21" t="s">
        <v>6</v>
      </c>
    </row>
    <row r="544" spans="1:11">
      <c r="A544" s="22" t="s">
        <v>7</v>
      </c>
      <c r="E544" s="22" t="s">
        <v>7</v>
      </c>
      <c r="F544" s="23"/>
      <c r="G544" s="24"/>
      <c r="H544" s="25" t="str">
        <f>H505</f>
        <v>2016-17</v>
      </c>
      <c r="I544" s="23"/>
      <c r="J544" s="24"/>
      <c r="K544" s="25" t="str">
        <f>K505</f>
        <v>2017-18</v>
      </c>
    </row>
    <row r="545" spans="1:11">
      <c r="A545" s="22" t="s">
        <v>9</v>
      </c>
      <c r="C545" s="26" t="s">
        <v>51</v>
      </c>
      <c r="E545" s="22" t="s">
        <v>9</v>
      </c>
      <c r="F545" s="23"/>
      <c r="G545" s="24" t="s">
        <v>11</v>
      </c>
      <c r="H545" s="25" t="s">
        <v>12</v>
      </c>
      <c r="I545" s="23"/>
      <c r="J545" s="24" t="s">
        <v>11</v>
      </c>
      <c r="K545" s="25" t="s">
        <v>13</v>
      </c>
    </row>
    <row r="546" spans="1:11">
      <c r="A546" s="19" t="s">
        <v>6</v>
      </c>
      <c r="B546" s="19" t="s">
        <v>6</v>
      </c>
      <c r="C546" s="19" t="s">
        <v>6</v>
      </c>
      <c r="D546" s="19" t="s">
        <v>6</v>
      </c>
      <c r="E546" s="19" t="s">
        <v>6</v>
      </c>
      <c r="F546" s="19" t="s">
        <v>6</v>
      </c>
      <c r="G546" s="20" t="s">
        <v>6</v>
      </c>
      <c r="H546" s="21" t="s">
        <v>6</v>
      </c>
      <c r="I546" s="19" t="s">
        <v>6</v>
      </c>
      <c r="J546" s="20" t="s">
        <v>6</v>
      </c>
      <c r="K546" s="21" t="s">
        <v>6</v>
      </c>
    </row>
    <row r="547" spans="1:11">
      <c r="A547" s="8">
        <v>1</v>
      </c>
      <c r="B547" s="19"/>
      <c r="C547" s="9" t="s">
        <v>165</v>
      </c>
      <c r="D547" s="19"/>
      <c r="E547" s="8">
        <v>1</v>
      </c>
      <c r="F547" s="19"/>
      <c r="G547" s="153">
        <f>0.5+0.03</f>
        <v>0.53</v>
      </c>
      <c r="H547" s="156">
        <v>131890.72</v>
      </c>
      <c r="I547" s="19"/>
      <c r="J547" s="153">
        <f>K547/((H547*1/G547))</f>
        <v>7.1488729457235512E-3</v>
      </c>
      <c r="K547" s="185">
        <v>1779</v>
      </c>
    </row>
    <row r="548" spans="1:11">
      <c r="A548" s="8">
        <v>2</v>
      </c>
      <c r="B548" s="19"/>
      <c r="C548" s="9" t="s">
        <v>166</v>
      </c>
      <c r="D548" s="19"/>
      <c r="E548" s="8">
        <v>2</v>
      </c>
      <c r="F548" s="19"/>
      <c r="G548" s="109"/>
      <c r="H548" s="156">
        <v>34103.78</v>
      </c>
      <c r="I548" s="109"/>
      <c r="J548" s="109"/>
      <c r="K548" s="185">
        <v>207</v>
      </c>
    </row>
    <row r="549" spans="1:11">
      <c r="A549" s="8">
        <v>3</v>
      </c>
      <c r="C549" s="9" t="s">
        <v>167</v>
      </c>
      <c r="E549" s="8">
        <v>3</v>
      </c>
      <c r="F549" s="10"/>
      <c r="G549" s="153"/>
      <c r="H549" s="156">
        <v>35124</v>
      </c>
      <c r="I549" s="110"/>
      <c r="J549" s="153"/>
      <c r="K549" s="156"/>
    </row>
    <row r="550" spans="1:11">
      <c r="A550" s="8">
        <v>4</v>
      </c>
      <c r="C550" s="9" t="s">
        <v>168</v>
      </c>
      <c r="E550" s="8">
        <v>4</v>
      </c>
      <c r="F550" s="10"/>
      <c r="G550" s="109"/>
      <c r="H550" s="156">
        <v>9499.43</v>
      </c>
      <c r="I550" s="110"/>
      <c r="J550" s="109"/>
      <c r="K550" s="156"/>
    </row>
    <row r="551" spans="1:11">
      <c r="A551" s="8">
        <v>5</v>
      </c>
      <c r="C551" s="9" t="s">
        <v>169</v>
      </c>
      <c r="E551" s="8">
        <v>5</v>
      </c>
      <c r="F551" s="10"/>
      <c r="G551" s="109">
        <f>SUM(G547:G550)</f>
        <v>0.53</v>
      </c>
      <c r="H551" s="110">
        <f>SUM(H547:H550)</f>
        <v>210617.93</v>
      </c>
      <c r="I551" s="110"/>
      <c r="J551" s="109">
        <f>SUM(J547:J550)</f>
        <v>7.1488729457235512E-3</v>
      </c>
      <c r="K551" s="110">
        <f>SUM(K547:K550)</f>
        <v>1986</v>
      </c>
    </row>
    <row r="552" spans="1:11">
      <c r="A552" s="8">
        <v>6</v>
      </c>
      <c r="C552" s="9" t="s">
        <v>170</v>
      </c>
      <c r="E552" s="8">
        <v>6</v>
      </c>
      <c r="F552" s="10"/>
      <c r="G552" s="109"/>
      <c r="H552" s="110"/>
      <c r="I552" s="110"/>
      <c r="J552" s="109"/>
      <c r="K552" s="110"/>
    </row>
    <row r="553" spans="1:11">
      <c r="A553" s="8">
        <v>7</v>
      </c>
      <c r="C553" s="9" t="s">
        <v>171</v>
      </c>
      <c r="E553" s="8">
        <v>7</v>
      </c>
      <c r="F553" s="10"/>
      <c r="G553" s="109"/>
      <c r="H553" s="110"/>
      <c r="I553" s="110"/>
      <c r="J553" s="109"/>
      <c r="K553" s="110"/>
    </row>
    <row r="554" spans="1:11">
      <c r="A554" s="8">
        <v>8</v>
      </c>
      <c r="C554" s="9" t="s">
        <v>185</v>
      </c>
      <c r="E554" s="8">
        <v>8</v>
      </c>
      <c r="F554" s="10"/>
      <c r="G554" s="109">
        <f>G551+G552+G553</f>
        <v>0.53</v>
      </c>
      <c r="H554" s="110">
        <f>H551+H552+H553</f>
        <v>210617.93</v>
      </c>
      <c r="I554" s="109"/>
      <c r="J554" s="109">
        <f>J551+J552+J553</f>
        <v>7.1488729457235512E-3</v>
      </c>
      <c r="K554" s="110">
        <f>K551+K552+K553</f>
        <v>1986</v>
      </c>
    </row>
    <row r="555" spans="1:11">
      <c r="A555" s="8">
        <v>9</v>
      </c>
      <c r="E555" s="8">
        <v>9</v>
      </c>
      <c r="F555" s="10"/>
      <c r="G555" s="109"/>
      <c r="H555" s="110"/>
      <c r="I555" s="108"/>
      <c r="J555" s="109"/>
      <c r="K555" s="110"/>
    </row>
    <row r="556" spans="1:11">
      <c r="A556" s="8">
        <v>10</v>
      </c>
      <c r="C556" s="9" t="s">
        <v>173</v>
      </c>
      <c r="E556" s="8">
        <v>10</v>
      </c>
      <c r="F556" s="10"/>
      <c r="G556" s="153">
        <v>0</v>
      </c>
      <c r="H556" s="156">
        <v>0</v>
      </c>
      <c r="I556" s="110"/>
      <c r="J556" s="153">
        <v>0</v>
      </c>
      <c r="K556" s="156">
        <v>0</v>
      </c>
    </row>
    <row r="557" spans="1:11">
      <c r="A557" s="8">
        <v>11</v>
      </c>
      <c r="C557" s="9" t="s">
        <v>174</v>
      </c>
      <c r="E557" s="8">
        <v>11</v>
      </c>
      <c r="F557" s="10"/>
      <c r="G557" s="153">
        <v>0</v>
      </c>
      <c r="H557" s="156"/>
      <c r="I557" s="110"/>
      <c r="J557" s="153"/>
      <c r="K557" s="156"/>
    </row>
    <row r="558" spans="1:11">
      <c r="A558" s="8">
        <v>12</v>
      </c>
      <c r="C558" s="9" t="s">
        <v>175</v>
      </c>
      <c r="E558" s="8">
        <v>12</v>
      </c>
      <c r="F558" s="10"/>
      <c r="G558" s="109"/>
      <c r="H558" s="156"/>
      <c r="I558" s="110"/>
      <c r="J558" s="109"/>
      <c r="K558" s="156"/>
    </row>
    <row r="559" spans="1:11">
      <c r="A559" s="8">
        <v>13</v>
      </c>
      <c r="C559" s="9" t="s">
        <v>186</v>
      </c>
      <c r="E559" s="8">
        <v>13</v>
      </c>
      <c r="F559" s="10"/>
      <c r="G559" s="109">
        <f>SUM(G556:G558)</f>
        <v>0</v>
      </c>
      <c r="H559" s="110">
        <f>SUM(H556:H558)</f>
        <v>0</v>
      </c>
      <c r="I559" s="107"/>
      <c r="J559" s="109">
        <f>SUM(J556:J558)</f>
        <v>0</v>
      </c>
      <c r="K559" s="110">
        <f>SUM(K556:K558)</f>
        <v>0</v>
      </c>
    </row>
    <row r="560" spans="1:11">
      <c r="A560" s="8">
        <v>14</v>
      </c>
      <c r="E560" s="8">
        <v>14</v>
      </c>
      <c r="F560" s="10"/>
      <c r="G560" s="111"/>
      <c r="H560" s="110"/>
      <c r="I560" s="108"/>
      <c r="J560" s="111"/>
      <c r="K560" s="110"/>
    </row>
    <row r="561" spans="1:11">
      <c r="A561" s="8">
        <v>15</v>
      </c>
      <c r="C561" s="9" t="s">
        <v>177</v>
      </c>
      <c r="E561" s="8">
        <v>15</v>
      </c>
      <c r="G561" s="112">
        <f>SUM(G554+G559)</f>
        <v>0.53</v>
      </c>
      <c r="H561" s="108">
        <f>SUM(H554+H559)</f>
        <v>210617.93</v>
      </c>
      <c r="I561" s="108"/>
      <c r="J561" s="112">
        <f>SUM(J554+J559)</f>
        <v>7.1488729457235512E-3</v>
      </c>
      <c r="K561" s="108">
        <f>SUM(K554+K559)</f>
        <v>1986</v>
      </c>
    </row>
    <row r="562" spans="1:11">
      <c r="A562" s="8">
        <v>16</v>
      </c>
      <c r="E562" s="8">
        <v>16</v>
      </c>
      <c r="G562" s="112"/>
      <c r="H562" s="108"/>
      <c r="I562" s="108"/>
      <c r="J562" s="112"/>
      <c r="K562" s="108"/>
    </row>
    <row r="563" spans="1:11" s="36" customFormat="1">
      <c r="A563" s="8">
        <v>17</v>
      </c>
      <c r="B563" s="137"/>
      <c r="C563" s="9" t="s">
        <v>178</v>
      </c>
      <c r="D563" s="137"/>
      <c r="E563" s="8">
        <v>17</v>
      </c>
      <c r="F563" s="10"/>
      <c r="G563" s="109"/>
      <c r="H563" s="156"/>
      <c r="I563" s="110"/>
      <c r="J563" s="109"/>
      <c r="K563" s="156"/>
    </row>
    <row r="564" spans="1:11" s="36" customFormat="1">
      <c r="A564" s="8">
        <v>18</v>
      </c>
      <c r="B564" s="137"/>
      <c r="C564" s="137"/>
      <c r="D564" s="137"/>
      <c r="E564" s="8">
        <v>18</v>
      </c>
      <c r="F564" s="10"/>
      <c r="G564" s="109"/>
      <c r="H564" s="110"/>
      <c r="I564" s="110"/>
      <c r="J564" s="109"/>
      <c r="K564" s="110"/>
    </row>
    <row r="565" spans="1:11">
      <c r="A565" s="8">
        <v>19</v>
      </c>
      <c r="C565" s="9" t="s">
        <v>179</v>
      </c>
      <c r="E565" s="8">
        <v>19</v>
      </c>
      <c r="F565" s="10"/>
      <c r="G565" s="109"/>
      <c r="H565" s="156"/>
      <c r="I565" s="110"/>
      <c r="J565" s="109"/>
      <c r="K565" s="156"/>
    </row>
    <row r="566" spans="1:11">
      <c r="A566" s="8">
        <v>20</v>
      </c>
      <c r="C566" s="81" t="s">
        <v>180</v>
      </c>
      <c r="E566" s="8">
        <v>20</v>
      </c>
      <c r="F566" s="10"/>
      <c r="G566" s="109"/>
      <c r="H566" s="156">
        <v>8623.2099999999991</v>
      </c>
      <c r="I566" s="110"/>
      <c r="J566" s="109"/>
      <c r="K566" s="156">
        <v>0</v>
      </c>
    </row>
    <row r="567" spans="1:11">
      <c r="A567" s="8">
        <v>21</v>
      </c>
      <c r="C567" s="81"/>
      <c r="E567" s="8">
        <v>21</v>
      </c>
      <c r="F567" s="10"/>
      <c r="G567" s="109"/>
      <c r="H567" s="110"/>
      <c r="I567" s="110"/>
      <c r="J567" s="109"/>
      <c r="K567" s="110"/>
    </row>
    <row r="568" spans="1:11">
      <c r="A568" s="8">
        <v>22</v>
      </c>
      <c r="C568" s="9"/>
      <c r="E568" s="8">
        <v>22</v>
      </c>
      <c r="G568" s="109"/>
      <c r="H568" s="110"/>
      <c r="I568" s="110"/>
      <c r="J568" s="109"/>
      <c r="K568" s="110"/>
    </row>
    <row r="569" spans="1:11">
      <c r="A569" s="8">
        <v>23</v>
      </c>
      <c r="C569" s="9" t="s">
        <v>181</v>
      </c>
      <c r="E569" s="8">
        <v>23</v>
      </c>
      <c r="G569" s="109"/>
      <c r="H569" s="156"/>
      <c r="I569" s="110"/>
      <c r="J569" s="109"/>
      <c r="K569" s="156">
        <v>0</v>
      </c>
    </row>
    <row r="570" spans="1:11">
      <c r="A570" s="8">
        <v>24</v>
      </c>
      <c r="C570" s="9"/>
      <c r="E570" s="8">
        <v>24</v>
      </c>
      <c r="G570" s="109"/>
      <c r="H570" s="110"/>
      <c r="I570" s="110"/>
      <c r="J570" s="109"/>
      <c r="K570" s="110"/>
    </row>
    <row r="571" spans="1:11">
      <c r="A571" s="8"/>
      <c r="E571" s="8"/>
      <c r="F571" s="70" t="s">
        <v>6</v>
      </c>
      <c r="G571" s="83"/>
      <c r="H571" s="21"/>
      <c r="I571" s="70"/>
      <c r="J571" s="83"/>
      <c r="K571" s="21"/>
    </row>
    <row r="572" spans="1:11">
      <c r="A572" s="8">
        <v>25</v>
      </c>
      <c r="C572" s="9" t="s">
        <v>187</v>
      </c>
      <c r="E572" s="8">
        <v>25</v>
      </c>
      <c r="G572" s="210">
        <f>SUM(G561:G570)</f>
        <v>0.53</v>
      </c>
      <c r="H572" s="108">
        <f>SUM(H561:H570)</f>
        <v>219241.13999999998</v>
      </c>
      <c r="I572" s="113"/>
      <c r="J572" s="210">
        <f>SUM(J561:J570)</f>
        <v>7.1488729457235512E-3</v>
      </c>
      <c r="K572" s="108">
        <f>SUM(K561:K570)</f>
        <v>1986</v>
      </c>
    </row>
    <row r="573" spans="1:11">
      <c r="F573" s="70" t="s">
        <v>6</v>
      </c>
      <c r="G573" s="20"/>
      <c r="H573" s="21"/>
      <c r="I573" s="70"/>
      <c r="J573" s="211"/>
      <c r="K573" s="21"/>
    </row>
    <row r="574" spans="1:11">
      <c r="C574" s="137" t="s">
        <v>49</v>
      </c>
      <c r="F574" s="70"/>
      <c r="G574" s="20"/>
      <c r="H574" s="21"/>
      <c r="I574" s="70"/>
      <c r="J574" s="20"/>
      <c r="K574" s="21"/>
    </row>
    <row r="575" spans="1:11">
      <c r="A575" s="9"/>
    </row>
    <row r="576" spans="1:11">
      <c r="H576" s="40"/>
      <c r="K576" s="40"/>
    </row>
    <row r="577" spans="1:11">
      <c r="A577" s="16" t="str">
        <f>$A$83</f>
        <v xml:space="preserve">Institution No.:  </v>
      </c>
      <c r="B577" s="36"/>
      <c r="C577" s="36"/>
      <c r="D577" s="36"/>
      <c r="E577" s="37"/>
      <c r="F577" s="36"/>
      <c r="G577" s="38"/>
      <c r="H577" s="39"/>
      <c r="I577" s="36"/>
      <c r="J577" s="38"/>
      <c r="K577" s="15" t="s">
        <v>188</v>
      </c>
    </row>
    <row r="578" spans="1:11">
      <c r="A578" s="229" t="s">
        <v>189</v>
      </c>
      <c r="B578" s="229"/>
      <c r="C578" s="229"/>
      <c r="D578" s="229"/>
      <c r="E578" s="229"/>
      <c r="F578" s="229"/>
      <c r="G578" s="229"/>
      <c r="H578" s="229"/>
      <c r="I578" s="229"/>
      <c r="J578" s="229"/>
      <c r="K578" s="229"/>
    </row>
    <row r="579" spans="1:11">
      <c r="A579" s="16" t="str">
        <f>$A$42</f>
        <v xml:space="preserve">NAME: </v>
      </c>
      <c r="C579" s="137" t="str">
        <f>$D$20</f>
        <v>University of Colorado</v>
      </c>
      <c r="G579" s="80"/>
      <c r="H579" s="67"/>
      <c r="J579" s="14"/>
      <c r="K579" s="18" t="str">
        <f>$K$3</f>
        <v>Date: October 09, 2017</v>
      </c>
    </row>
    <row r="580" spans="1:11">
      <c r="A580" s="19" t="s">
        <v>6</v>
      </c>
      <c r="B580" s="19" t="s">
        <v>6</v>
      </c>
      <c r="C580" s="19" t="s">
        <v>6</v>
      </c>
      <c r="D580" s="19" t="s">
        <v>6</v>
      </c>
      <c r="E580" s="19" t="s">
        <v>6</v>
      </c>
      <c r="F580" s="19" t="s">
        <v>6</v>
      </c>
      <c r="G580" s="20" t="s">
        <v>6</v>
      </c>
      <c r="H580" s="21" t="s">
        <v>6</v>
      </c>
      <c r="I580" s="19" t="s">
        <v>6</v>
      </c>
      <c r="J580" s="20" t="s">
        <v>6</v>
      </c>
      <c r="K580" s="21" t="s">
        <v>6</v>
      </c>
    </row>
    <row r="581" spans="1:11">
      <c r="A581" s="22" t="s">
        <v>7</v>
      </c>
      <c r="E581" s="22" t="s">
        <v>7</v>
      </c>
      <c r="F581" s="23"/>
      <c r="G581" s="24"/>
      <c r="H581" s="25" t="str">
        <f>H544</f>
        <v>2016-17</v>
      </c>
      <c r="I581" s="23"/>
      <c r="J581" s="24"/>
      <c r="K581" s="25" t="str">
        <f>K544</f>
        <v>2017-18</v>
      </c>
    </row>
    <row r="582" spans="1:11">
      <c r="A582" s="22" t="s">
        <v>9</v>
      </c>
      <c r="C582" s="26" t="s">
        <v>51</v>
      </c>
      <c r="E582" s="22" t="s">
        <v>9</v>
      </c>
      <c r="F582" s="23"/>
      <c r="G582" s="24" t="s">
        <v>11</v>
      </c>
      <c r="H582" s="25" t="s">
        <v>12</v>
      </c>
      <c r="I582" s="23"/>
      <c r="J582" s="24" t="s">
        <v>11</v>
      </c>
      <c r="K582" s="25" t="s">
        <v>13</v>
      </c>
    </row>
    <row r="583" spans="1:11">
      <c r="A583" s="19" t="s">
        <v>6</v>
      </c>
      <c r="B583" s="19" t="s">
        <v>6</v>
      </c>
      <c r="C583" s="19" t="s">
        <v>6</v>
      </c>
      <c r="D583" s="19" t="s">
        <v>6</v>
      </c>
      <c r="E583" s="19" t="s">
        <v>6</v>
      </c>
      <c r="F583" s="19" t="s">
        <v>6</v>
      </c>
      <c r="G583" s="20" t="s">
        <v>6</v>
      </c>
      <c r="H583" s="21" t="s">
        <v>6</v>
      </c>
      <c r="I583" s="19" t="s">
        <v>6</v>
      </c>
      <c r="J583" s="20" t="s">
        <v>6</v>
      </c>
      <c r="K583" s="21" t="s">
        <v>6</v>
      </c>
    </row>
    <row r="584" spans="1:11">
      <c r="A584" s="117">
        <v>1</v>
      </c>
      <c r="B584" s="118"/>
      <c r="C584" s="118" t="s">
        <v>227</v>
      </c>
      <c r="D584" s="118"/>
      <c r="E584" s="117">
        <v>1</v>
      </c>
      <c r="F584" s="119"/>
      <c r="G584" s="120"/>
      <c r="H584" s="121"/>
      <c r="I584" s="122"/>
      <c r="J584" s="123"/>
      <c r="K584" s="124"/>
    </row>
    <row r="585" spans="1:11">
      <c r="A585" s="117">
        <v>2</v>
      </c>
      <c r="B585" s="118"/>
      <c r="C585" s="118" t="s">
        <v>227</v>
      </c>
      <c r="D585" s="118"/>
      <c r="E585" s="117">
        <v>2</v>
      </c>
      <c r="F585" s="119"/>
      <c r="G585" s="120"/>
      <c r="H585" s="121"/>
      <c r="I585" s="122"/>
      <c r="J585" s="123"/>
      <c r="K585" s="121"/>
    </row>
    <row r="586" spans="1:11">
      <c r="A586" s="117">
        <v>3</v>
      </c>
      <c r="B586" s="118"/>
      <c r="C586" s="118" t="s">
        <v>227</v>
      </c>
      <c r="D586" s="118"/>
      <c r="E586" s="117">
        <v>3</v>
      </c>
      <c r="F586" s="119"/>
      <c r="G586" s="120"/>
      <c r="H586" s="121"/>
      <c r="I586" s="122"/>
      <c r="J586" s="123"/>
      <c r="K586" s="121"/>
    </row>
    <row r="587" spans="1:11">
      <c r="A587" s="117">
        <v>4</v>
      </c>
      <c r="B587" s="118"/>
      <c r="C587" s="118" t="s">
        <v>227</v>
      </c>
      <c r="D587" s="118"/>
      <c r="E587" s="117">
        <v>4</v>
      </c>
      <c r="F587" s="119"/>
      <c r="G587" s="120"/>
      <c r="H587" s="121"/>
      <c r="I587" s="125"/>
      <c r="J587" s="123"/>
      <c r="K587" s="121"/>
    </row>
    <row r="588" spans="1:11">
      <c r="A588" s="117">
        <v>5</v>
      </c>
      <c r="B588" s="118"/>
      <c r="C588" s="118" t="s">
        <v>227</v>
      </c>
      <c r="D588" s="118"/>
      <c r="E588" s="117">
        <v>5</v>
      </c>
      <c r="F588" s="119"/>
      <c r="G588" s="120"/>
      <c r="H588" s="121"/>
      <c r="I588" s="125"/>
      <c r="J588" s="123"/>
      <c r="K588" s="121"/>
    </row>
    <row r="589" spans="1:11">
      <c r="A589" s="8">
        <v>6</v>
      </c>
      <c r="C589" s="9" t="s">
        <v>190</v>
      </c>
      <c r="E589" s="8">
        <v>6</v>
      </c>
      <c r="F589" s="10"/>
      <c r="G589" s="157">
        <v>0</v>
      </c>
      <c r="H589" s="145">
        <v>0</v>
      </c>
      <c r="I589" s="30"/>
      <c r="J589" s="144"/>
      <c r="K589" s="145"/>
    </row>
    <row r="590" spans="1:11">
      <c r="A590" s="8">
        <v>7</v>
      </c>
      <c r="C590" s="9" t="s">
        <v>191</v>
      </c>
      <c r="E590" s="8">
        <v>7</v>
      </c>
      <c r="F590" s="10"/>
      <c r="G590" s="114"/>
      <c r="H590" s="145">
        <v>0</v>
      </c>
      <c r="I590" s="85"/>
      <c r="J590" s="104"/>
      <c r="K590" s="145"/>
    </row>
    <row r="591" spans="1:11">
      <c r="A591" s="8">
        <v>8</v>
      </c>
      <c r="C591" s="9" t="s">
        <v>192</v>
      </c>
      <c r="E591" s="8">
        <v>8</v>
      </c>
      <c r="F591" s="10"/>
      <c r="G591" s="114">
        <f>SUM(G589:G590)</f>
        <v>0</v>
      </c>
      <c r="H591" s="114">
        <f>SUM(H589:H590)</f>
        <v>0</v>
      </c>
      <c r="I591" s="85"/>
      <c r="J591" s="114">
        <f>SUM(J589:J590)</f>
        <v>0</v>
      </c>
      <c r="K591" s="114">
        <f>SUM(K589:K590)</f>
        <v>0</v>
      </c>
    </row>
    <row r="592" spans="1:11">
      <c r="A592" s="8">
        <v>9</v>
      </c>
      <c r="C592" s="9"/>
      <c r="E592" s="8">
        <v>9</v>
      </c>
      <c r="F592" s="10"/>
      <c r="G592" s="114"/>
      <c r="H592" s="103"/>
      <c r="I592" s="29"/>
      <c r="J592" s="104"/>
      <c r="K592" s="103"/>
    </row>
    <row r="593" spans="1:11">
      <c r="A593" s="8">
        <v>10</v>
      </c>
      <c r="C593" s="9"/>
      <c r="E593" s="8">
        <v>10</v>
      </c>
      <c r="F593" s="10"/>
      <c r="G593" s="114"/>
      <c r="H593" s="103"/>
      <c r="I593" s="30"/>
      <c r="J593" s="104"/>
      <c r="K593" s="103"/>
    </row>
    <row r="594" spans="1:11">
      <c r="A594" s="8">
        <v>11</v>
      </c>
      <c r="C594" s="9" t="s">
        <v>174</v>
      </c>
      <c r="E594" s="8">
        <v>11</v>
      </c>
      <c r="G594" s="143">
        <v>0</v>
      </c>
      <c r="H594" s="143">
        <v>0</v>
      </c>
      <c r="I594" s="29"/>
      <c r="J594" s="143"/>
      <c r="K594" s="146"/>
    </row>
    <row r="595" spans="1:11">
      <c r="A595" s="8">
        <v>12</v>
      </c>
      <c r="C595" s="9" t="s">
        <v>175</v>
      </c>
      <c r="E595" s="8">
        <v>12</v>
      </c>
      <c r="G595" s="115"/>
      <c r="H595" s="146">
        <v>0</v>
      </c>
      <c r="I595" s="30"/>
      <c r="J595" s="99"/>
      <c r="K595" s="146"/>
    </row>
    <row r="596" spans="1:11">
      <c r="A596" s="8">
        <v>13</v>
      </c>
      <c r="C596" s="9" t="s">
        <v>193</v>
      </c>
      <c r="E596" s="8">
        <v>13</v>
      </c>
      <c r="F596" s="10"/>
      <c r="G596" s="114">
        <f>SUM(G594:G595)</f>
        <v>0</v>
      </c>
      <c r="H596" s="114">
        <f>SUM(H594:H595)</f>
        <v>0</v>
      </c>
      <c r="I596" s="85"/>
      <c r="J596" s="114">
        <f>SUM(J594:J595)</f>
        <v>0</v>
      </c>
      <c r="K596" s="114">
        <f>SUM(K594:K595)</f>
        <v>0</v>
      </c>
    </row>
    <row r="597" spans="1:11">
      <c r="A597" s="8">
        <v>14</v>
      </c>
      <c r="E597" s="8">
        <v>14</v>
      </c>
      <c r="F597" s="10"/>
      <c r="G597" s="114"/>
      <c r="H597" s="103"/>
      <c r="I597" s="85"/>
      <c r="J597" s="104"/>
      <c r="K597" s="103"/>
    </row>
    <row r="598" spans="1:11">
      <c r="A598" s="8">
        <v>15</v>
      </c>
      <c r="C598" s="9" t="s">
        <v>177</v>
      </c>
      <c r="E598" s="8">
        <v>15</v>
      </c>
      <c r="F598" s="10"/>
      <c r="G598" s="114">
        <f>G591+G596</f>
        <v>0</v>
      </c>
      <c r="H598" s="114">
        <f>H591+H596</f>
        <v>0</v>
      </c>
      <c r="I598" s="85"/>
      <c r="J598" s="114">
        <f>J591+J596</f>
        <v>0</v>
      </c>
      <c r="K598" s="114">
        <f>K591+K596</f>
        <v>0</v>
      </c>
    </row>
    <row r="599" spans="1:11">
      <c r="A599" s="8">
        <v>16</v>
      </c>
      <c r="E599" s="8">
        <v>16</v>
      </c>
      <c r="F599" s="10"/>
      <c r="G599" s="114"/>
      <c r="H599" s="103"/>
      <c r="I599" s="85"/>
      <c r="J599" s="104"/>
      <c r="K599" s="103"/>
    </row>
    <row r="600" spans="1:11" s="36" customFormat="1">
      <c r="A600" s="8">
        <v>17</v>
      </c>
      <c r="B600" s="137"/>
      <c r="C600" s="9" t="s">
        <v>178</v>
      </c>
      <c r="D600" s="137"/>
      <c r="E600" s="8">
        <v>17</v>
      </c>
      <c r="F600" s="10"/>
      <c r="G600" s="157">
        <v>0</v>
      </c>
      <c r="H600" s="145">
        <v>0</v>
      </c>
      <c r="I600" s="85"/>
      <c r="J600" s="144"/>
      <c r="K600" s="145"/>
    </row>
    <row r="601" spans="1:11" s="36" customFormat="1">
      <c r="A601" s="8">
        <v>18</v>
      </c>
      <c r="B601" s="137"/>
      <c r="C601" s="9"/>
      <c r="D601" s="137"/>
      <c r="E601" s="8">
        <v>18</v>
      </c>
      <c r="F601" s="10"/>
      <c r="G601" s="114"/>
      <c r="H601" s="103"/>
      <c r="I601" s="85"/>
      <c r="J601" s="104"/>
      <c r="K601" s="103"/>
    </row>
    <row r="602" spans="1:11">
      <c r="A602" s="8">
        <v>19</v>
      </c>
      <c r="C602" s="9" t="s">
        <v>179</v>
      </c>
      <c r="E602" s="8">
        <v>19</v>
      </c>
      <c r="F602" s="10"/>
      <c r="G602" s="157">
        <v>0</v>
      </c>
      <c r="H602" s="145">
        <v>0</v>
      </c>
      <c r="I602" s="85"/>
      <c r="J602" s="144"/>
      <c r="K602" s="145"/>
    </row>
    <row r="603" spans="1:11">
      <c r="A603" s="8">
        <v>20</v>
      </c>
      <c r="C603" s="9" t="s">
        <v>180</v>
      </c>
      <c r="E603" s="8">
        <v>20</v>
      </c>
      <c r="F603" s="10"/>
      <c r="G603" s="157">
        <v>0</v>
      </c>
      <c r="H603" s="145">
        <v>0</v>
      </c>
      <c r="I603" s="85"/>
      <c r="J603" s="144"/>
      <c r="K603" s="145"/>
    </row>
    <row r="604" spans="1:11">
      <c r="A604" s="8">
        <v>21</v>
      </c>
      <c r="C604" s="9"/>
      <c r="E604" s="8">
        <v>21</v>
      </c>
      <c r="F604" s="10"/>
      <c r="G604" s="114"/>
      <c r="H604" s="103"/>
      <c r="I604" s="85"/>
      <c r="J604" s="104"/>
      <c r="K604" s="103"/>
    </row>
    <row r="605" spans="1:11">
      <c r="A605" s="8">
        <v>22</v>
      </c>
      <c r="C605" s="9"/>
      <c r="E605" s="8">
        <v>22</v>
      </c>
      <c r="F605" s="10"/>
      <c r="G605" s="114"/>
      <c r="H605" s="103"/>
      <c r="I605" s="85"/>
      <c r="J605" s="104"/>
      <c r="K605" s="103"/>
    </row>
    <row r="606" spans="1:11">
      <c r="A606" s="8">
        <v>23</v>
      </c>
      <c r="C606" s="9" t="s">
        <v>194</v>
      </c>
      <c r="E606" s="8">
        <v>23</v>
      </c>
      <c r="F606" s="10"/>
      <c r="G606" s="157">
        <v>0</v>
      </c>
      <c r="H606" s="145">
        <v>0</v>
      </c>
      <c r="I606" s="85"/>
      <c r="J606" s="144"/>
      <c r="K606" s="145"/>
    </row>
    <row r="607" spans="1:11">
      <c r="A607" s="8">
        <v>24</v>
      </c>
      <c r="C607" s="9"/>
      <c r="E607" s="8">
        <v>24</v>
      </c>
      <c r="F607" s="10"/>
      <c r="G607" s="114"/>
      <c r="H607" s="103"/>
      <c r="I607" s="85"/>
      <c r="J607" s="104"/>
      <c r="K607" s="103"/>
    </row>
    <row r="608" spans="1:11">
      <c r="E608" s="35"/>
      <c r="F608" s="70" t="s">
        <v>6</v>
      </c>
      <c r="G608" s="21" t="s">
        <v>6</v>
      </c>
      <c r="H608" s="21" t="s">
        <v>6</v>
      </c>
      <c r="I608" s="70" t="s">
        <v>6</v>
      </c>
      <c r="J608" s="21" t="s">
        <v>6</v>
      </c>
      <c r="K608" s="21" t="s">
        <v>6</v>
      </c>
    </row>
    <row r="609" spans="1:11">
      <c r="A609" s="8">
        <v>25</v>
      </c>
      <c r="C609" s="9" t="s">
        <v>195</v>
      </c>
      <c r="E609" s="8">
        <v>25</v>
      </c>
      <c r="G609" s="99">
        <f>SUM(G598:G608)</f>
        <v>0</v>
      </c>
      <c r="H609" s="99">
        <f>SUM(H598:H608)</f>
        <v>0</v>
      </c>
      <c r="I609" s="100"/>
      <c r="J609" s="99">
        <f>SUM(J598:J608)</f>
        <v>0</v>
      </c>
      <c r="K609" s="99">
        <f>SUM(K598:K608)</f>
        <v>0</v>
      </c>
    </row>
    <row r="610" spans="1:11">
      <c r="E610" s="35"/>
      <c r="F610" s="70" t="s">
        <v>6</v>
      </c>
      <c r="G610" s="20" t="s">
        <v>6</v>
      </c>
      <c r="H610" s="21" t="s">
        <v>6</v>
      </c>
      <c r="I610" s="70" t="s">
        <v>6</v>
      </c>
      <c r="J610" s="20" t="s">
        <v>6</v>
      </c>
      <c r="K610" s="21" t="s">
        <v>6</v>
      </c>
    </row>
    <row r="611" spans="1:11">
      <c r="C611" s="137" t="s">
        <v>49</v>
      </c>
      <c r="E611" s="35"/>
      <c r="F611" s="70"/>
      <c r="G611" s="20"/>
      <c r="H611" s="21"/>
      <c r="I611" s="70"/>
      <c r="J611" s="20"/>
      <c r="K611" s="21"/>
    </row>
    <row r="612" spans="1:11">
      <c r="A612" s="9"/>
      <c r="H612" s="40"/>
      <c r="K612" s="40"/>
    </row>
    <row r="613" spans="1:11">
      <c r="H613" s="40"/>
      <c r="K613" s="40"/>
    </row>
    <row r="614" spans="1:11">
      <c r="A614" s="16" t="str">
        <f>$A$83</f>
        <v xml:space="preserve">Institution No.:  </v>
      </c>
      <c r="B614" s="36"/>
      <c r="C614" s="36"/>
      <c r="D614" s="36"/>
      <c r="E614" s="37"/>
      <c r="F614" s="36"/>
      <c r="G614" s="38"/>
      <c r="H614" s="39"/>
      <c r="I614" s="36"/>
      <c r="J614" s="38"/>
      <c r="K614" s="15" t="s">
        <v>196</v>
      </c>
    </row>
    <row r="615" spans="1:11">
      <c r="A615" s="229" t="s">
        <v>197</v>
      </c>
      <c r="B615" s="229"/>
      <c r="C615" s="229"/>
      <c r="D615" s="229"/>
      <c r="E615" s="229"/>
      <c r="F615" s="229"/>
      <c r="G615" s="229"/>
      <c r="H615" s="229"/>
      <c r="I615" s="229"/>
      <c r="J615" s="229"/>
      <c r="K615" s="229"/>
    </row>
    <row r="616" spans="1:11">
      <c r="A616" s="16" t="str">
        <f>$A$42</f>
        <v xml:space="preserve">NAME: </v>
      </c>
      <c r="B616" s="16"/>
      <c r="C616" s="137" t="str">
        <f>$D$20</f>
        <v>University of Colorado</v>
      </c>
      <c r="G616" s="80"/>
      <c r="H616" s="67"/>
      <c r="J616" s="14"/>
      <c r="K616" s="18" t="str">
        <f>$K$3</f>
        <v>Date: October 09, 2017</v>
      </c>
    </row>
    <row r="617" spans="1:11">
      <c r="A617" s="19" t="s">
        <v>6</v>
      </c>
      <c r="B617" s="19" t="s">
        <v>6</v>
      </c>
      <c r="C617" s="19" t="s">
        <v>6</v>
      </c>
      <c r="D617" s="19" t="s">
        <v>6</v>
      </c>
      <c r="E617" s="19" t="s">
        <v>6</v>
      </c>
      <c r="F617" s="19" t="s">
        <v>6</v>
      </c>
      <c r="G617" s="20" t="s">
        <v>6</v>
      </c>
      <c r="H617" s="21" t="s">
        <v>6</v>
      </c>
      <c r="I617" s="19" t="s">
        <v>6</v>
      </c>
      <c r="J617" s="20" t="s">
        <v>6</v>
      </c>
      <c r="K617" s="21" t="s">
        <v>6</v>
      </c>
    </row>
    <row r="618" spans="1:11">
      <c r="A618" s="22" t="s">
        <v>7</v>
      </c>
      <c r="E618" s="22" t="s">
        <v>7</v>
      </c>
      <c r="F618" s="23"/>
      <c r="G618" s="24"/>
      <c r="H618" s="25" t="str">
        <f>+H581</f>
        <v>2016-17</v>
      </c>
      <c r="I618" s="23"/>
      <c r="J618" s="24"/>
      <c r="K618" s="25" t="str">
        <f>+K581</f>
        <v>2017-18</v>
      </c>
    </row>
    <row r="619" spans="1:11">
      <c r="A619" s="22" t="s">
        <v>9</v>
      </c>
      <c r="C619" s="26" t="s">
        <v>51</v>
      </c>
      <c r="E619" s="22" t="s">
        <v>9</v>
      </c>
      <c r="F619" s="23"/>
      <c r="G619" s="24" t="s">
        <v>11</v>
      </c>
      <c r="H619" s="25" t="s">
        <v>12</v>
      </c>
      <c r="I619" s="23"/>
      <c r="J619" s="24" t="s">
        <v>11</v>
      </c>
      <c r="K619" s="25" t="s">
        <v>13</v>
      </c>
    </row>
    <row r="620" spans="1:11">
      <c r="A620" s="19" t="s">
        <v>6</v>
      </c>
      <c r="B620" s="19" t="s">
        <v>6</v>
      </c>
      <c r="C620" s="19" t="s">
        <v>6</v>
      </c>
      <c r="D620" s="19" t="s">
        <v>6</v>
      </c>
      <c r="E620" s="19" t="s">
        <v>6</v>
      </c>
      <c r="F620" s="19" t="s">
        <v>6</v>
      </c>
      <c r="G620" s="20" t="s">
        <v>6</v>
      </c>
      <c r="H620" s="21" t="s">
        <v>6</v>
      </c>
      <c r="I620" s="19" t="s">
        <v>6</v>
      </c>
      <c r="J620" s="86" t="s">
        <v>6</v>
      </c>
      <c r="K620" s="21" t="s">
        <v>6</v>
      </c>
    </row>
    <row r="621" spans="1:11">
      <c r="A621" s="117">
        <v>1</v>
      </c>
      <c r="B621" s="118"/>
      <c r="C621" s="118" t="s">
        <v>227</v>
      </c>
      <c r="D621" s="118"/>
      <c r="E621" s="117">
        <v>1</v>
      </c>
      <c r="F621" s="119"/>
      <c r="G621" s="120"/>
      <c r="H621" s="121"/>
      <c r="I621" s="122"/>
      <c r="J621" s="123"/>
      <c r="K621" s="124"/>
    </row>
    <row r="622" spans="1:11">
      <c r="A622" s="117">
        <v>2</v>
      </c>
      <c r="B622" s="118"/>
      <c r="C622" s="118" t="s">
        <v>227</v>
      </c>
      <c r="D622" s="118"/>
      <c r="E622" s="117">
        <v>2</v>
      </c>
      <c r="F622" s="119"/>
      <c r="G622" s="120"/>
      <c r="H622" s="121"/>
      <c r="I622" s="122"/>
      <c r="J622" s="123"/>
      <c r="K622" s="121"/>
    </row>
    <row r="623" spans="1:11">
      <c r="A623" s="117">
        <v>3</v>
      </c>
      <c r="B623" s="118"/>
      <c r="C623" s="118" t="s">
        <v>227</v>
      </c>
      <c r="D623" s="118"/>
      <c r="E623" s="117">
        <v>3</v>
      </c>
      <c r="F623" s="119"/>
      <c r="G623" s="120"/>
      <c r="H623" s="121"/>
      <c r="I623" s="122"/>
      <c r="J623" s="123"/>
      <c r="K623" s="121"/>
    </row>
    <row r="624" spans="1:11">
      <c r="A624" s="117">
        <v>4</v>
      </c>
      <c r="B624" s="118"/>
      <c r="C624" s="118" t="s">
        <v>227</v>
      </c>
      <c r="D624" s="118"/>
      <c r="E624" s="117">
        <v>4</v>
      </c>
      <c r="F624" s="119"/>
      <c r="G624" s="120"/>
      <c r="H624" s="121"/>
      <c r="I624" s="125"/>
      <c r="J624" s="123"/>
      <c r="K624" s="121"/>
    </row>
    <row r="625" spans="1:11">
      <c r="A625" s="117">
        <v>5</v>
      </c>
      <c r="B625" s="118"/>
      <c r="C625" s="118" t="s">
        <v>227</v>
      </c>
      <c r="D625" s="118"/>
      <c r="E625" s="117">
        <v>5</v>
      </c>
      <c r="F625" s="119"/>
      <c r="G625" s="123"/>
      <c r="H625" s="121"/>
      <c r="I625" s="125"/>
      <c r="J625" s="123"/>
      <c r="K625" s="121"/>
    </row>
    <row r="626" spans="1:11">
      <c r="A626" s="8">
        <v>6</v>
      </c>
      <c r="C626" s="9" t="s">
        <v>190</v>
      </c>
      <c r="E626" s="8">
        <v>6</v>
      </c>
      <c r="F626" s="10"/>
      <c r="G626" s="144">
        <f>201.67-16.03+0.13+6.4+0.13+11.27+0.04</f>
        <v>203.60999999999999</v>
      </c>
      <c r="H626" s="178">
        <v>19634637.682999998</v>
      </c>
      <c r="I626" s="30"/>
      <c r="J626" s="153">
        <f>K626/((H626*1/G626))</f>
        <v>208.44338302633096</v>
      </c>
      <c r="K626" s="145">
        <v>20100733.280000001</v>
      </c>
    </row>
    <row r="627" spans="1:11">
      <c r="A627" s="8">
        <v>7</v>
      </c>
      <c r="C627" s="9" t="s">
        <v>191</v>
      </c>
      <c r="E627" s="8">
        <v>7</v>
      </c>
      <c r="F627" s="10"/>
      <c r="G627" s="104"/>
      <c r="H627" s="178">
        <v>5573300.5010000011</v>
      </c>
      <c r="I627" s="85"/>
      <c r="J627" s="104"/>
      <c r="K627" s="145">
        <v>5748705</v>
      </c>
    </row>
    <row r="628" spans="1:11">
      <c r="A628" s="8">
        <v>8</v>
      </c>
      <c r="C628" s="9" t="s">
        <v>192</v>
      </c>
      <c r="E628" s="8">
        <v>8</v>
      </c>
      <c r="F628" s="10"/>
      <c r="G628" s="104">
        <f>SUM(G626:G627)</f>
        <v>203.60999999999999</v>
      </c>
      <c r="H628" s="179">
        <f>SUM(H626:H627)</f>
        <v>25207938.184</v>
      </c>
      <c r="I628" s="85"/>
      <c r="J628" s="114">
        <f>SUM(J626:J627)</f>
        <v>208.44338302633096</v>
      </c>
      <c r="K628" s="103">
        <f>SUM(K626:K627)</f>
        <v>25849438.280000001</v>
      </c>
    </row>
    <row r="629" spans="1:11">
      <c r="A629" s="8">
        <v>9</v>
      </c>
      <c r="C629" s="9"/>
      <c r="E629" s="8">
        <v>9</v>
      </c>
      <c r="F629" s="10"/>
      <c r="G629" s="104"/>
      <c r="H629" s="179"/>
      <c r="I629" s="29"/>
      <c r="J629" s="104"/>
      <c r="K629" s="103"/>
    </row>
    <row r="630" spans="1:11">
      <c r="A630" s="8">
        <v>10</v>
      </c>
      <c r="C630" s="9"/>
      <c r="E630" s="8">
        <v>10</v>
      </c>
      <c r="F630" s="10"/>
      <c r="G630" s="104"/>
      <c r="H630" s="179"/>
      <c r="I630" s="30"/>
      <c r="J630" s="104"/>
      <c r="K630" s="103"/>
    </row>
    <row r="631" spans="1:11">
      <c r="A631" s="8">
        <v>11</v>
      </c>
      <c r="C631" s="9" t="s">
        <v>174</v>
      </c>
      <c r="E631" s="8">
        <v>11</v>
      </c>
      <c r="G631" s="143">
        <f>16.03+10.09</f>
        <v>26.12</v>
      </c>
      <c r="H631" s="173">
        <v>1847685.0789999999</v>
      </c>
      <c r="I631" s="29"/>
      <c r="J631" s="153">
        <f>K631/((H631*1/G631))</f>
        <v>27.361687862610058</v>
      </c>
      <c r="K631" s="146">
        <v>1935520</v>
      </c>
    </row>
    <row r="632" spans="1:11">
      <c r="A632" s="8">
        <v>12</v>
      </c>
      <c r="C632" s="9" t="s">
        <v>175</v>
      </c>
      <c r="E632" s="8">
        <v>12</v>
      </c>
      <c r="G632" s="99"/>
      <c r="H632" s="173">
        <v>759935.6399999999</v>
      </c>
      <c r="I632" s="30"/>
      <c r="J632" s="99"/>
      <c r="K632" s="146">
        <v>816532.71</v>
      </c>
    </row>
    <row r="633" spans="1:11">
      <c r="A633" s="8">
        <v>13</v>
      </c>
      <c r="C633" s="9" t="s">
        <v>193</v>
      </c>
      <c r="E633" s="8">
        <v>13</v>
      </c>
      <c r="F633" s="10"/>
      <c r="G633" s="104">
        <f>SUM(G631:G632)</f>
        <v>26.12</v>
      </c>
      <c r="H633" s="179">
        <f>SUM(H631:H632)</f>
        <v>2607620.7189999996</v>
      </c>
      <c r="I633" s="85"/>
      <c r="J633" s="114">
        <f>SUM(J631:J632)</f>
        <v>27.361687862610058</v>
      </c>
      <c r="K633" s="103">
        <f>SUM(K631:K632)</f>
        <v>2752052.71</v>
      </c>
    </row>
    <row r="634" spans="1:11">
      <c r="A634" s="8">
        <v>14</v>
      </c>
      <c r="E634" s="8">
        <v>14</v>
      </c>
      <c r="F634" s="10"/>
      <c r="G634" s="104"/>
      <c r="H634" s="179"/>
      <c r="I634" s="85"/>
      <c r="J634" s="104"/>
      <c r="K634" s="103"/>
    </row>
    <row r="635" spans="1:11">
      <c r="A635" s="8">
        <v>15</v>
      </c>
      <c r="C635" s="9" t="s">
        <v>177</v>
      </c>
      <c r="E635" s="8">
        <v>15</v>
      </c>
      <c r="F635" s="10"/>
      <c r="G635" s="104">
        <f>G628+G633</f>
        <v>229.73</v>
      </c>
      <c r="H635" s="179">
        <f>H628+H633</f>
        <v>27815558.903000001</v>
      </c>
      <c r="I635" s="85"/>
      <c r="J635" s="114">
        <f>J628+J633</f>
        <v>235.80507088894103</v>
      </c>
      <c r="K635" s="103">
        <f>K628+K633</f>
        <v>28601490.990000002</v>
      </c>
    </row>
    <row r="636" spans="1:11">
      <c r="A636" s="8">
        <v>16</v>
      </c>
      <c r="E636" s="8">
        <v>16</v>
      </c>
      <c r="F636" s="10"/>
      <c r="G636" s="104"/>
      <c r="H636" s="179"/>
      <c r="I636" s="85"/>
      <c r="J636" s="104"/>
      <c r="K636" s="103"/>
    </row>
    <row r="637" spans="1:11" s="36" customFormat="1">
      <c r="A637" s="8">
        <v>17</v>
      </c>
      <c r="B637" s="137"/>
      <c r="C637" s="9" t="s">
        <v>178</v>
      </c>
      <c r="D637" s="137"/>
      <c r="E637" s="8">
        <v>17</v>
      </c>
      <c r="F637" s="10"/>
      <c r="G637" s="157"/>
      <c r="H637" s="178">
        <v>175969.92000000001</v>
      </c>
      <c r="I637" s="85"/>
      <c r="J637" s="144"/>
      <c r="K637" s="145">
        <v>200879</v>
      </c>
    </row>
    <row r="638" spans="1:11" s="36" customFormat="1">
      <c r="A638" s="8">
        <v>18</v>
      </c>
      <c r="B638" s="137"/>
      <c r="C638" s="9"/>
      <c r="D638" s="137"/>
      <c r="E638" s="8">
        <v>18</v>
      </c>
      <c r="F638" s="10"/>
      <c r="G638" s="114"/>
      <c r="H638" s="179"/>
      <c r="I638" s="85"/>
      <c r="J638" s="104"/>
      <c r="K638" s="103"/>
    </row>
    <row r="639" spans="1:11">
      <c r="A639" s="8">
        <v>19</v>
      </c>
      <c r="C639" s="9" t="s">
        <v>179</v>
      </c>
      <c r="E639" s="8">
        <v>19</v>
      </c>
      <c r="F639" s="10"/>
      <c r="G639" s="114"/>
      <c r="H639" s="178">
        <v>545209.67099999974</v>
      </c>
      <c r="I639" s="85"/>
      <c r="J639" s="104"/>
      <c r="K639" s="145">
        <v>394160</v>
      </c>
    </row>
    <row r="640" spans="1:11">
      <c r="A640" s="8">
        <v>20</v>
      </c>
      <c r="C640" s="9" t="s">
        <v>180</v>
      </c>
      <c r="E640" s="8">
        <v>20</v>
      </c>
      <c r="F640" s="10"/>
      <c r="G640" s="114"/>
      <c r="H640" s="178">
        <f>11301039.5242-348389.14-2073374.75</f>
        <v>8879275.6341999993</v>
      </c>
      <c r="I640" s="85"/>
      <c r="J640" s="104"/>
      <c r="K640" s="145">
        <f>8252307.2+110000-616868+2652849-91954-2652849</f>
        <v>7653485.1999999993</v>
      </c>
    </row>
    <row r="641" spans="1:11">
      <c r="A641" s="8">
        <v>21</v>
      </c>
      <c r="C641" s="9"/>
      <c r="E641" s="8">
        <v>21</v>
      </c>
      <c r="F641" s="10"/>
      <c r="G641" s="114"/>
      <c r="H641" s="179"/>
      <c r="I641" s="85"/>
      <c r="J641" s="104"/>
      <c r="K641" s="103"/>
    </row>
    <row r="642" spans="1:11">
      <c r="A642" s="8">
        <v>22</v>
      </c>
      <c r="C642" s="9"/>
      <c r="E642" s="8">
        <v>22</v>
      </c>
      <c r="F642" s="10"/>
      <c r="G642" s="114"/>
      <c r="H642" s="179"/>
      <c r="I642" s="85"/>
      <c r="J642" s="104"/>
      <c r="K642" s="103"/>
    </row>
    <row r="643" spans="1:11">
      <c r="A643" s="8">
        <v>23</v>
      </c>
      <c r="C643" s="9" t="s">
        <v>194</v>
      </c>
      <c r="E643" s="8">
        <v>23</v>
      </c>
      <c r="F643" s="10"/>
      <c r="G643" s="114"/>
      <c r="H643" s="178">
        <f>176373.22+2073374.45</f>
        <v>2249747.67</v>
      </c>
      <c r="I643" s="85"/>
      <c r="J643" s="104"/>
      <c r="K643" s="178">
        <f>70620+2652849</f>
        <v>2723469</v>
      </c>
    </row>
    <row r="644" spans="1:11">
      <c r="A644" s="8">
        <v>24</v>
      </c>
      <c r="C644" s="9"/>
      <c r="E644" s="8">
        <v>24</v>
      </c>
      <c r="F644" s="10"/>
      <c r="G644" s="114"/>
      <c r="H644" s="103"/>
      <c r="I644" s="85"/>
      <c r="J644" s="104"/>
      <c r="K644" s="103"/>
    </row>
    <row r="645" spans="1:11">
      <c r="E645" s="35"/>
      <c r="F645" s="70" t="s">
        <v>6</v>
      </c>
      <c r="G645" s="21" t="s">
        <v>6</v>
      </c>
      <c r="H645" s="212" t="s">
        <v>6</v>
      </c>
      <c r="I645" s="70" t="s">
        <v>6</v>
      </c>
      <c r="J645" s="21" t="s">
        <v>6</v>
      </c>
      <c r="K645" s="21" t="s">
        <v>6</v>
      </c>
    </row>
    <row r="646" spans="1:11">
      <c r="A646" s="8">
        <v>25</v>
      </c>
      <c r="C646" s="9" t="s">
        <v>198</v>
      </c>
      <c r="E646" s="8">
        <v>25</v>
      </c>
      <c r="G646" s="99">
        <f>SUM(G635:G645)</f>
        <v>229.73</v>
      </c>
      <c r="H646" s="100">
        <f>SUM(H635:H645)</f>
        <v>39665761.798200004</v>
      </c>
      <c r="I646" s="100"/>
      <c r="J646" s="99">
        <f>SUM(J635:J645)</f>
        <v>235.80507088894103</v>
      </c>
      <c r="K646" s="100">
        <f>SUM(K635:K645)</f>
        <v>39573484.189999998</v>
      </c>
    </row>
    <row r="647" spans="1:11">
      <c r="A647" s="8"/>
      <c r="C647" s="9"/>
      <c r="E647" s="8"/>
      <c r="F647" s="70" t="s">
        <v>6</v>
      </c>
      <c r="G647" s="20" t="s">
        <v>6</v>
      </c>
      <c r="H647" s="21" t="s">
        <v>6</v>
      </c>
      <c r="I647" s="70" t="s">
        <v>6</v>
      </c>
      <c r="J647" s="20" t="s">
        <v>6</v>
      </c>
      <c r="K647" s="21" t="s">
        <v>6</v>
      </c>
    </row>
    <row r="648" spans="1:11">
      <c r="A648" s="8"/>
      <c r="C648" s="137" t="s">
        <v>49</v>
      </c>
      <c r="E648" s="8"/>
      <c r="G648" s="99"/>
      <c r="H648" s="99"/>
      <c r="I648" s="100"/>
      <c r="J648" s="99"/>
      <c r="K648" s="99"/>
    </row>
    <row r="649" spans="1:11">
      <c r="E649" s="35"/>
      <c r="F649" s="70"/>
      <c r="G649" s="20"/>
      <c r="H649" s="21"/>
      <c r="I649" s="70"/>
      <c r="J649" s="20"/>
      <c r="K649" s="21"/>
    </row>
    <row r="650" spans="1:11">
      <c r="A650" s="9"/>
      <c r="H650" s="40"/>
      <c r="K650" s="40"/>
    </row>
    <row r="651" spans="1:11">
      <c r="A651" s="16" t="str">
        <f>$A$83</f>
        <v xml:space="preserve">Institution No.:  </v>
      </c>
      <c r="B651" s="36"/>
      <c r="C651" s="36"/>
      <c r="D651" s="36"/>
      <c r="E651" s="37"/>
      <c r="F651" s="36"/>
      <c r="G651" s="38"/>
      <c r="H651" s="39"/>
      <c r="I651" s="36"/>
      <c r="J651" s="38"/>
      <c r="K651" s="15" t="s">
        <v>199</v>
      </c>
    </row>
    <row r="652" spans="1:11">
      <c r="A652" s="229" t="s">
        <v>200</v>
      </c>
      <c r="B652" s="229"/>
      <c r="C652" s="229"/>
      <c r="D652" s="229"/>
      <c r="E652" s="229"/>
      <c r="F652" s="229"/>
      <c r="G652" s="229"/>
      <c r="H652" s="229"/>
      <c r="I652" s="229"/>
      <c r="J652" s="229"/>
      <c r="K652" s="229"/>
    </row>
    <row r="653" spans="1:11">
      <c r="A653" s="16" t="str">
        <f>$A$42</f>
        <v xml:space="preserve">NAME: </v>
      </c>
      <c r="C653" s="137" t="str">
        <f>$D$20</f>
        <v>University of Colorado</v>
      </c>
      <c r="G653" s="80"/>
      <c r="H653" s="67"/>
      <c r="J653" s="14"/>
      <c r="K653" s="18" t="str">
        <f>$K$3</f>
        <v>Date: October 09, 2017</v>
      </c>
    </row>
    <row r="654" spans="1:11">
      <c r="A654" s="19" t="s">
        <v>6</v>
      </c>
      <c r="B654" s="19" t="s">
        <v>6</v>
      </c>
      <c r="C654" s="19" t="s">
        <v>6</v>
      </c>
      <c r="D654" s="19" t="s">
        <v>6</v>
      </c>
      <c r="E654" s="19" t="s">
        <v>6</v>
      </c>
      <c r="F654" s="19" t="s">
        <v>6</v>
      </c>
      <c r="G654" s="20" t="s">
        <v>6</v>
      </c>
      <c r="H654" s="21" t="s">
        <v>6</v>
      </c>
      <c r="I654" s="19" t="s">
        <v>6</v>
      </c>
      <c r="J654" s="20" t="s">
        <v>6</v>
      </c>
      <c r="K654" s="21" t="s">
        <v>6</v>
      </c>
    </row>
    <row r="655" spans="1:11">
      <c r="A655" s="22" t="s">
        <v>7</v>
      </c>
      <c r="E655" s="22" t="s">
        <v>7</v>
      </c>
      <c r="F655" s="23"/>
      <c r="G655" s="24"/>
      <c r="H655" s="25" t="str">
        <f>+H618</f>
        <v>2016-17</v>
      </c>
      <c r="I655" s="23"/>
      <c r="J655" s="24"/>
      <c r="K655" s="25" t="str">
        <f>+K618</f>
        <v>2017-18</v>
      </c>
    </row>
    <row r="656" spans="1:11">
      <c r="A656" s="22" t="s">
        <v>9</v>
      </c>
      <c r="C656" s="26" t="s">
        <v>51</v>
      </c>
      <c r="E656" s="22" t="s">
        <v>9</v>
      </c>
      <c r="F656" s="23"/>
      <c r="G656" s="24" t="s">
        <v>11</v>
      </c>
      <c r="H656" s="25" t="s">
        <v>12</v>
      </c>
      <c r="I656" s="23"/>
      <c r="J656" s="24" t="s">
        <v>11</v>
      </c>
      <c r="K656" s="25" t="s">
        <v>13</v>
      </c>
    </row>
    <row r="657" spans="1:11">
      <c r="A657" s="19" t="s">
        <v>6</v>
      </c>
      <c r="B657" s="19" t="s">
        <v>6</v>
      </c>
      <c r="C657" s="19" t="s">
        <v>6</v>
      </c>
      <c r="D657" s="19" t="s">
        <v>6</v>
      </c>
      <c r="E657" s="19" t="s">
        <v>6</v>
      </c>
      <c r="F657" s="19" t="s">
        <v>6</v>
      </c>
      <c r="G657" s="20" t="s">
        <v>6</v>
      </c>
      <c r="H657" s="21" t="s">
        <v>6</v>
      </c>
      <c r="I657" s="19" t="s">
        <v>6</v>
      </c>
      <c r="J657" s="20" t="s">
        <v>6</v>
      </c>
      <c r="K657" s="21" t="s">
        <v>6</v>
      </c>
    </row>
    <row r="658" spans="1:11">
      <c r="A658" s="117">
        <v>1</v>
      </c>
      <c r="B658" s="118"/>
      <c r="C658" s="118" t="s">
        <v>227</v>
      </c>
      <c r="D658" s="118"/>
      <c r="E658" s="117">
        <v>1</v>
      </c>
      <c r="F658" s="119"/>
      <c r="G658" s="120"/>
      <c r="H658" s="121"/>
      <c r="I658" s="122"/>
      <c r="J658" s="123"/>
      <c r="K658" s="124"/>
    </row>
    <row r="659" spans="1:11">
      <c r="A659" s="117">
        <v>2</v>
      </c>
      <c r="B659" s="118"/>
      <c r="C659" s="118" t="s">
        <v>227</v>
      </c>
      <c r="D659" s="118"/>
      <c r="E659" s="117">
        <v>2</v>
      </c>
      <c r="F659" s="119"/>
      <c r="G659" s="120"/>
      <c r="H659" s="121"/>
      <c r="I659" s="122"/>
      <c r="J659" s="123"/>
      <c r="K659" s="121"/>
    </row>
    <row r="660" spans="1:11">
      <c r="A660" s="117">
        <v>3</v>
      </c>
      <c r="B660" s="118"/>
      <c r="C660" s="118" t="s">
        <v>227</v>
      </c>
      <c r="D660" s="118"/>
      <c r="E660" s="117">
        <v>3</v>
      </c>
      <c r="F660" s="119"/>
      <c r="G660" s="120"/>
      <c r="H660" s="121"/>
      <c r="I660" s="122"/>
      <c r="J660" s="123"/>
      <c r="K660" s="121"/>
    </row>
    <row r="661" spans="1:11">
      <c r="A661" s="117">
        <v>4</v>
      </c>
      <c r="B661" s="118"/>
      <c r="C661" s="118" t="s">
        <v>227</v>
      </c>
      <c r="D661" s="118"/>
      <c r="E661" s="117">
        <v>4</v>
      </c>
      <c r="F661" s="119"/>
      <c r="G661" s="120"/>
      <c r="H661" s="121"/>
      <c r="I661" s="125"/>
      <c r="J661" s="123"/>
      <c r="K661" s="121"/>
    </row>
    <row r="662" spans="1:11">
      <c r="A662" s="117">
        <v>5</v>
      </c>
      <c r="B662" s="118"/>
      <c r="C662" s="118" t="s">
        <v>227</v>
      </c>
      <c r="D662" s="118"/>
      <c r="E662" s="117">
        <v>5</v>
      </c>
      <c r="F662" s="119"/>
      <c r="G662" s="120"/>
      <c r="H662" s="121"/>
      <c r="I662" s="125"/>
      <c r="J662" s="123"/>
      <c r="K662" s="121"/>
    </row>
    <row r="663" spans="1:11">
      <c r="A663" s="8">
        <v>6</v>
      </c>
      <c r="C663" s="9" t="s">
        <v>190</v>
      </c>
      <c r="E663" s="8">
        <v>6</v>
      </c>
      <c r="F663" s="10"/>
      <c r="G663" s="157">
        <f>20.22-1+3.16+0.22+0.22+0.22</f>
        <v>23.039999999999996</v>
      </c>
      <c r="H663" s="145">
        <v>2662013.6082000001</v>
      </c>
      <c r="I663" s="30"/>
      <c r="J663" s="153">
        <f>K663/((H663*1/G663))</f>
        <v>22.532247835561602</v>
      </c>
      <c r="K663" s="145">
        <v>2603348.54</v>
      </c>
    </row>
    <row r="664" spans="1:11">
      <c r="A664" s="8">
        <v>7</v>
      </c>
      <c r="C664" s="9" t="s">
        <v>191</v>
      </c>
      <c r="E664" s="8">
        <v>7</v>
      </c>
      <c r="F664" s="10"/>
      <c r="G664" s="114"/>
      <c r="H664" s="145">
        <v>725095.25399999996</v>
      </c>
      <c r="I664" s="85"/>
      <c r="J664" s="104"/>
      <c r="K664" s="145">
        <v>739837.76</v>
      </c>
    </row>
    <row r="665" spans="1:11">
      <c r="A665" s="8">
        <v>8</v>
      </c>
      <c r="C665" s="9" t="s">
        <v>192</v>
      </c>
      <c r="E665" s="8">
        <v>8</v>
      </c>
      <c r="F665" s="10"/>
      <c r="G665" s="114">
        <f>SUM(G663:G664)</f>
        <v>23.039999999999996</v>
      </c>
      <c r="H665" s="103">
        <f>SUM(H663:H664)</f>
        <v>3387108.8622000003</v>
      </c>
      <c r="I665" s="85"/>
      <c r="J665" s="114">
        <f>SUM(J663:J664)</f>
        <v>22.532247835561602</v>
      </c>
      <c r="K665" s="103">
        <f>SUM(K663:K664)</f>
        <v>3343186.3</v>
      </c>
    </row>
    <row r="666" spans="1:11">
      <c r="A666" s="8">
        <v>9</v>
      </c>
      <c r="C666" s="9"/>
      <c r="E666" s="8">
        <v>9</v>
      </c>
      <c r="F666" s="10"/>
      <c r="G666" s="114"/>
      <c r="H666" s="103"/>
      <c r="I666" s="29"/>
      <c r="J666" s="104"/>
      <c r="K666" s="103"/>
    </row>
    <row r="667" spans="1:11">
      <c r="A667" s="8">
        <v>10</v>
      </c>
      <c r="C667" s="9"/>
      <c r="E667" s="8">
        <v>10</v>
      </c>
      <c r="F667" s="10"/>
      <c r="G667" s="114"/>
      <c r="H667" s="103"/>
      <c r="I667" s="30"/>
      <c r="J667" s="104"/>
      <c r="K667" s="103"/>
    </row>
    <row r="668" spans="1:11">
      <c r="A668" s="8">
        <v>11</v>
      </c>
      <c r="C668" s="9" t="s">
        <v>174</v>
      </c>
      <c r="E668" s="8">
        <v>11</v>
      </c>
      <c r="G668" s="143">
        <f>1+0.65</f>
        <v>1.65</v>
      </c>
      <c r="H668" s="143">
        <v>193622.9852</v>
      </c>
      <c r="I668" s="29"/>
      <c r="J668" s="153">
        <f>K668/((H668*1/G668))</f>
        <v>1.5190244262384194</v>
      </c>
      <c r="K668" s="146">
        <v>178253.36</v>
      </c>
    </row>
    <row r="669" spans="1:11">
      <c r="A669" s="8">
        <v>12</v>
      </c>
      <c r="C669" s="9" t="s">
        <v>175</v>
      </c>
      <c r="E669" s="8">
        <v>12</v>
      </c>
      <c r="G669" s="115"/>
      <c r="H669" s="146">
        <v>71464.220399999991</v>
      </c>
      <c r="I669" s="30"/>
      <c r="J669" s="99"/>
      <c r="K669" s="146">
        <v>71981.259999999995</v>
      </c>
    </row>
    <row r="670" spans="1:11">
      <c r="A670" s="8">
        <v>13</v>
      </c>
      <c r="C670" s="9" t="s">
        <v>193</v>
      </c>
      <c r="E670" s="8">
        <v>13</v>
      </c>
      <c r="F670" s="10"/>
      <c r="G670" s="114">
        <f>SUM(G668:G669)</f>
        <v>1.65</v>
      </c>
      <c r="H670" s="103">
        <f>SUM(H668:H669)</f>
        <v>265087.20559999999</v>
      </c>
      <c r="I670" s="85"/>
      <c r="J670" s="114">
        <f>SUM(J668:J669)</f>
        <v>1.5190244262384194</v>
      </c>
      <c r="K670" s="103">
        <f>SUM(K668:K669)</f>
        <v>250234.62</v>
      </c>
    </row>
    <row r="671" spans="1:11">
      <c r="A671" s="8">
        <v>14</v>
      </c>
      <c r="E671" s="8">
        <v>14</v>
      </c>
      <c r="F671" s="10"/>
      <c r="G671" s="114"/>
      <c r="H671" s="103"/>
      <c r="I671" s="85"/>
      <c r="J671" s="104"/>
      <c r="K671" s="103"/>
    </row>
    <row r="672" spans="1:11">
      <c r="A672" s="8">
        <v>15</v>
      </c>
      <c r="C672" s="9" t="s">
        <v>177</v>
      </c>
      <c r="E672" s="8">
        <v>15</v>
      </c>
      <c r="F672" s="10"/>
      <c r="G672" s="114">
        <f>G665+G670</f>
        <v>24.689999999999994</v>
      </c>
      <c r="H672" s="103">
        <f>H665+H670</f>
        <v>3652196.0678000003</v>
      </c>
      <c r="I672" s="85"/>
      <c r="J672" s="114">
        <f>J665+J670</f>
        <v>24.051272261800023</v>
      </c>
      <c r="K672" s="103">
        <f>K665+K670</f>
        <v>3593420.92</v>
      </c>
    </row>
    <row r="673" spans="1:11">
      <c r="A673" s="8">
        <v>16</v>
      </c>
      <c r="E673" s="8">
        <v>16</v>
      </c>
      <c r="F673" s="10"/>
      <c r="G673" s="114"/>
      <c r="H673" s="103"/>
      <c r="I673" s="85"/>
      <c r="J673" s="104"/>
      <c r="K673" s="103"/>
    </row>
    <row r="674" spans="1:11" s="36" customFormat="1">
      <c r="A674" s="8">
        <v>17</v>
      </c>
      <c r="B674" s="137"/>
      <c r="C674" s="9" t="s">
        <v>178</v>
      </c>
      <c r="D674" s="137"/>
      <c r="E674" s="8">
        <v>17</v>
      </c>
      <c r="F674" s="10"/>
      <c r="G674" s="114"/>
      <c r="H674" s="145">
        <f>11490.6572</f>
        <v>11490.6572</v>
      </c>
      <c r="I674" s="85"/>
      <c r="J674" s="104"/>
      <c r="K674" s="145">
        <v>10755.36</v>
      </c>
    </row>
    <row r="675" spans="1:11" s="36" customFormat="1">
      <c r="A675" s="8">
        <v>18</v>
      </c>
      <c r="B675" s="137"/>
      <c r="C675" s="9"/>
      <c r="D675" s="137"/>
      <c r="E675" s="8">
        <v>18</v>
      </c>
      <c r="F675" s="10"/>
      <c r="G675" s="114"/>
      <c r="H675" s="103"/>
      <c r="I675" s="85"/>
      <c r="J675" s="104"/>
      <c r="K675" s="103"/>
    </row>
    <row r="676" spans="1:11">
      <c r="A676" s="8">
        <v>19</v>
      </c>
      <c r="C676" s="9" t="s">
        <v>179</v>
      </c>
      <c r="E676" s="8">
        <v>19</v>
      </c>
      <c r="F676" s="10"/>
      <c r="G676" s="114"/>
      <c r="H676" s="145">
        <v>31800.529000000002</v>
      </c>
      <c r="I676" s="85"/>
      <c r="J676" s="104"/>
      <c r="K676" s="145">
        <v>8750</v>
      </c>
    </row>
    <row r="677" spans="1:11">
      <c r="A677" s="8">
        <v>20</v>
      </c>
      <c r="C677" s="9" t="s">
        <v>180</v>
      </c>
      <c r="E677" s="8">
        <v>20</v>
      </c>
      <c r="F677" s="10"/>
      <c r="G677" s="114"/>
      <c r="H677" s="145">
        <f>565442.5804-175747.99</f>
        <v>389694.59039999999</v>
      </c>
      <c r="I677" s="85"/>
      <c r="J677" s="104"/>
      <c r="K677" s="145">
        <f>545019.3-175249</f>
        <v>369770.30000000005</v>
      </c>
    </row>
    <row r="678" spans="1:11">
      <c r="A678" s="8">
        <v>21</v>
      </c>
      <c r="C678" s="9"/>
      <c r="E678" s="8">
        <v>21</v>
      </c>
      <c r="F678" s="10"/>
      <c r="G678" s="114"/>
      <c r="H678" s="103"/>
      <c r="I678" s="85"/>
      <c r="J678" s="104"/>
      <c r="K678" s="103"/>
    </row>
    <row r="679" spans="1:11">
      <c r="A679" s="8">
        <v>22</v>
      </c>
      <c r="C679" s="9"/>
      <c r="E679" s="8">
        <v>22</v>
      </c>
      <c r="F679" s="10"/>
      <c r="G679" s="114"/>
      <c r="H679" s="103"/>
      <c r="I679" s="85"/>
      <c r="J679" s="104"/>
      <c r="K679" s="103"/>
    </row>
    <row r="680" spans="1:11">
      <c r="A680" s="8">
        <v>23</v>
      </c>
      <c r="C680" s="9" t="s">
        <v>194</v>
      </c>
      <c r="E680" s="8">
        <v>23</v>
      </c>
      <c r="F680" s="10"/>
      <c r="G680" s="114"/>
      <c r="H680" s="145">
        <v>0</v>
      </c>
      <c r="I680" s="85"/>
      <c r="J680" s="104"/>
      <c r="K680" s="145"/>
    </row>
    <row r="681" spans="1:11">
      <c r="A681" s="8">
        <v>24</v>
      </c>
      <c r="C681" s="9"/>
      <c r="E681" s="8">
        <v>24</v>
      </c>
      <c r="F681" s="10"/>
      <c r="G681" s="114"/>
      <c r="H681" s="103"/>
      <c r="I681" s="85"/>
      <c r="J681" s="104"/>
      <c r="K681" s="103"/>
    </row>
    <row r="682" spans="1:11">
      <c r="E682" s="35"/>
      <c r="F682" s="70" t="s">
        <v>6</v>
      </c>
      <c r="G682" s="21" t="s">
        <v>6</v>
      </c>
      <c r="H682" s="21" t="s">
        <v>6</v>
      </c>
      <c r="I682" s="70" t="s">
        <v>6</v>
      </c>
      <c r="J682" s="21" t="s">
        <v>6</v>
      </c>
      <c r="K682" s="21" t="s">
        <v>6</v>
      </c>
    </row>
    <row r="683" spans="1:11">
      <c r="A683" s="8">
        <v>25</v>
      </c>
      <c r="C683" s="9" t="s">
        <v>201</v>
      </c>
      <c r="E683" s="8">
        <v>25</v>
      </c>
      <c r="G683" s="99">
        <f>SUM(G672:G682)</f>
        <v>24.689999999999994</v>
      </c>
      <c r="H683" s="99">
        <f>SUM(H672:H682)</f>
        <v>4085181.8444000003</v>
      </c>
      <c r="I683" s="100"/>
      <c r="J683" s="99">
        <f>SUM(J672:J682)</f>
        <v>24.051272261800023</v>
      </c>
      <c r="K683" s="99">
        <f>SUM(K672:K682)</f>
        <v>3982696.58</v>
      </c>
    </row>
    <row r="684" spans="1:11">
      <c r="E684" s="35"/>
      <c r="F684" s="70" t="s">
        <v>6</v>
      </c>
      <c r="G684" s="20" t="s">
        <v>6</v>
      </c>
      <c r="H684" s="21" t="s">
        <v>6</v>
      </c>
      <c r="I684" s="70" t="s">
        <v>6</v>
      </c>
      <c r="J684" s="20" t="s">
        <v>6</v>
      </c>
      <c r="K684" s="21" t="s">
        <v>6</v>
      </c>
    </row>
    <row r="685" spans="1:11">
      <c r="C685" s="137" t="s">
        <v>49</v>
      </c>
      <c r="E685" s="35"/>
      <c r="F685" s="70"/>
      <c r="G685" s="20"/>
      <c r="H685" s="21"/>
      <c r="I685" s="70"/>
      <c r="J685" s="20"/>
      <c r="K685" s="21"/>
    </row>
    <row r="687" spans="1:11">
      <c r="A687" s="9"/>
    </row>
    <row r="688" spans="1:11">
      <c r="A688" s="16" t="str">
        <f>$A$83</f>
        <v xml:space="preserve">Institution No.:  </v>
      </c>
      <c r="B688" s="36"/>
      <c r="C688" s="36"/>
      <c r="D688" s="36"/>
      <c r="E688" s="37"/>
      <c r="F688" s="36"/>
      <c r="G688" s="38"/>
      <c r="H688" s="39"/>
      <c r="I688" s="36"/>
      <c r="J688" s="38"/>
      <c r="K688" s="15" t="s">
        <v>202</v>
      </c>
    </row>
    <row r="689" spans="1:11">
      <c r="A689" s="229" t="s">
        <v>203</v>
      </c>
      <c r="B689" s="229"/>
      <c r="C689" s="229"/>
      <c r="D689" s="229"/>
      <c r="E689" s="229"/>
      <c r="F689" s="229"/>
      <c r="G689" s="229"/>
      <c r="H689" s="229"/>
      <c r="I689" s="229"/>
      <c r="J689" s="229"/>
      <c r="K689" s="229"/>
    </row>
    <row r="690" spans="1:11">
      <c r="A690" s="16" t="str">
        <f>$A$42</f>
        <v xml:space="preserve">NAME: </v>
      </c>
      <c r="C690" s="137" t="str">
        <f>$D$20</f>
        <v>University of Colorado</v>
      </c>
      <c r="F690" s="72"/>
      <c r="G690" s="66"/>
      <c r="H690" s="40"/>
      <c r="J690" s="14"/>
      <c r="K690" s="18" t="str">
        <f>$K$3</f>
        <v>Date: October 09, 2017</v>
      </c>
    </row>
    <row r="691" spans="1:11">
      <c r="A691" s="19" t="s">
        <v>6</v>
      </c>
      <c r="B691" s="19" t="s">
        <v>6</v>
      </c>
      <c r="C691" s="19" t="s">
        <v>6</v>
      </c>
      <c r="D691" s="19" t="s">
        <v>6</v>
      </c>
      <c r="E691" s="19" t="s">
        <v>6</v>
      </c>
      <c r="F691" s="19" t="s">
        <v>6</v>
      </c>
      <c r="G691" s="20" t="s">
        <v>6</v>
      </c>
      <c r="H691" s="21" t="s">
        <v>6</v>
      </c>
      <c r="I691" s="19" t="s">
        <v>6</v>
      </c>
      <c r="J691" s="20" t="s">
        <v>6</v>
      </c>
      <c r="K691" s="21" t="s">
        <v>6</v>
      </c>
    </row>
    <row r="692" spans="1:11">
      <c r="A692" s="22" t="s">
        <v>7</v>
      </c>
      <c r="E692" s="22" t="s">
        <v>7</v>
      </c>
      <c r="F692" s="23"/>
      <c r="G692" s="24"/>
      <c r="H692" s="25" t="str">
        <f>H655</f>
        <v>2016-17</v>
      </c>
      <c r="I692" s="23"/>
      <c r="J692" s="24"/>
      <c r="K692" s="25" t="str">
        <f>K655</f>
        <v>2017-18</v>
      </c>
    </row>
    <row r="693" spans="1:11">
      <c r="A693" s="22" t="s">
        <v>9</v>
      </c>
      <c r="C693" s="26" t="s">
        <v>51</v>
      </c>
      <c r="E693" s="22" t="s">
        <v>9</v>
      </c>
      <c r="F693" s="23"/>
      <c r="G693" s="24" t="s">
        <v>11</v>
      </c>
      <c r="H693" s="25" t="s">
        <v>12</v>
      </c>
      <c r="I693" s="23"/>
      <c r="J693" s="24" t="s">
        <v>11</v>
      </c>
      <c r="K693" s="25" t="s">
        <v>13</v>
      </c>
    </row>
    <row r="694" spans="1:11">
      <c r="A694" s="19" t="s">
        <v>6</v>
      </c>
      <c r="B694" s="19" t="s">
        <v>6</v>
      </c>
      <c r="C694" s="19" t="s">
        <v>6</v>
      </c>
      <c r="D694" s="19" t="s">
        <v>6</v>
      </c>
      <c r="E694" s="19" t="s">
        <v>6</v>
      </c>
      <c r="F694" s="19" t="s">
        <v>6</v>
      </c>
      <c r="G694" s="20" t="s">
        <v>6</v>
      </c>
      <c r="H694" s="21" t="s">
        <v>6</v>
      </c>
      <c r="I694" s="19" t="s">
        <v>6</v>
      </c>
      <c r="J694" s="20" t="s">
        <v>6</v>
      </c>
      <c r="K694" s="21" t="s">
        <v>6</v>
      </c>
    </row>
    <row r="695" spans="1:11">
      <c r="A695" s="117">
        <v>1</v>
      </c>
      <c r="B695" s="118"/>
      <c r="C695" s="118" t="s">
        <v>227</v>
      </c>
      <c r="D695" s="118"/>
      <c r="E695" s="117">
        <v>1</v>
      </c>
      <c r="F695" s="119"/>
      <c r="G695" s="120"/>
      <c r="H695" s="121"/>
      <c r="I695" s="122"/>
      <c r="J695" s="123"/>
      <c r="K695" s="124"/>
    </row>
    <row r="696" spans="1:11">
      <c r="A696" s="117">
        <v>2</v>
      </c>
      <c r="B696" s="118"/>
      <c r="C696" s="118" t="s">
        <v>227</v>
      </c>
      <c r="D696" s="118"/>
      <c r="E696" s="117">
        <v>2</v>
      </c>
      <c r="F696" s="119"/>
      <c r="G696" s="120"/>
      <c r="H696" s="121"/>
      <c r="I696" s="122"/>
      <c r="J696" s="123"/>
      <c r="K696" s="121"/>
    </row>
    <row r="697" spans="1:11">
      <c r="A697" s="117">
        <v>3</v>
      </c>
      <c r="B697" s="118"/>
      <c r="C697" s="118" t="s">
        <v>227</v>
      </c>
      <c r="D697" s="118"/>
      <c r="E697" s="117">
        <v>3</v>
      </c>
      <c r="F697" s="119"/>
      <c r="G697" s="120"/>
      <c r="H697" s="121"/>
      <c r="I697" s="122"/>
      <c r="J697" s="123"/>
      <c r="K697" s="121"/>
    </row>
    <row r="698" spans="1:11">
      <c r="A698" s="117">
        <v>4</v>
      </c>
      <c r="B698" s="118"/>
      <c r="C698" s="118" t="s">
        <v>227</v>
      </c>
      <c r="D698" s="118"/>
      <c r="E698" s="117">
        <v>4</v>
      </c>
      <c r="F698" s="119"/>
      <c r="G698" s="120"/>
      <c r="H698" s="121"/>
      <c r="I698" s="125"/>
      <c r="J698" s="123"/>
      <c r="K698" s="121"/>
    </row>
    <row r="699" spans="1:11">
      <c r="A699" s="117">
        <v>5</v>
      </c>
      <c r="B699" s="118"/>
      <c r="C699" s="118" t="s">
        <v>227</v>
      </c>
      <c r="D699" s="118"/>
      <c r="E699" s="117">
        <v>5</v>
      </c>
      <c r="F699" s="119"/>
      <c r="G699" s="123"/>
      <c r="H699" s="121"/>
      <c r="I699" s="125"/>
      <c r="J699" s="123"/>
      <c r="K699" s="121"/>
    </row>
    <row r="700" spans="1:11">
      <c r="A700" s="8">
        <v>6</v>
      </c>
      <c r="C700" s="9" t="s">
        <v>190</v>
      </c>
      <c r="E700" s="8">
        <v>6</v>
      </c>
      <c r="F700" s="10"/>
      <c r="G700" s="153">
        <f>7.96-1+1.88+43.9+38.57+80.55+7.29+0.64+1.15+89-65.27</f>
        <v>204.67000000000002</v>
      </c>
      <c r="H700" s="145">
        <f>17493147.926428+7661212-6310147.6</f>
        <v>18844212.326428004</v>
      </c>
      <c r="I700" s="30"/>
      <c r="J700" s="153">
        <f>K700/((H700*1/G700))+88</f>
        <v>328.63159075554927</v>
      </c>
      <c r="K700" s="145">
        <f>20258082.71+8207304-6310147.6</f>
        <v>22155239.109999999</v>
      </c>
    </row>
    <row r="701" spans="1:11">
      <c r="A701" s="8">
        <v>7</v>
      </c>
      <c r="C701" s="9" t="s">
        <v>191</v>
      </c>
      <c r="E701" s="8">
        <v>7</v>
      </c>
      <c r="F701" s="10"/>
      <c r="G701" s="104"/>
      <c r="H701" s="145">
        <f>5304595.9062+2528200-1709355.81</f>
        <v>6123440.0962000005</v>
      </c>
      <c r="I701" s="85"/>
      <c r="J701" s="104"/>
      <c r="K701" s="145">
        <f>5222969.61+2790483-1709355.81</f>
        <v>6304096.8000000007</v>
      </c>
    </row>
    <row r="702" spans="1:11">
      <c r="A702" s="8">
        <v>8</v>
      </c>
      <c r="C702" s="9" t="s">
        <v>192</v>
      </c>
      <c r="E702" s="8">
        <v>8</v>
      </c>
      <c r="F702" s="10"/>
      <c r="G702" s="104">
        <f>SUM(G700:G701)</f>
        <v>204.67000000000002</v>
      </c>
      <c r="H702" s="103">
        <f>SUM(H700:H701)</f>
        <v>24967652.422628004</v>
      </c>
      <c r="I702" s="85"/>
      <c r="J702" s="104">
        <f>SUM(J700:J701)</f>
        <v>328.63159075554927</v>
      </c>
      <c r="K702" s="103">
        <f>SUM(K700:K701)</f>
        <v>28459335.91</v>
      </c>
    </row>
    <row r="703" spans="1:11">
      <c r="A703" s="8">
        <v>9</v>
      </c>
      <c r="C703" s="9"/>
      <c r="E703" s="8">
        <v>9</v>
      </c>
      <c r="F703" s="10"/>
      <c r="G703" s="114"/>
      <c r="H703" s="103"/>
      <c r="I703" s="29"/>
      <c r="J703" s="104"/>
      <c r="K703" s="103"/>
    </row>
    <row r="704" spans="1:11">
      <c r="A704" s="8">
        <v>10</v>
      </c>
      <c r="C704" s="9"/>
      <c r="E704" s="8">
        <v>10</v>
      </c>
      <c r="F704" s="10"/>
      <c r="G704" s="114"/>
      <c r="H704" s="103"/>
      <c r="I704" s="30"/>
      <c r="J704" s="104"/>
      <c r="K704" s="103"/>
    </row>
    <row r="705" spans="1:11">
      <c r="A705" s="8">
        <v>11</v>
      </c>
      <c r="C705" s="9" t="s">
        <v>174</v>
      </c>
      <c r="E705" s="8">
        <v>11</v>
      </c>
      <c r="G705" s="153">
        <f>1+38.78+3-14.35</f>
        <v>28.43</v>
      </c>
      <c r="H705" s="143">
        <f>2586645.8653+142742-933057.75</f>
        <v>1796330.1153000002</v>
      </c>
      <c r="I705" s="29"/>
      <c r="J705" s="153">
        <f>K705/((H705*1/G705))+3</f>
        <v>33.117092474377884</v>
      </c>
      <c r="K705" s="146">
        <f>2691898.65+144087-933057.75</f>
        <v>1902927.9</v>
      </c>
    </row>
    <row r="706" spans="1:11">
      <c r="A706" s="8">
        <v>12</v>
      </c>
      <c r="C706" s="9" t="s">
        <v>175</v>
      </c>
      <c r="E706" s="8">
        <v>12</v>
      </c>
      <c r="G706" s="115"/>
      <c r="H706" s="146">
        <f>1008859.6437+47105-325095.47</f>
        <v>730869.17369999993</v>
      </c>
      <c r="I706" s="30"/>
      <c r="J706" s="99"/>
      <c r="K706" s="146">
        <f>1005014.21+48989-325095.47</f>
        <v>728907.74</v>
      </c>
    </row>
    <row r="707" spans="1:11">
      <c r="A707" s="8">
        <v>13</v>
      </c>
      <c r="C707" s="9" t="s">
        <v>193</v>
      </c>
      <c r="E707" s="8">
        <v>13</v>
      </c>
      <c r="F707" s="10"/>
      <c r="G707" s="104">
        <f>SUM(G705:G706)</f>
        <v>28.43</v>
      </c>
      <c r="H707" s="103">
        <f>SUM(H705:H706)</f>
        <v>2527199.2889999999</v>
      </c>
      <c r="I707" s="85"/>
      <c r="J707" s="104">
        <f>SUM(J705:J706)</f>
        <v>33.117092474377884</v>
      </c>
      <c r="K707" s="103">
        <f>SUM(K705:K706)</f>
        <v>2631835.6399999997</v>
      </c>
    </row>
    <row r="708" spans="1:11">
      <c r="A708" s="8">
        <v>14</v>
      </c>
      <c r="E708" s="8">
        <v>14</v>
      </c>
      <c r="F708" s="10"/>
      <c r="G708" s="104"/>
      <c r="H708" s="103"/>
      <c r="I708" s="85"/>
      <c r="J708" s="104"/>
      <c r="K708" s="103"/>
    </row>
    <row r="709" spans="1:11">
      <c r="A709" s="8">
        <v>15</v>
      </c>
      <c r="C709" s="9" t="s">
        <v>177</v>
      </c>
      <c r="E709" s="8">
        <v>15</v>
      </c>
      <c r="F709" s="10"/>
      <c r="G709" s="104">
        <f>G702+G707</f>
        <v>233.10000000000002</v>
      </c>
      <c r="H709" s="103">
        <f>H702+H707</f>
        <v>27494851.711628005</v>
      </c>
      <c r="I709" s="85"/>
      <c r="J709" s="104">
        <f>J702+J707</f>
        <v>361.74868322992717</v>
      </c>
      <c r="K709" s="103">
        <f>K702+K707</f>
        <v>31091171.550000001</v>
      </c>
    </row>
    <row r="710" spans="1:11">
      <c r="A710" s="8">
        <v>16</v>
      </c>
      <c r="E710" s="8">
        <v>16</v>
      </c>
      <c r="F710" s="10"/>
      <c r="G710" s="114"/>
      <c r="H710" s="103"/>
      <c r="I710" s="85"/>
      <c r="J710" s="104"/>
      <c r="K710" s="103"/>
    </row>
    <row r="711" spans="1:11" s="36" customFormat="1">
      <c r="A711" s="8">
        <v>17</v>
      </c>
      <c r="B711" s="137"/>
      <c r="C711" s="9" t="s">
        <v>178</v>
      </c>
      <c r="D711" s="137"/>
      <c r="E711" s="8">
        <v>17</v>
      </c>
      <c r="F711" s="10"/>
      <c r="G711" s="114"/>
      <c r="H711" s="145">
        <f>156239.413+66307+4785</f>
        <v>227331.413</v>
      </c>
      <c r="I711" s="85"/>
      <c r="J711" s="104"/>
      <c r="K711" s="145">
        <f>125708.8+71183+4832</f>
        <v>201723.8</v>
      </c>
    </row>
    <row r="712" spans="1:11" s="36" customFormat="1">
      <c r="A712" s="8">
        <v>18</v>
      </c>
      <c r="B712" s="137"/>
      <c r="C712" s="9"/>
      <c r="D712" s="137"/>
      <c r="E712" s="8">
        <v>18</v>
      </c>
      <c r="F712" s="10"/>
      <c r="G712" s="114"/>
      <c r="H712" s="103"/>
      <c r="I712" s="85"/>
      <c r="J712" s="104"/>
      <c r="K712" s="103"/>
    </row>
    <row r="713" spans="1:11">
      <c r="A713" s="8">
        <v>19</v>
      </c>
      <c r="C713" s="9" t="s">
        <v>179</v>
      </c>
      <c r="E713" s="8">
        <v>19</v>
      </c>
      <c r="F713" s="10"/>
      <c r="G713" s="114"/>
      <c r="H713" s="145">
        <v>190061.42180000001</v>
      </c>
      <c r="I713" s="85"/>
      <c r="J713" s="104"/>
      <c r="K713" s="145"/>
    </row>
    <row r="714" spans="1:11">
      <c r="A714" s="8">
        <v>20</v>
      </c>
      <c r="C714" s="9" t="s">
        <v>180</v>
      </c>
      <c r="E714" s="8">
        <v>20</v>
      </c>
      <c r="F714" s="10"/>
      <c r="G714" s="114"/>
      <c r="H714" s="145">
        <f>10070033.12514-10450350+9277656.63-2000000-704610.07</f>
        <v>6192729.6851400007</v>
      </c>
      <c r="I714" s="213"/>
      <c r="J714" s="104"/>
      <c r="K714" s="145">
        <f>11245417.66-11266879-55839-2000000+9277656.63</f>
        <v>7200356.290000001</v>
      </c>
    </row>
    <row r="715" spans="1:11">
      <c r="A715" s="8">
        <v>21</v>
      </c>
      <c r="C715" s="9"/>
      <c r="E715" s="8">
        <v>21</v>
      </c>
      <c r="F715" s="10"/>
      <c r="G715" s="114"/>
      <c r="H715" s="103"/>
      <c r="I715" s="85"/>
      <c r="J715" s="104"/>
      <c r="K715" s="103"/>
    </row>
    <row r="716" spans="1:11">
      <c r="A716" s="8">
        <v>22</v>
      </c>
      <c r="C716" s="9"/>
      <c r="E716" s="8">
        <v>22</v>
      </c>
      <c r="F716" s="10"/>
      <c r="G716" s="114"/>
      <c r="H716" s="103"/>
      <c r="I716" s="85"/>
      <c r="J716" s="104"/>
      <c r="K716" s="103"/>
    </row>
    <row r="717" spans="1:11">
      <c r="A717" s="8">
        <v>23</v>
      </c>
      <c r="C717" s="9" t="s">
        <v>194</v>
      </c>
      <c r="E717" s="8">
        <v>23</v>
      </c>
      <c r="F717" s="10"/>
      <c r="G717" s="114"/>
      <c r="H717" s="145">
        <v>2550641.1542000002</v>
      </c>
      <c r="I717" s="85"/>
      <c r="J717" s="104"/>
      <c r="K717" s="145"/>
    </row>
    <row r="718" spans="1:11">
      <c r="A718" s="8">
        <v>24</v>
      </c>
      <c r="C718" s="9"/>
      <c r="E718" s="8">
        <v>24</v>
      </c>
      <c r="F718" s="10"/>
      <c r="G718" s="114"/>
      <c r="H718" s="103"/>
      <c r="I718" s="85"/>
      <c r="J718" s="104"/>
      <c r="K718" s="103"/>
    </row>
    <row r="719" spans="1:11">
      <c r="E719" s="35"/>
      <c r="F719" s="70" t="s">
        <v>6</v>
      </c>
      <c r="G719" s="21" t="s">
        <v>6</v>
      </c>
      <c r="H719" s="21" t="s">
        <v>6</v>
      </c>
      <c r="I719" s="70" t="s">
        <v>6</v>
      </c>
      <c r="J719" s="21" t="s">
        <v>6</v>
      </c>
      <c r="K719" s="21" t="s">
        <v>6</v>
      </c>
    </row>
    <row r="720" spans="1:11">
      <c r="A720" s="8">
        <v>25</v>
      </c>
      <c r="C720" s="9" t="s">
        <v>204</v>
      </c>
      <c r="E720" s="8">
        <v>25</v>
      </c>
      <c r="G720" s="99">
        <f>SUM(G709:G719)</f>
        <v>233.10000000000002</v>
      </c>
      <c r="H720" s="99">
        <f>SUM(H709:H719)</f>
        <v>36655615.385768004</v>
      </c>
      <c r="I720" s="100"/>
      <c r="J720" s="99">
        <f>SUM(J709:J719)</f>
        <v>361.74868322992717</v>
      </c>
      <c r="K720" s="99">
        <f>SUM(K709:K719)</f>
        <v>38493251.640000001</v>
      </c>
    </row>
    <row r="721" spans="1:11">
      <c r="E721" s="35"/>
      <c r="F721" s="70" t="s">
        <v>6</v>
      </c>
      <c r="G721" s="20" t="s">
        <v>6</v>
      </c>
      <c r="H721" s="21" t="s">
        <v>6</v>
      </c>
      <c r="I721" s="70" t="s">
        <v>6</v>
      </c>
      <c r="J721" s="20" t="s">
        <v>6</v>
      </c>
      <c r="K721" s="21" t="s">
        <v>6</v>
      </c>
    </row>
    <row r="722" spans="1:11">
      <c r="C722" s="137" t="s">
        <v>49</v>
      </c>
    </row>
    <row r="725" spans="1:11">
      <c r="A725" s="16" t="str">
        <f>$A$83</f>
        <v xml:space="preserve">Institution No.:  </v>
      </c>
      <c r="B725" s="36"/>
      <c r="C725" s="36"/>
      <c r="D725" s="36"/>
      <c r="E725" s="37"/>
      <c r="F725" s="36"/>
      <c r="G725" s="38"/>
      <c r="H725" s="39"/>
      <c r="I725" s="36"/>
      <c r="J725" s="38"/>
      <c r="K725" s="15" t="s">
        <v>205</v>
      </c>
    </row>
    <row r="726" spans="1:11">
      <c r="A726" s="229" t="s">
        <v>206</v>
      </c>
      <c r="B726" s="229"/>
      <c r="C726" s="229"/>
      <c r="D726" s="229"/>
      <c r="E726" s="229"/>
      <c r="F726" s="229"/>
      <c r="G726" s="229"/>
      <c r="H726" s="229"/>
      <c r="I726" s="229"/>
      <c r="J726" s="229"/>
      <c r="K726" s="229"/>
    </row>
    <row r="727" spans="1:11">
      <c r="A727" s="16" t="str">
        <f>$A$42</f>
        <v xml:space="preserve">NAME: </v>
      </c>
      <c r="C727" s="137" t="str">
        <f>$D$20</f>
        <v>University of Colorado</v>
      </c>
      <c r="F727" s="72"/>
      <c r="G727" s="66"/>
      <c r="H727" s="67"/>
      <c r="J727" s="14"/>
      <c r="K727" s="18" t="str">
        <f>$K$3</f>
        <v>Date: October 09, 2017</v>
      </c>
    </row>
    <row r="728" spans="1:11">
      <c r="A728" s="19" t="s">
        <v>6</v>
      </c>
      <c r="B728" s="19" t="s">
        <v>6</v>
      </c>
      <c r="C728" s="19" t="s">
        <v>6</v>
      </c>
      <c r="D728" s="19" t="s">
        <v>6</v>
      </c>
      <c r="E728" s="19" t="s">
        <v>6</v>
      </c>
      <c r="F728" s="19" t="s">
        <v>6</v>
      </c>
      <c r="G728" s="20" t="s">
        <v>6</v>
      </c>
      <c r="H728" s="21" t="s">
        <v>6</v>
      </c>
      <c r="I728" s="19" t="s">
        <v>6</v>
      </c>
      <c r="J728" s="20" t="s">
        <v>6</v>
      </c>
      <c r="K728" s="21" t="s">
        <v>6</v>
      </c>
    </row>
    <row r="729" spans="1:11">
      <c r="A729" s="22" t="s">
        <v>7</v>
      </c>
      <c r="E729" s="22" t="s">
        <v>7</v>
      </c>
      <c r="F729" s="23"/>
      <c r="G729" s="24"/>
      <c r="H729" s="25" t="str">
        <f>H692</f>
        <v>2016-17</v>
      </c>
      <c r="I729" s="23"/>
      <c r="J729" s="24"/>
      <c r="K729" s="25" t="str">
        <f>K692</f>
        <v>2017-18</v>
      </c>
    </row>
    <row r="730" spans="1:11">
      <c r="A730" s="22" t="s">
        <v>9</v>
      </c>
      <c r="C730" s="26" t="s">
        <v>51</v>
      </c>
      <c r="E730" s="22" t="s">
        <v>9</v>
      </c>
      <c r="F730" s="23"/>
      <c r="G730" s="24" t="s">
        <v>11</v>
      </c>
      <c r="H730" s="25" t="s">
        <v>12</v>
      </c>
      <c r="I730" s="23"/>
      <c r="J730" s="24" t="s">
        <v>11</v>
      </c>
      <c r="K730" s="25" t="s">
        <v>13</v>
      </c>
    </row>
    <row r="731" spans="1:11">
      <c r="A731" s="19" t="s">
        <v>6</v>
      </c>
      <c r="B731" s="19" t="s">
        <v>6</v>
      </c>
      <c r="C731" s="19" t="s">
        <v>6</v>
      </c>
      <c r="D731" s="19" t="s">
        <v>6</v>
      </c>
      <c r="E731" s="19" t="s">
        <v>6</v>
      </c>
      <c r="F731" s="19" t="s">
        <v>6</v>
      </c>
      <c r="G731" s="20"/>
      <c r="H731" s="21"/>
      <c r="I731" s="19"/>
      <c r="J731" s="20"/>
      <c r="K731" s="21"/>
    </row>
    <row r="732" spans="1:11">
      <c r="A732" s="117">
        <v>1</v>
      </c>
      <c r="B732" s="118"/>
      <c r="C732" s="118" t="s">
        <v>227</v>
      </c>
      <c r="D732" s="118"/>
      <c r="E732" s="117">
        <v>1</v>
      </c>
      <c r="F732" s="119"/>
      <c r="G732" s="120"/>
      <c r="H732" s="121"/>
      <c r="I732" s="122"/>
      <c r="J732" s="123"/>
      <c r="K732" s="124"/>
    </row>
    <row r="733" spans="1:11">
      <c r="A733" s="117">
        <v>2</v>
      </c>
      <c r="B733" s="118"/>
      <c r="C733" s="118" t="s">
        <v>227</v>
      </c>
      <c r="D733" s="118"/>
      <c r="E733" s="117">
        <v>2</v>
      </c>
      <c r="F733" s="119"/>
      <c r="G733" s="120"/>
      <c r="H733" s="121"/>
      <c r="I733" s="122"/>
      <c r="J733" s="123"/>
      <c r="K733" s="121"/>
    </row>
    <row r="734" spans="1:11">
      <c r="A734" s="117">
        <v>3</v>
      </c>
      <c r="B734" s="118"/>
      <c r="C734" s="118" t="s">
        <v>227</v>
      </c>
      <c r="D734" s="118"/>
      <c r="E734" s="117">
        <v>3</v>
      </c>
      <c r="F734" s="119"/>
      <c r="G734" s="120"/>
      <c r="H734" s="121"/>
      <c r="I734" s="122"/>
      <c r="J734" s="123"/>
      <c r="K734" s="121"/>
    </row>
    <row r="735" spans="1:11">
      <c r="A735" s="117">
        <v>4</v>
      </c>
      <c r="B735" s="118"/>
      <c r="C735" s="118" t="s">
        <v>227</v>
      </c>
      <c r="D735" s="118"/>
      <c r="E735" s="117">
        <v>4</v>
      </c>
      <c r="F735" s="119"/>
      <c r="G735" s="120"/>
      <c r="H735" s="121"/>
      <c r="I735" s="125"/>
      <c r="J735" s="123"/>
      <c r="K735" s="121"/>
    </row>
    <row r="736" spans="1:11">
      <c r="A736" s="117">
        <v>5</v>
      </c>
      <c r="B736" s="118"/>
      <c r="C736" s="118" t="s">
        <v>227</v>
      </c>
      <c r="D736" s="118"/>
      <c r="E736" s="117">
        <v>5</v>
      </c>
      <c r="F736" s="119"/>
      <c r="G736" s="120"/>
      <c r="H736" s="121"/>
      <c r="I736" s="125"/>
      <c r="J736" s="123"/>
      <c r="K736" s="121"/>
    </row>
    <row r="737" spans="1:11">
      <c r="A737" s="8">
        <v>6</v>
      </c>
      <c r="C737" s="9" t="s">
        <v>190</v>
      </c>
      <c r="E737" s="8">
        <v>6</v>
      </c>
      <c r="F737" s="10"/>
      <c r="G737" s="214">
        <f>0.27+7.03+20.06+21.17+6.19-0.06-7.08-0.08-2.05-0.03</f>
        <v>45.42</v>
      </c>
      <c r="H737" s="178">
        <f>4744138.4165-4883.76-584271.2-6548.45-169581.49-2480.23</f>
        <v>3976373.2864999999</v>
      </c>
      <c r="I737" s="30"/>
      <c r="J737" s="153">
        <f>K737/((H737*1/G737))</f>
        <v>50.955568430635068</v>
      </c>
      <c r="K737" s="145">
        <f>5210994.3-750000</f>
        <v>4460994.3</v>
      </c>
    </row>
    <row r="738" spans="1:11">
      <c r="A738" s="8">
        <v>7</v>
      </c>
      <c r="C738" s="9" t="s">
        <v>191</v>
      </c>
      <c r="E738" s="8">
        <v>7</v>
      </c>
      <c r="F738" s="10"/>
      <c r="G738" s="114"/>
      <c r="H738" s="178">
        <f>1520168.2723-1369.13-182698.48-54.7-39184.5-22.89</f>
        <v>1296838.5723000003</v>
      </c>
      <c r="I738" s="85"/>
      <c r="J738" s="104"/>
      <c r="K738" s="145">
        <f>1767731.37-250000</f>
        <v>1517731.37</v>
      </c>
    </row>
    <row r="739" spans="1:11">
      <c r="A739" s="8">
        <v>8</v>
      </c>
      <c r="C739" s="9" t="s">
        <v>192</v>
      </c>
      <c r="E739" s="8">
        <v>8</v>
      </c>
      <c r="F739" s="10"/>
      <c r="G739" s="114">
        <f>SUM(G737:G738)</f>
        <v>45.42</v>
      </c>
      <c r="H739" s="179">
        <f>SUM(H737:H738)</f>
        <v>5273211.8588000005</v>
      </c>
      <c r="I739" s="85"/>
      <c r="J739" s="114">
        <f>SUM(J737:J738)</f>
        <v>50.955568430635068</v>
      </c>
      <c r="K739" s="103">
        <f>SUM(K737:K738)</f>
        <v>5978725.6699999999</v>
      </c>
    </row>
    <row r="740" spans="1:11">
      <c r="A740" s="8">
        <v>9</v>
      </c>
      <c r="C740" s="9"/>
      <c r="E740" s="8">
        <v>9</v>
      </c>
      <c r="F740" s="10"/>
      <c r="G740" s="114"/>
      <c r="H740" s="179"/>
      <c r="I740" s="29"/>
      <c r="J740" s="104"/>
      <c r="K740" s="103"/>
    </row>
    <row r="741" spans="1:11">
      <c r="A741" s="8">
        <v>10</v>
      </c>
      <c r="C741" s="9"/>
      <c r="E741" s="8">
        <v>10</v>
      </c>
      <c r="F741" s="10"/>
      <c r="G741" s="114"/>
      <c r="H741" s="179"/>
      <c r="I741" s="30"/>
      <c r="J741" s="104"/>
      <c r="K741" s="103"/>
    </row>
    <row r="742" spans="1:11">
      <c r="A742" s="8">
        <v>11</v>
      </c>
      <c r="C742" s="9" t="s">
        <v>174</v>
      </c>
      <c r="E742" s="8">
        <v>11</v>
      </c>
      <c r="G742" s="143">
        <f>3.6+132.82-10.91-13.06</f>
        <v>112.44999999999999</v>
      </c>
      <c r="H742" s="173">
        <f>7771404.089-582574.02-697204.26</f>
        <v>6491625.8090000004</v>
      </c>
      <c r="I742" s="29"/>
      <c r="J742" s="153">
        <f>K742/((H742*1/G742))</f>
        <v>123.65602548141263</v>
      </c>
      <c r="K742" s="146">
        <f>7838538.43-700000</f>
        <v>7138538.4299999997</v>
      </c>
    </row>
    <row r="743" spans="1:11">
      <c r="A743" s="8">
        <v>12</v>
      </c>
      <c r="C743" s="9" t="s">
        <v>175</v>
      </c>
      <c r="E743" s="8">
        <v>12</v>
      </c>
      <c r="G743" s="115"/>
      <c r="H743" s="173">
        <f>3002172.7216-188384.26-165790.53</f>
        <v>2647997.9316000002</v>
      </c>
      <c r="I743" s="30"/>
      <c r="J743" s="99"/>
      <c r="K743" s="146">
        <f>3499638.31-300000</f>
        <v>3199638.31</v>
      </c>
    </row>
    <row r="744" spans="1:11">
      <c r="A744" s="8">
        <v>13</v>
      </c>
      <c r="C744" s="9" t="s">
        <v>193</v>
      </c>
      <c r="E744" s="8">
        <v>13</v>
      </c>
      <c r="F744" s="10"/>
      <c r="G744" s="114">
        <f>SUM(G742:G743)</f>
        <v>112.44999999999999</v>
      </c>
      <c r="H744" s="179">
        <f>SUM(H742:H743)</f>
        <v>9139623.7406000011</v>
      </c>
      <c r="I744" s="85"/>
      <c r="J744" s="114">
        <f>SUM(J742:J743)</f>
        <v>123.65602548141263</v>
      </c>
      <c r="K744" s="103">
        <f>SUM(K742:K743)</f>
        <v>10338176.74</v>
      </c>
    </row>
    <row r="745" spans="1:11">
      <c r="A745" s="8">
        <v>14</v>
      </c>
      <c r="E745" s="8">
        <v>14</v>
      </c>
      <c r="F745" s="10"/>
      <c r="G745" s="114"/>
      <c r="H745" s="179"/>
      <c r="I745" s="85"/>
      <c r="J745" s="104"/>
      <c r="K745" s="103"/>
    </row>
    <row r="746" spans="1:11" ht="24.75" customHeight="1">
      <c r="A746" s="8">
        <v>15</v>
      </c>
      <c r="C746" s="9" t="s">
        <v>177</v>
      </c>
      <c r="E746" s="8">
        <v>15</v>
      </c>
      <c r="F746" s="10"/>
      <c r="G746" s="114">
        <f>G739+G744</f>
        <v>157.87</v>
      </c>
      <c r="H746" s="179">
        <f>H739+H744</f>
        <v>14412835.599400003</v>
      </c>
      <c r="I746" s="85"/>
      <c r="J746" s="114">
        <f>J739+J744</f>
        <v>174.61159391204768</v>
      </c>
      <c r="K746" s="114">
        <f>K739+K744</f>
        <v>16316902.41</v>
      </c>
    </row>
    <row r="747" spans="1:11" s="82" customFormat="1">
      <c r="A747" s="8">
        <v>16</v>
      </c>
      <c r="B747" s="137"/>
      <c r="C747" s="137"/>
      <c r="D747" s="137"/>
      <c r="E747" s="8">
        <v>16</v>
      </c>
      <c r="F747" s="10"/>
      <c r="G747" s="114"/>
      <c r="H747" s="179"/>
      <c r="I747" s="85"/>
      <c r="J747" s="104"/>
      <c r="K747" s="103"/>
    </row>
    <row r="748" spans="1:11">
      <c r="A748" s="8">
        <v>17</v>
      </c>
      <c r="C748" s="9" t="s">
        <v>178</v>
      </c>
      <c r="E748" s="8">
        <v>17</v>
      </c>
      <c r="F748" s="10"/>
      <c r="G748" s="114"/>
      <c r="H748" s="178">
        <v>97380.502500000002</v>
      </c>
      <c r="I748" s="85"/>
      <c r="J748" s="104"/>
      <c r="K748" s="145">
        <v>27435.010000000002</v>
      </c>
    </row>
    <row r="749" spans="1:11">
      <c r="A749" s="8">
        <v>18</v>
      </c>
      <c r="C749" s="9"/>
      <c r="E749" s="8">
        <v>18</v>
      </c>
      <c r="F749" s="10"/>
      <c r="G749" s="114"/>
      <c r="H749" s="179"/>
      <c r="I749" s="85"/>
      <c r="J749" s="104"/>
      <c r="K749" s="103"/>
    </row>
    <row r="750" spans="1:11" s="36" customFormat="1">
      <c r="A750" s="8">
        <v>19</v>
      </c>
      <c r="B750" s="137"/>
      <c r="C750" s="9" t="s">
        <v>179</v>
      </c>
      <c r="D750" s="137"/>
      <c r="E750" s="8">
        <v>19</v>
      </c>
      <c r="F750" s="10"/>
      <c r="G750" s="114"/>
      <c r="H750" s="178">
        <v>103880.28419999999</v>
      </c>
      <c r="I750" s="85"/>
      <c r="J750" s="104"/>
      <c r="K750" s="145">
        <v>20431.800000000003</v>
      </c>
    </row>
    <row r="751" spans="1:11" s="36" customFormat="1">
      <c r="A751" s="8">
        <v>20</v>
      </c>
      <c r="B751" s="137"/>
      <c r="C751" s="9" t="s">
        <v>180</v>
      </c>
      <c r="D751" s="137"/>
      <c r="E751" s="8">
        <v>20</v>
      </c>
      <c r="F751" s="10"/>
      <c r="G751" s="114"/>
      <c r="H751" s="178">
        <f>466956.735199999+-1458045.67+4883.76+584271.2+582574.02+6548.45+1369.13+182698.48+188384.26+54.7+169581.49+697204.26+2480.23+39184.5+165790.53+22.89</f>
        <v>1633958.965199999</v>
      </c>
      <c r="I751" s="85"/>
      <c r="J751" s="104"/>
      <c r="K751" s="145">
        <f>2633643.55-1468008</f>
        <v>1165635.5499999998</v>
      </c>
    </row>
    <row r="752" spans="1:11">
      <c r="A752" s="8">
        <v>21</v>
      </c>
      <c r="C752" s="9" t="s">
        <v>225</v>
      </c>
      <c r="E752" s="8">
        <v>21</v>
      </c>
      <c r="F752" s="10"/>
      <c r="G752" s="114"/>
      <c r="H752" s="178">
        <v>3913690.8498499971</v>
      </c>
      <c r="I752" s="85"/>
      <c r="J752" s="104"/>
      <c r="K752" s="145">
        <f>4403675</f>
        <v>4403675</v>
      </c>
    </row>
    <row r="753" spans="1:11">
      <c r="A753" s="8">
        <v>22</v>
      </c>
      <c r="C753" s="9"/>
      <c r="E753" s="8">
        <v>22</v>
      </c>
      <c r="F753" s="10"/>
      <c r="G753" s="114"/>
      <c r="H753" s="179"/>
      <c r="I753" s="85"/>
      <c r="J753" s="104"/>
      <c r="K753" s="103"/>
    </row>
    <row r="754" spans="1:11">
      <c r="A754" s="8">
        <v>23</v>
      </c>
      <c r="C754" s="9" t="s">
        <v>194</v>
      </c>
      <c r="E754" s="8">
        <v>23</v>
      </c>
      <c r="F754" s="10"/>
      <c r="G754" s="114"/>
      <c r="H754" s="178">
        <v>524214.01080000005</v>
      </c>
      <c r="I754" s="85"/>
      <c r="J754" s="104"/>
      <c r="K754" s="145"/>
    </row>
    <row r="755" spans="1:11">
      <c r="A755" s="8">
        <v>24</v>
      </c>
      <c r="C755" s="9"/>
      <c r="E755" s="8">
        <v>24</v>
      </c>
      <c r="F755" s="10"/>
      <c r="G755" s="114"/>
      <c r="H755" s="103"/>
      <c r="I755" s="85"/>
      <c r="J755" s="104"/>
      <c r="K755" s="103"/>
    </row>
    <row r="756" spans="1:11">
      <c r="E756" s="35"/>
      <c r="F756" s="70" t="s">
        <v>6</v>
      </c>
      <c r="G756" s="21" t="s">
        <v>6</v>
      </c>
      <c r="H756" s="21" t="s">
        <v>6</v>
      </c>
      <c r="I756" s="70" t="s">
        <v>6</v>
      </c>
      <c r="J756" s="21" t="s">
        <v>6</v>
      </c>
      <c r="K756" s="21" t="s">
        <v>6</v>
      </c>
    </row>
    <row r="757" spans="1:11">
      <c r="A757" s="8">
        <v>25</v>
      </c>
      <c r="C757" s="9" t="s">
        <v>207</v>
      </c>
      <c r="E757" s="8">
        <v>25</v>
      </c>
      <c r="G757" s="99">
        <f>SUM(G746:G756)</f>
        <v>157.87</v>
      </c>
      <c r="H757" s="100">
        <f>SUM(H746:H756)</f>
        <v>20685960.21195</v>
      </c>
      <c r="I757" s="100"/>
      <c r="J757" s="99">
        <f>SUM(J746:J756)</f>
        <v>174.61159391204768</v>
      </c>
      <c r="K757" s="100">
        <f>SUM(K746:K756)</f>
        <v>21934079.77</v>
      </c>
    </row>
    <row r="758" spans="1:11">
      <c r="E758" s="35"/>
      <c r="F758" s="70" t="s">
        <v>6</v>
      </c>
      <c r="G758" s="20" t="s">
        <v>6</v>
      </c>
      <c r="H758" s="21" t="s">
        <v>6</v>
      </c>
      <c r="I758" s="70" t="s">
        <v>6</v>
      </c>
      <c r="J758" s="20" t="s">
        <v>6</v>
      </c>
      <c r="K758" s="21" t="s">
        <v>6</v>
      </c>
    </row>
    <row r="759" spans="1:11">
      <c r="C759" s="137" t="s">
        <v>49</v>
      </c>
      <c r="E759" s="35"/>
      <c r="F759" s="70"/>
      <c r="G759" s="20"/>
      <c r="H759" s="21"/>
      <c r="I759" s="70"/>
      <c r="J759" s="20"/>
      <c r="K759" s="21"/>
    </row>
    <row r="760" spans="1:11">
      <c r="J760" s="2">
        <f>+K757-H757</f>
        <v>1248119.5580499992</v>
      </c>
    </row>
    <row r="761" spans="1:11">
      <c r="A761" s="9"/>
    </row>
    <row r="762" spans="1:11">
      <c r="A762" s="16" t="str">
        <f>$A$83</f>
        <v xml:space="preserve">Institution No.:  </v>
      </c>
      <c r="B762" s="36"/>
      <c r="C762" s="36"/>
      <c r="D762" s="36"/>
      <c r="E762" s="37"/>
      <c r="F762" s="36"/>
      <c r="G762" s="38"/>
      <c r="H762" s="39"/>
      <c r="I762" s="36"/>
      <c r="J762" s="38"/>
      <c r="K762" s="15" t="s">
        <v>208</v>
      </c>
    </row>
    <row r="763" spans="1:11">
      <c r="A763" s="229" t="s">
        <v>209</v>
      </c>
      <c r="B763" s="229"/>
      <c r="C763" s="229"/>
      <c r="D763" s="229"/>
      <c r="E763" s="229"/>
      <c r="F763" s="229"/>
      <c r="G763" s="229"/>
      <c r="H763" s="229"/>
      <c r="I763" s="229"/>
      <c r="J763" s="229"/>
      <c r="K763" s="229"/>
    </row>
    <row r="764" spans="1:11">
      <c r="A764" s="16" t="str">
        <f>$A$42</f>
        <v xml:space="preserve">NAME: </v>
      </c>
      <c r="C764" s="137" t="str">
        <f>$D$20</f>
        <v>University of Colorado</v>
      </c>
      <c r="F764" s="72"/>
      <c r="G764" s="66"/>
      <c r="H764" s="67"/>
      <c r="J764" s="14"/>
      <c r="K764" s="18" t="str">
        <f>$K$3</f>
        <v>Date: October 09, 2017</v>
      </c>
    </row>
    <row r="765" spans="1:11">
      <c r="A765" s="19" t="s">
        <v>6</v>
      </c>
      <c r="B765" s="19" t="s">
        <v>6</v>
      </c>
      <c r="C765" s="19" t="s">
        <v>6</v>
      </c>
      <c r="D765" s="19" t="s">
        <v>6</v>
      </c>
      <c r="E765" s="19" t="s">
        <v>6</v>
      </c>
      <c r="F765" s="19" t="s">
        <v>6</v>
      </c>
      <c r="G765" s="20" t="s">
        <v>6</v>
      </c>
      <c r="H765" s="21" t="s">
        <v>6</v>
      </c>
      <c r="I765" s="19" t="s">
        <v>6</v>
      </c>
      <c r="J765" s="20" t="s">
        <v>6</v>
      </c>
      <c r="K765" s="21" t="s">
        <v>6</v>
      </c>
    </row>
    <row r="766" spans="1:11">
      <c r="A766" s="22" t="s">
        <v>7</v>
      </c>
      <c r="E766" s="22" t="s">
        <v>7</v>
      </c>
      <c r="F766" s="23"/>
      <c r="G766" s="24"/>
      <c r="H766" s="25" t="str">
        <f>+H729</f>
        <v>2016-17</v>
      </c>
      <c r="I766" s="23"/>
      <c r="J766" s="24"/>
      <c r="K766" s="25" t="str">
        <f>+K729</f>
        <v>2017-18</v>
      </c>
    </row>
    <row r="767" spans="1:11">
      <c r="A767" s="22" t="s">
        <v>9</v>
      </c>
      <c r="C767" s="26" t="s">
        <v>51</v>
      </c>
      <c r="E767" s="22" t="s">
        <v>9</v>
      </c>
      <c r="G767" s="14"/>
      <c r="H767" s="25" t="s">
        <v>12</v>
      </c>
      <c r="J767" s="14"/>
      <c r="K767" s="25" t="s">
        <v>13</v>
      </c>
    </row>
    <row r="768" spans="1:11">
      <c r="A768" s="19" t="s">
        <v>6</v>
      </c>
      <c r="B768" s="19" t="s">
        <v>6</v>
      </c>
      <c r="C768" s="19" t="s">
        <v>6</v>
      </c>
      <c r="D768" s="19" t="s">
        <v>6</v>
      </c>
      <c r="E768" s="19" t="s">
        <v>6</v>
      </c>
      <c r="F768" s="19" t="s">
        <v>6</v>
      </c>
      <c r="G768" s="20" t="s">
        <v>6</v>
      </c>
      <c r="H768" s="21" t="s">
        <v>6</v>
      </c>
      <c r="I768" s="19" t="s">
        <v>6</v>
      </c>
      <c r="J768" s="20" t="s">
        <v>6</v>
      </c>
      <c r="K768" s="21" t="s">
        <v>6</v>
      </c>
    </row>
    <row r="769" spans="1:11">
      <c r="A769" s="8">
        <v>1</v>
      </c>
      <c r="C769" s="9" t="s">
        <v>210</v>
      </c>
      <c r="E769" s="8">
        <v>1</v>
      </c>
      <c r="F769" s="10"/>
      <c r="G769" s="110"/>
      <c r="H769" s="156">
        <v>2157023.8499999996</v>
      </c>
      <c r="I769" s="110"/>
      <c r="J769" s="110"/>
      <c r="K769" s="156">
        <v>1634556</v>
      </c>
    </row>
    <row r="770" spans="1:11">
      <c r="A770" s="8">
        <f t="shared" ref="A770:A787" si="3">(A769+1)</f>
        <v>2</v>
      </c>
      <c r="C770" s="10"/>
      <c r="E770" s="8">
        <f t="shared" ref="E770:E787" si="4">(E769+1)</f>
        <v>2</v>
      </c>
      <c r="F770" s="10"/>
      <c r="G770" s="11"/>
      <c r="H770" s="12"/>
      <c r="I770" s="10"/>
      <c r="J770" s="11"/>
      <c r="K770" s="12"/>
    </row>
    <row r="771" spans="1:11">
      <c r="A771" s="8">
        <f t="shared" si="3"/>
        <v>3</v>
      </c>
      <c r="C771" s="10"/>
      <c r="E771" s="8">
        <f t="shared" si="4"/>
        <v>3</v>
      </c>
      <c r="F771" s="10"/>
      <c r="G771" s="11"/>
      <c r="H771" s="12"/>
      <c r="I771" s="10"/>
      <c r="J771" s="11"/>
      <c r="K771" s="12"/>
    </row>
    <row r="772" spans="1:11">
      <c r="A772" s="8">
        <f t="shared" si="3"/>
        <v>4</v>
      </c>
      <c r="C772" s="10"/>
      <c r="E772" s="8">
        <f t="shared" si="4"/>
        <v>4</v>
      </c>
      <c r="F772" s="10"/>
      <c r="G772" s="11"/>
      <c r="H772" s="12"/>
      <c r="I772" s="10"/>
      <c r="J772" s="11"/>
      <c r="K772" s="12"/>
    </row>
    <row r="773" spans="1:11">
      <c r="A773" s="8">
        <f t="shared" si="3"/>
        <v>5</v>
      </c>
      <c r="C773" s="10"/>
      <c r="E773" s="8">
        <f t="shared" si="4"/>
        <v>5</v>
      </c>
      <c r="F773" s="10"/>
      <c r="G773" s="11"/>
      <c r="H773" s="12"/>
      <c r="I773" s="10"/>
      <c r="J773" s="11"/>
      <c r="K773" s="12"/>
    </row>
    <row r="774" spans="1:11">
      <c r="A774" s="8">
        <f t="shared" si="3"/>
        <v>6</v>
      </c>
      <c r="C774" s="10"/>
      <c r="E774" s="8">
        <f t="shared" si="4"/>
        <v>6</v>
      </c>
      <c r="F774" s="10"/>
      <c r="G774" s="11"/>
      <c r="H774" s="12"/>
      <c r="I774" s="10"/>
      <c r="J774" s="11"/>
      <c r="K774" s="12"/>
    </row>
    <row r="775" spans="1:11">
      <c r="A775" s="8">
        <f t="shared" si="3"/>
        <v>7</v>
      </c>
      <c r="C775" s="10"/>
      <c r="E775" s="8">
        <f t="shared" si="4"/>
        <v>7</v>
      </c>
      <c r="F775" s="10"/>
      <c r="G775" s="11"/>
      <c r="H775" s="12"/>
      <c r="I775" s="10"/>
      <c r="J775" s="11"/>
      <c r="K775" s="12"/>
    </row>
    <row r="776" spans="1:11">
      <c r="A776" s="8">
        <f t="shared" si="3"/>
        <v>8</v>
      </c>
      <c r="C776" s="10"/>
      <c r="E776" s="8">
        <f t="shared" si="4"/>
        <v>8</v>
      </c>
      <c r="F776" s="10"/>
      <c r="G776" s="11"/>
      <c r="H776" s="12"/>
      <c r="I776" s="10"/>
      <c r="J776" s="11"/>
      <c r="K776" s="12"/>
    </row>
    <row r="777" spans="1:11">
      <c r="A777" s="8">
        <f t="shared" si="3"/>
        <v>9</v>
      </c>
      <c r="C777" s="10"/>
      <c r="E777" s="8">
        <f t="shared" si="4"/>
        <v>9</v>
      </c>
      <c r="F777" s="10"/>
      <c r="G777" s="11"/>
      <c r="H777" s="12"/>
      <c r="I777" s="10"/>
      <c r="J777" s="11"/>
      <c r="K777" s="12"/>
    </row>
    <row r="778" spans="1:11">
      <c r="A778" s="8">
        <f t="shared" si="3"/>
        <v>10</v>
      </c>
      <c r="C778" s="10"/>
      <c r="E778" s="8">
        <f t="shared" si="4"/>
        <v>10</v>
      </c>
      <c r="F778" s="10"/>
      <c r="G778" s="11"/>
      <c r="H778" s="12"/>
      <c r="I778" s="10"/>
      <c r="J778" s="11"/>
      <c r="K778" s="12"/>
    </row>
    <row r="779" spans="1:11">
      <c r="A779" s="8">
        <f t="shared" si="3"/>
        <v>11</v>
      </c>
      <c r="C779" s="10"/>
      <c r="E779" s="8">
        <f t="shared" si="4"/>
        <v>11</v>
      </c>
      <c r="G779" s="11"/>
      <c r="H779" s="12"/>
      <c r="I779" s="10"/>
      <c r="J779" s="11"/>
      <c r="K779" s="12"/>
    </row>
    <row r="780" spans="1:11">
      <c r="A780" s="8">
        <f t="shared" si="3"/>
        <v>12</v>
      </c>
      <c r="C780" s="10"/>
      <c r="E780" s="8">
        <f t="shared" si="4"/>
        <v>12</v>
      </c>
      <c r="G780" s="11"/>
      <c r="H780" s="12"/>
      <c r="I780" s="10"/>
      <c r="J780" s="11"/>
      <c r="K780" s="12"/>
    </row>
    <row r="781" spans="1:11">
      <c r="A781" s="8">
        <f t="shared" si="3"/>
        <v>13</v>
      </c>
      <c r="C781" s="10"/>
      <c r="E781" s="8">
        <f t="shared" si="4"/>
        <v>13</v>
      </c>
      <c r="F781" s="10"/>
      <c r="G781" s="11"/>
      <c r="H781" s="12"/>
      <c r="I781" s="10"/>
      <c r="J781" s="11"/>
      <c r="K781" s="12"/>
    </row>
    <row r="782" spans="1:11">
      <c r="A782" s="8">
        <f t="shared" si="3"/>
        <v>14</v>
      </c>
      <c r="C782" s="10"/>
      <c r="E782" s="8">
        <f t="shared" si="4"/>
        <v>14</v>
      </c>
      <c r="F782" s="10"/>
      <c r="G782" s="11"/>
      <c r="H782" s="12"/>
      <c r="I782" s="10"/>
      <c r="J782" s="11"/>
      <c r="K782" s="12"/>
    </row>
    <row r="783" spans="1:11">
      <c r="A783" s="8">
        <f t="shared" si="3"/>
        <v>15</v>
      </c>
      <c r="C783" s="10"/>
      <c r="E783" s="8">
        <f t="shared" si="4"/>
        <v>15</v>
      </c>
      <c r="F783" s="10"/>
      <c r="G783" s="11"/>
      <c r="H783" s="12"/>
      <c r="I783" s="10"/>
      <c r="J783" s="11"/>
      <c r="K783" s="12"/>
    </row>
    <row r="784" spans="1:11">
      <c r="A784" s="8">
        <f t="shared" si="3"/>
        <v>16</v>
      </c>
      <c r="C784" s="10"/>
      <c r="E784" s="8">
        <f t="shared" si="4"/>
        <v>16</v>
      </c>
      <c r="F784" s="10"/>
      <c r="G784" s="11"/>
      <c r="H784" s="12"/>
      <c r="I784" s="10"/>
      <c r="J784" s="11"/>
      <c r="K784" s="12"/>
    </row>
    <row r="785" spans="1:11">
      <c r="A785" s="8">
        <f t="shared" si="3"/>
        <v>17</v>
      </c>
      <c r="C785" s="10"/>
      <c r="E785" s="8">
        <f t="shared" si="4"/>
        <v>17</v>
      </c>
      <c r="F785" s="10"/>
      <c r="G785" s="11"/>
      <c r="H785" s="12"/>
      <c r="I785" s="10"/>
      <c r="J785" s="11"/>
      <c r="K785" s="12"/>
    </row>
    <row r="786" spans="1:11">
      <c r="A786" s="8">
        <f t="shared" si="3"/>
        <v>18</v>
      </c>
      <c r="C786" s="10"/>
      <c r="E786" s="8">
        <f t="shared" si="4"/>
        <v>18</v>
      </c>
      <c r="F786" s="10"/>
      <c r="G786" s="11"/>
      <c r="H786" s="12"/>
      <c r="I786" s="10"/>
      <c r="J786" s="11"/>
      <c r="K786" s="12"/>
    </row>
    <row r="787" spans="1:11">
      <c r="A787" s="8">
        <f t="shared" si="3"/>
        <v>19</v>
      </c>
      <c r="C787" s="10"/>
      <c r="E787" s="8">
        <f t="shared" si="4"/>
        <v>19</v>
      </c>
      <c r="F787" s="10"/>
      <c r="G787" s="11"/>
      <c r="H787" s="12"/>
      <c r="I787" s="10"/>
      <c r="J787" s="11"/>
      <c r="K787" s="12"/>
    </row>
    <row r="788" spans="1:11">
      <c r="A788" s="8">
        <v>20</v>
      </c>
      <c r="E788" s="8">
        <v>20</v>
      </c>
      <c r="F788" s="70"/>
      <c r="G788" s="20"/>
      <c r="H788" s="21"/>
      <c r="I788" s="70"/>
      <c r="J788" s="20"/>
      <c r="K788" s="21"/>
    </row>
    <row r="789" spans="1:11">
      <c r="A789" s="8">
        <v>21</v>
      </c>
      <c r="E789" s="8">
        <v>21</v>
      </c>
      <c r="F789" s="70"/>
      <c r="G789" s="20"/>
      <c r="H789" s="40"/>
      <c r="I789" s="70"/>
      <c r="J789" s="20"/>
      <c r="K789" s="40"/>
    </row>
    <row r="790" spans="1:11">
      <c r="A790" s="8">
        <v>22</v>
      </c>
      <c r="E790" s="8">
        <v>22</v>
      </c>
      <c r="G790" s="14"/>
      <c r="H790" s="40"/>
      <c r="J790" s="14"/>
      <c r="K790" s="40"/>
    </row>
    <row r="791" spans="1:11">
      <c r="A791" s="8">
        <v>23</v>
      </c>
      <c r="D791" s="87"/>
      <c r="E791" s="8">
        <v>23</v>
      </c>
      <c r="H791" s="40"/>
      <c r="K791" s="40"/>
    </row>
    <row r="792" spans="1:11">
      <c r="A792" s="8">
        <v>24</v>
      </c>
      <c r="D792" s="87"/>
      <c r="E792" s="8">
        <v>24</v>
      </c>
      <c r="H792" s="40"/>
      <c r="K792" s="40"/>
    </row>
    <row r="793" spans="1:11">
      <c r="F793" s="70" t="s">
        <v>6</v>
      </c>
      <c r="G793" s="20" t="s">
        <v>6</v>
      </c>
      <c r="H793" s="21"/>
      <c r="I793" s="70"/>
      <c r="J793" s="20"/>
      <c r="K793" s="21"/>
    </row>
    <row r="794" spans="1:11">
      <c r="A794" s="8">
        <v>25</v>
      </c>
      <c r="C794" s="9" t="s">
        <v>211</v>
      </c>
      <c r="E794" s="8">
        <v>25</v>
      </c>
      <c r="G794" s="107"/>
      <c r="H794" s="108">
        <f>SUM(H769:H792)</f>
        <v>2157023.8499999996</v>
      </c>
      <c r="I794" s="108"/>
      <c r="J794" s="107"/>
      <c r="K794" s="108">
        <f>SUM(K769:K792)</f>
        <v>1634556</v>
      </c>
    </row>
    <row r="795" spans="1:11">
      <c r="D795" s="87"/>
      <c r="F795" s="70" t="s">
        <v>6</v>
      </c>
      <c r="G795" s="20" t="s">
        <v>6</v>
      </c>
      <c r="H795" s="21"/>
      <c r="I795" s="70"/>
      <c r="J795" s="20"/>
      <c r="K795" s="21"/>
    </row>
    <row r="796" spans="1:11">
      <c r="F796" s="70"/>
      <c r="G796" s="20"/>
      <c r="H796" s="21"/>
      <c r="I796" s="70"/>
      <c r="J796" s="20"/>
      <c r="K796" s="21"/>
    </row>
    <row r="797" spans="1:11">
      <c r="C797" s="221" t="s">
        <v>236</v>
      </c>
      <c r="D797" s="221"/>
      <c r="E797" s="221"/>
      <c r="F797" s="221"/>
      <c r="G797" s="221"/>
      <c r="H797" s="221"/>
      <c r="I797" s="221"/>
      <c r="J797" s="221"/>
      <c r="K797" s="56"/>
    </row>
    <row r="798" spans="1:11">
      <c r="G798" s="14"/>
      <c r="H798" s="40"/>
      <c r="J798" s="14"/>
      <c r="K798" s="40"/>
    </row>
    <row r="799" spans="1:11">
      <c r="A799" s="9"/>
    </row>
    <row r="800" spans="1:11">
      <c r="A800" s="16" t="str">
        <f>$A$83</f>
        <v xml:space="preserve">Institution No.:  </v>
      </c>
      <c r="B800" s="36"/>
      <c r="C800" s="36"/>
      <c r="D800" s="36"/>
      <c r="E800" s="37"/>
      <c r="F800" s="36"/>
      <c r="G800" s="38"/>
      <c r="H800" s="39"/>
      <c r="I800" s="36"/>
      <c r="J800" s="38"/>
      <c r="K800" s="15" t="s">
        <v>212</v>
      </c>
    </row>
    <row r="801" spans="1:11">
      <c r="A801" s="229" t="s">
        <v>213</v>
      </c>
      <c r="B801" s="229"/>
      <c r="C801" s="229"/>
      <c r="D801" s="229"/>
      <c r="E801" s="229"/>
      <c r="F801" s="229"/>
      <c r="G801" s="229"/>
      <c r="H801" s="229"/>
      <c r="I801" s="229"/>
      <c r="J801" s="229"/>
      <c r="K801" s="229"/>
    </row>
    <row r="802" spans="1:11">
      <c r="A802" s="16" t="str">
        <f>$A$42</f>
        <v xml:space="preserve">NAME: </v>
      </c>
      <c r="C802" s="137" t="str">
        <f>$D$20</f>
        <v>University of Colorado</v>
      </c>
      <c r="G802" s="80"/>
      <c r="H802" s="40"/>
      <c r="J802" s="14"/>
      <c r="K802" s="18" t="str">
        <f>$K$3</f>
        <v>Date: October 09, 2017</v>
      </c>
    </row>
    <row r="803" spans="1:11">
      <c r="A803" s="19" t="s">
        <v>6</v>
      </c>
      <c r="B803" s="19" t="s">
        <v>6</v>
      </c>
      <c r="C803" s="19" t="s">
        <v>6</v>
      </c>
      <c r="D803" s="19" t="s">
        <v>6</v>
      </c>
      <c r="E803" s="19" t="s">
        <v>6</v>
      </c>
      <c r="F803" s="19" t="s">
        <v>6</v>
      </c>
      <c r="G803" s="20" t="s">
        <v>6</v>
      </c>
      <c r="H803" s="21" t="s">
        <v>6</v>
      </c>
      <c r="I803" s="19" t="s">
        <v>6</v>
      </c>
      <c r="J803" s="20" t="s">
        <v>6</v>
      </c>
      <c r="K803" s="21" t="s">
        <v>6</v>
      </c>
    </row>
    <row r="804" spans="1:11">
      <c r="A804" s="22" t="s">
        <v>7</v>
      </c>
      <c r="E804" s="22" t="s">
        <v>7</v>
      </c>
      <c r="F804" s="23"/>
      <c r="G804" s="24"/>
      <c r="H804" s="25" t="str">
        <f>H766</f>
        <v>2016-17</v>
      </c>
      <c r="I804" s="23"/>
      <c r="J804" s="24"/>
      <c r="K804" s="25" t="str">
        <f>K766</f>
        <v>2017-18</v>
      </c>
    </row>
    <row r="805" spans="1:11">
      <c r="A805" s="22" t="s">
        <v>9</v>
      </c>
      <c r="C805" s="26" t="s">
        <v>51</v>
      </c>
      <c r="E805" s="22" t="s">
        <v>9</v>
      </c>
      <c r="F805" s="23"/>
      <c r="G805" s="24" t="s">
        <v>11</v>
      </c>
      <c r="H805" s="25" t="s">
        <v>12</v>
      </c>
      <c r="I805" s="23"/>
      <c r="J805" s="24" t="s">
        <v>11</v>
      </c>
      <c r="K805" s="25" t="s">
        <v>13</v>
      </c>
    </row>
    <row r="806" spans="1:11">
      <c r="A806" s="19" t="s">
        <v>6</v>
      </c>
      <c r="B806" s="19" t="s">
        <v>6</v>
      </c>
      <c r="C806" s="19" t="s">
        <v>6</v>
      </c>
      <c r="D806" s="19" t="s">
        <v>6</v>
      </c>
      <c r="E806" s="19" t="s">
        <v>6</v>
      </c>
      <c r="F806" s="19" t="s">
        <v>6</v>
      </c>
      <c r="G806" s="20" t="s">
        <v>6</v>
      </c>
      <c r="H806" s="21" t="s">
        <v>6</v>
      </c>
      <c r="I806" s="19" t="s">
        <v>6</v>
      </c>
      <c r="J806" s="20" t="s">
        <v>6</v>
      </c>
      <c r="K806" s="21" t="s">
        <v>6</v>
      </c>
    </row>
    <row r="807" spans="1:11">
      <c r="A807" s="117">
        <v>1</v>
      </c>
      <c r="B807" s="126"/>
      <c r="C807" s="118" t="s">
        <v>227</v>
      </c>
      <c r="D807" s="126"/>
      <c r="E807" s="117">
        <v>1</v>
      </c>
      <c r="F807" s="126"/>
      <c r="G807" s="127"/>
      <c r="H807" s="128"/>
      <c r="I807" s="126"/>
      <c r="J807" s="127"/>
      <c r="K807" s="128"/>
    </row>
    <row r="808" spans="1:11">
      <c r="A808" s="117">
        <v>2</v>
      </c>
      <c r="B808" s="126"/>
      <c r="C808" s="118" t="s">
        <v>227</v>
      </c>
      <c r="D808" s="126"/>
      <c r="E808" s="117">
        <v>2</v>
      </c>
      <c r="F808" s="126"/>
      <c r="G808" s="127"/>
      <c r="H808" s="128"/>
      <c r="I808" s="126"/>
      <c r="J808" s="127"/>
      <c r="K808" s="128"/>
    </row>
    <row r="809" spans="1:11">
      <c r="A809" s="117">
        <v>3</v>
      </c>
      <c r="B809" s="118"/>
      <c r="C809" s="118" t="s">
        <v>227</v>
      </c>
      <c r="D809" s="118"/>
      <c r="E809" s="117">
        <v>3</v>
      </c>
      <c r="F809" s="119"/>
      <c r="G809" s="129"/>
      <c r="H809" s="124"/>
      <c r="I809" s="124"/>
      <c r="J809" s="129"/>
      <c r="K809" s="124"/>
    </row>
    <row r="810" spans="1:11">
      <c r="A810" s="117">
        <v>4</v>
      </c>
      <c r="B810" s="118"/>
      <c r="C810" s="118" t="s">
        <v>227</v>
      </c>
      <c r="D810" s="118"/>
      <c r="E810" s="117">
        <v>4</v>
      </c>
      <c r="F810" s="119"/>
      <c r="G810" s="129"/>
      <c r="H810" s="124"/>
      <c r="I810" s="124"/>
      <c r="J810" s="129"/>
      <c r="K810" s="124"/>
    </row>
    <row r="811" spans="1:11">
      <c r="A811" s="117">
        <v>5</v>
      </c>
      <c r="B811" s="118"/>
      <c r="C811" s="118" t="s">
        <v>227</v>
      </c>
      <c r="D811" s="118"/>
      <c r="E811" s="118">
        <v>5</v>
      </c>
      <c r="F811" s="118"/>
      <c r="G811" s="130"/>
      <c r="H811" s="131"/>
      <c r="I811" s="118"/>
      <c r="J811" s="130"/>
      <c r="K811" s="131"/>
    </row>
    <row r="812" spans="1:11">
      <c r="A812" s="8">
        <v>6</v>
      </c>
      <c r="C812" s="9" t="s">
        <v>170</v>
      </c>
      <c r="E812" s="8">
        <v>6</v>
      </c>
      <c r="F812" s="10"/>
      <c r="G812" s="153">
        <f>30.67+1</f>
        <v>31.67</v>
      </c>
      <c r="H812" s="153">
        <v>2528287.4800000004</v>
      </c>
      <c r="I812" s="110"/>
      <c r="J812" s="153">
        <f>K812/((H812*1/G812))</f>
        <v>39.217056368922094</v>
      </c>
      <c r="K812" s="153">
        <v>3130786</v>
      </c>
    </row>
    <row r="813" spans="1:11">
      <c r="A813" s="8">
        <v>7</v>
      </c>
      <c r="C813" s="9" t="s">
        <v>171</v>
      </c>
      <c r="E813" s="8">
        <v>7</v>
      </c>
      <c r="F813" s="10"/>
      <c r="G813" s="109"/>
      <c r="H813" s="156">
        <v>724353.85</v>
      </c>
      <c r="I813" s="110"/>
      <c r="J813" s="109"/>
      <c r="K813" s="156">
        <v>942590</v>
      </c>
    </row>
    <row r="814" spans="1:11">
      <c r="A814" s="8">
        <v>8</v>
      </c>
      <c r="C814" s="9" t="s">
        <v>214</v>
      </c>
      <c r="E814" s="8">
        <v>8</v>
      </c>
      <c r="F814" s="10"/>
      <c r="G814" s="153">
        <v>0</v>
      </c>
      <c r="H814" s="156">
        <v>18045.699999999997</v>
      </c>
      <c r="I814" s="110"/>
      <c r="J814" s="153"/>
      <c r="K814" s="156"/>
    </row>
    <row r="815" spans="1:11">
      <c r="A815" s="8">
        <v>9</v>
      </c>
      <c r="C815" s="9" t="s">
        <v>185</v>
      </c>
      <c r="E815" s="8">
        <v>9</v>
      </c>
      <c r="F815" s="10"/>
      <c r="G815" s="109">
        <f>SUM(G812:G814)</f>
        <v>31.67</v>
      </c>
      <c r="H815" s="110">
        <f>SUM(H812:H814)</f>
        <v>3270687.0300000007</v>
      </c>
      <c r="I815" s="109"/>
      <c r="J815" s="109">
        <f>SUM(J812:J814)</f>
        <v>39.217056368922094</v>
      </c>
      <c r="K815" s="109">
        <f>SUM(K812:K814)</f>
        <v>4073376</v>
      </c>
    </row>
    <row r="816" spans="1:11">
      <c r="A816" s="8">
        <v>10</v>
      </c>
      <c r="C816" s="9"/>
      <c r="E816" s="8">
        <v>10</v>
      </c>
      <c r="F816" s="10"/>
      <c r="G816" s="109"/>
      <c r="H816" s="110"/>
      <c r="I816" s="110"/>
      <c r="J816" s="109"/>
      <c r="K816" s="110"/>
    </row>
    <row r="817" spans="1:11">
      <c r="A817" s="8">
        <v>11</v>
      </c>
      <c r="C817" s="9" t="s">
        <v>174</v>
      </c>
      <c r="E817" s="8">
        <v>11</v>
      </c>
      <c r="F817" s="10"/>
      <c r="G817" s="153">
        <v>0</v>
      </c>
      <c r="H817" s="156">
        <v>0</v>
      </c>
      <c r="I817" s="110"/>
      <c r="J817" s="153"/>
      <c r="K817" s="156"/>
    </row>
    <row r="818" spans="1:11">
      <c r="A818" s="8">
        <v>12</v>
      </c>
      <c r="C818" s="9" t="s">
        <v>175</v>
      </c>
      <c r="E818" s="8">
        <v>12</v>
      </c>
      <c r="F818" s="10"/>
      <c r="G818" s="109"/>
      <c r="H818" s="156">
        <v>0</v>
      </c>
      <c r="I818" s="110"/>
      <c r="J818" s="109"/>
      <c r="K818" s="156"/>
    </row>
    <row r="819" spans="1:11">
      <c r="A819" s="8">
        <v>13</v>
      </c>
      <c r="C819" s="9" t="s">
        <v>186</v>
      </c>
      <c r="E819" s="8">
        <v>13</v>
      </c>
      <c r="F819" s="10"/>
      <c r="G819" s="109">
        <f>SUM(G817:G818)</f>
        <v>0</v>
      </c>
      <c r="H819" s="109">
        <f>SUM(H817:H818)</f>
        <v>0</v>
      </c>
      <c r="I819" s="107"/>
      <c r="J819" s="109">
        <f>SUM(J817:J818)</f>
        <v>0</v>
      </c>
      <c r="K819" s="109">
        <f>SUM(K817:K818)</f>
        <v>0</v>
      </c>
    </row>
    <row r="820" spans="1:11">
      <c r="A820" s="8">
        <v>14</v>
      </c>
      <c r="E820" s="8">
        <v>14</v>
      </c>
      <c r="F820" s="10"/>
      <c r="G820" s="111"/>
      <c r="H820" s="110"/>
      <c r="I820" s="108"/>
      <c r="J820" s="111"/>
      <c r="K820" s="110"/>
    </row>
    <row r="821" spans="1:11">
      <c r="A821" s="8">
        <v>15</v>
      </c>
      <c r="C821" s="9" t="s">
        <v>177</v>
      </c>
      <c r="E821" s="8">
        <v>15</v>
      </c>
      <c r="G821" s="112">
        <f>SUM(G815+G819)</f>
        <v>31.67</v>
      </c>
      <c r="H821" s="108">
        <f>SUM(H815+H819)</f>
        <v>3270687.0300000007</v>
      </c>
      <c r="I821" s="108"/>
      <c r="J821" s="112">
        <f>SUM(J815+J819)</f>
        <v>39.217056368922094</v>
      </c>
      <c r="K821" s="108">
        <f>SUM(K815+K819)</f>
        <v>4073376</v>
      </c>
    </row>
    <row r="822" spans="1:11">
      <c r="A822" s="8">
        <v>16</v>
      </c>
      <c r="E822" s="8">
        <v>16</v>
      </c>
      <c r="G822" s="112"/>
      <c r="H822" s="108"/>
      <c r="I822" s="108"/>
      <c r="J822" s="112"/>
      <c r="K822" s="108"/>
    </row>
    <row r="823" spans="1:11">
      <c r="A823" s="8">
        <v>17</v>
      </c>
      <c r="C823" s="9" t="s">
        <v>178</v>
      </c>
      <c r="E823" s="8">
        <v>17</v>
      </c>
      <c r="F823" s="10"/>
      <c r="G823" s="109"/>
      <c r="H823" s="156">
        <v>27408.959999999999</v>
      </c>
      <c r="I823" s="110"/>
      <c r="J823" s="109"/>
      <c r="K823" s="156"/>
    </row>
    <row r="824" spans="1:11">
      <c r="A824" s="8">
        <v>18</v>
      </c>
      <c r="E824" s="8">
        <v>18</v>
      </c>
      <c r="F824" s="10"/>
      <c r="G824" s="109"/>
      <c r="H824" s="110"/>
      <c r="I824" s="110"/>
      <c r="J824" s="109"/>
      <c r="K824" s="110"/>
    </row>
    <row r="825" spans="1:11">
      <c r="A825" s="8">
        <v>19</v>
      </c>
      <c r="C825" s="9" t="s">
        <v>179</v>
      </c>
      <c r="E825" s="8">
        <v>19</v>
      </c>
      <c r="F825" s="10"/>
      <c r="G825" s="109"/>
      <c r="H825" s="156">
        <v>60693.950000000004</v>
      </c>
      <c r="I825" s="110"/>
      <c r="J825" s="109"/>
      <c r="K825" s="156">
        <v>25000</v>
      </c>
    </row>
    <row r="826" spans="1:11">
      <c r="A826" s="8">
        <v>20</v>
      </c>
      <c r="C826" s="81" t="s">
        <v>180</v>
      </c>
      <c r="E826" s="8">
        <v>20</v>
      </c>
      <c r="F826" s="10"/>
      <c r="G826" s="109"/>
      <c r="H826" s="156">
        <v>7878104.6000000006</v>
      </c>
      <c r="I826" s="110"/>
      <c r="J826" s="109"/>
      <c r="K826" s="156">
        <v>4551562</v>
      </c>
    </row>
    <row r="827" spans="1:11">
      <c r="A827" s="8">
        <v>21</v>
      </c>
      <c r="C827" s="81"/>
      <c r="E827" s="8">
        <v>21</v>
      </c>
      <c r="F827" s="10"/>
      <c r="G827" s="109"/>
      <c r="H827" s="110"/>
      <c r="I827" s="110"/>
      <c r="J827" s="109"/>
      <c r="K827" s="110"/>
    </row>
    <row r="828" spans="1:11">
      <c r="A828" s="8">
        <v>22</v>
      </c>
      <c r="C828" s="9"/>
      <c r="E828" s="8">
        <v>22</v>
      </c>
      <c r="G828" s="109"/>
      <c r="H828" s="110"/>
      <c r="I828" s="110"/>
      <c r="J828" s="109"/>
      <c r="K828" s="110"/>
    </row>
    <row r="829" spans="1:11">
      <c r="A829" s="8">
        <v>23</v>
      </c>
      <c r="C829" s="9" t="s">
        <v>181</v>
      </c>
      <c r="E829" s="8">
        <v>23</v>
      </c>
      <c r="G829" s="109"/>
      <c r="H829" s="156">
        <v>-216685.50999999998</v>
      </c>
      <c r="I829" s="110"/>
      <c r="J829" s="109"/>
      <c r="K829" s="156">
        <v>150000</v>
      </c>
    </row>
    <row r="830" spans="1:11">
      <c r="A830" s="8">
        <v>24</v>
      </c>
      <c r="C830" s="9"/>
      <c r="E830" s="8">
        <v>24</v>
      </c>
      <c r="G830" s="109"/>
      <c r="H830" s="110"/>
      <c r="I830" s="110"/>
      <c r="J830" s="109"/>
      <c r="K830" s="110"/>
    </row>
    <row r="831" spans="1:11">
      <c r="A831" s="8"/>
      <c r="E831" s="8">
        <v>25</v>
      </c>
      <c r="F831" s="70" t="s">
        <v>6</v>
      </c>
      <c r="G831" s="83"/>
      <c r="H831" s="21"/>
      <c r="I831" s="70"/>
      <c r="J831" s="83"/>
      <c r="K831" s="21"/>
    </row>
    <row r="832" spans="1:11">
      <c r="A832" s="8">
        <v>25</v>
      </c>
      <c r="C832" s="9" t="s">
        <v>215</v>
      </c>
      <c r="E832" s="8"/>
      <c r="G832" s="112">
        <f>SUM(G821:G830)</f>
        <v>31.67</v>
      </c>
      <c r="H832" s="108">
        <f>SUM(H821:H830)</f>
        <v>11020209.030000001</v>
      </c>
      <c r="I832" s="113"/>
      <c r="J832" s="112">
        <f>SUM(J821:J830)</f>
        <v>39.217056368922094</v>
      </c>
      <c r="K832" s="108">
        <f>SUM(K821:K830)</f>
        <v>8799938</v>
      </c>
    </row>
    <row r="833" spans="1:11">
      <c r="F833" s="70" t="s">
        <v>6</v>
      </c>
      <c r="G833" s="20"/>
      <c r="H833" s="21"/>
      <c r="I833" s="70"/>
      <c r="J833" s="20"/>
      <c r="K833" s="21"/>
    </row>
    <row r="834" spans="1:11">
      <c r="A834" s="9"/>
      <c r="C834" s="137" t="s">
        <v>49</v>
      </c>
    </row>
    <row r="836" spans="1:11">
      <c r="A836" s="9"/>
      <c r="H836" s="40"/>
      <c r="K836" s="40"/>
    </row>
    <row r="837" spans="1:11">
      <c r="A837" s="16" t="str">
        <f>$A$83</f>
        <v xml:space="preserve">Institution No.:  </v>
      </c>
      <c r="B837" s="36"/>
      <c r="C837" s="36"/>
      <c r="D837" s="36"/>
      <c r="E837" s="37"/>
      <c r="F837" s="36"/>
      <c r="G837" s="38"/>
      <c r="H837" s="39"/>
      <c r="I837" s="36"/>
      <c r="J837" s="38"/>
      <c r="K837" s="15" t="s">
        <v>216</v>
      </c>
    </row>
    <row r="838" spans="1:11">
      <c r="A838" s="230" t="s">
        <v>217</v>
      </c>
      <c r="B838" s="230"/>
      <c r="C838" s="230"/>
      <c r="D838" s="230"/>
      <c r="E838" s="230"/>
      <c r="F838" s="230"/>
      <c r="G838" s="230"/>
      <c r="H838" s="230"/>
      <c r="I838" s="230"/>
      <c r="J838" s="230"/>
      <c r="K838" s="230"/>
    </row>
    <row r="839" spans="1:11">
      <c r="A839" s="16" t="str">
        <f>$A$42</f>
        <v xml:space="preserve">NAME: </v>
      </c>
      <c r="C839" s="137" t="str">
        <f>$D$20</f>
        <v>University of Colorado</v>
      </c>
      <c r="H839" s="88"/>
      <c r="J839" s="14"/>
      <c r="K839" s="18" t="str">
        <f>$K$3</f>
        <v>Date: October 09, 2017</v>
      </c>
    </row>
    <row r="840" spans="1:11">
      <c r="A840" s="19" t="s">
        <v>6</v>
      </c>
      <c r="B840" s="19" t="s">
        <v>6</v>
      </c>
      <c r="C840" s="19" t="s">
        <v>6</v>
      </c>
      <c r="D840" s="19" t="s">
        <v>6</v>
      </c>
      <c r="E840" s="19" t="s">
        <v>6</v>
      </c>
      <c r="F840" s="19" t="s">
        <v>6</v>
      </c>
      <c r="G840" s="20" t="s">
        <v>6</v>
      </c>
      <c r="H840" s="21" t="s">
        <v>6</v>
      </c>
      <c r="I840" s="19" t="s">
        <v>6</v>
      </c>
      <c r="J840" s="20" t="s">
        <v>6</v>
      </c>
      <c r="K840" s="21" t="s">
        <v>6</v>
      </c>
    </row>
    <row r="841" spans="1:11">
      <c r="A841" s="22" t="s">
        <v>7</v>
      </c>
      <c r="E841" s="22" t="s">
        <v>7</v>
      </c>
      <c r="F841" s="23"/>
      <c r="G841" s="24"/>
      <c r="H841" s="25" t="str">
        <f>+H804</f>
        <v>2016-17</v>
      </c>
      <c r="I841" s="23"/>
      <c r="J841" s="24"/>
      <c r="K841" s="25" t="str">
        <f>+K804</f>
        <v>2017-18</v>
      </c>
    </row>
    <row r="842" spans="1:11">
      <c r="A842" s="22" t="s">
        <v>9</v>
      </c>
      <c r="C842" s="26" t="s">
        <v>51</v>
      </c>
      <c r="E842" s="22" t="s">
        <v>9</v>
      </c>
      <c r="F842" s="23"/>
      <c r="G842" s="24"/>
      <c r="H842" s="25" t="s">
        <v>12</v>
      </c>
      <c r="I842" s="23"/>
      <c r="J842" s="24"/>
      <c r="K842" s="25" t="s">
        <v>13</v>
      </c>
    </row>
    <row r="843" spans="1:11">
      <c r="A843" s="19" t="s">
        <v>6</v>
      </c>
      <c r="B843" s="19" t="s">
        <v>6</v>
      </c>
      <c r="C843" s="19" t="s">
        <v>6</v>
      </c>
      <c r="D843" s="19" t="s">
        <v>6</v>
      </c>
      <c r="E843" s="19" t="s">
        <v>6</v>
      </c>
      <c r="F843" s="19" t="s">
        <v>6</v>
      </c>
      <c r="G843" s="20" t="s">
        <v>6</v>
      </c>
      <c r="H843" s="21" t="s">
        <v>6</v>
      </c>
      <c r="I843" s="19" t="s">
        <v>6</v>
      </c>
      <c r="J843" s="20" t="s">
        <v>6</v>
      </c>
      <c r="K843" s="21" t="s">
        <v>6</v>
      </c>
    </row>
    <row r="844" spans="1:11">
      <c r="A844" s="73">
        <v>1</v>
      </c>
      <c r="C844" s="137" t="s">
        <v>218</v>
      </c>
      <c r="E844" s="73">
        <v>1</v>
      </c>
      <c r="F844" s="10"/>
      <c r="G844" s="110"/>
      <c r="H844" s="156">
        <f>15991127.16-3000000</f>
        <v>12991127.16</v>
      </c>
      <c r="I844" s="110"/>
      <c r="J844" s="110"/>
      <c r="K844" s="156">
        <f>10449775</f>
        <v>10449775</v>
      </c>
    </row>
    <row r="845" spans="1:11">
      <c r="A845" s="73">
        <v>2</v>
      </c>
      <c r="E845" s="73">
        <v>2</v>
      </c>
      <c r="F845" s="10"/>
      <c r="G845" s="110"/>
      <c r="H845" s="110"/>
      <c r="I845" s="110"/>
      <c r="J845" s="110"/>
      <c r="K845" s="110"/>
    </row>
    <row r="846" spans="1:11">
      <c r="A846" s="73">
        <v>3</v>
      </c>
      <c r="C846" s="10"/>
      <c r="E846" s="73">
        <v>3</v>
      </c>
      <c r="F846" s="10"/>
      <c r="G846" s="110"/>
      <c r="H846" s="110"/>
      <c r="I846" s="110"/>
      <c r="J846" s="110"/>
      <c r="K846" s="110"/>
    </row>
    <row r="847" spans="1:11">
      <c r="A847" s="73">
        <v>4</v>
      </c>
      <c r="C847" s="10"/>
      <c r="E847" s="73">
        <v>4</v>
      </c>
      <c r="F847" s="10"/>
      <c r="G847" s="110"/>
      <c r="H847" s="110"/>
      <c r="I847" s="110"/>
      <c r="J847" s="110"/>
      <c r="K847" s="110"/>
    </row>
    <row r="848" spans="1:11">
      <c r="A848" s="73">
        <v>5</v>
      </c>
      <c r="C848" s="9"/>
      <c r="E848" s="73">
        <v>5</v>
      </c>
      <c r="F848" s="10"/>
      <c r="G848" s="110"/>
      <c r="H848" s="110"/>
      <c r="I848" s="110"/>
      <c r="J848" s="110"/>
      <c r="K848" s="110"/>
    </row>
    <row r="849" spans="1:11">
      <c r="A849" s="73">
        <v>6</v>
      </c>
      <c r="C849" s="10"/>
      <c r="E849" s="73">
        <v>6</v>
      </c>
      <c r="F849" s="10"/>
      <c r="G849" s="110"/>
      <c r="H849" s="110"/>
      <c r="I849" s="110"/>
      <c r="J849" s="110"/>
      <c r="K849" s="110"/>
    </row>
    <row r="850" spans="1:11">
      <c r="A850" s="73">
        <v>7</v>
      </c>
      <c r="C850" s="10"/>
      <c r="E850" s="73">
        <v>7</v>
      </c>
      <c r="F850" s="10"/>
      <c r="G850" s="110"/>
      <c r="H850" s="110"/>
      <c r="I850" s="110"/>
      <c r="J850" s="110"/>
      <c r="K850" s="110"/>
    </row>
    <row r="851" spans="1:11">
      <c r="A851" s="73">
        <v>8</v>
      </c>
      <c r="E851" s="73">
        <v>8</v>
      </c>
      <c r="F851" s="10"/>
      <c r="G851" s="110"/>
      <c r="H851" s="110"/>
      <c r="I851" s="110"/>
      <c r="J851" s="110"/>
      <c r="K851" s="110"/>
    </row>
    <row r="852" spans="1:11">
      <c r="A852" s="73">
        <v>9</v>
      </c>
      <c r="E852" s="73">
        <v>9</v>
      </c>
      <c r="F852" s="10"/>
      <c r="G852" s="110"/>
      <c r="H852" s="110"/>
      <c r="I852" s="110"/>
      <c r="J852" s="110"/>
      <c r="K852" s="110"/>
    </row>
    <row r="853" spans="1:11">
      <c r="A853" s="76"/>
      <c r="E853" s="76"/>
      <c r="F853" s="70" t="s">
        <v>6</v>
      </c>
      <c r="G853" s="86" t="s">
        <v>6</v>
      </c>
      <c r="H853" s="86"/>
      <c r="I853" s="86"/>
      <c r="J853" s="86"/>
      <c r="K853" s="86"/>
    </row>
    <row r="854" spans="1:11">
      <c r="A854" s="73">
        <v>10</v>
      </c>
      <c r="C854" s="137" t="s">
        <v>219</v>
      </c>
      <c r="E854" s="73">
        <v>10</v>
      </c>
      <c r="G854" s="107"/>
      <c r="H854" s="110">
        <f>SUM(H844:H852)</f>
        <v>12991127.16</v>
      </c>
      <c r="I854" s="108"/>
      <c r="J854" s="107"/>
      <c r="K854" s="110">
        <f>SUM(K844:K852)</f>
        <v>10449775</v>
      </c>
    </row>
    <row r="855" spans="1:11">
      <c r="A855" s="73"/>
      <c r="E855" s="73"/>
      <c r="F855" s="70" t="s">
        <v>6</v>
      </c>
      <c r="G855" s="86" t="s">
        <v>6</v>
      </c>
      <c r="H855" s="86"/>
      <c r="I855" s="86"/>
      <c r="J855" s="86"/>
      <c r="K855" s="86"/>
    </row>
    <row r="856" spans="1:11">
      <c r="A856" s="73">
        <v>11</v>
      </c>
      <c r="C856" s="10"/>
      <c r="E856" s="73">
        <v>11</v>
      </c>
      <c r="F856" s="10"/>
      <c r="G856" s="110"/>
      <c r="H856" s="110"/>
      <c r="I856" s="110"/>
      <c r="J856" s="110"/>
      <c r="K856" s="110"/>
    </row>
    <row r="857" spans="1:11">
      <c r="A857" s="73">
        <v>12</v>
      </c>
      <c r="C857" s="9" t="s">
        <v>220</v>
      </c>
      <c r="E857" s="73">
        <v>12</v>
      </c>
      <c r="F857" s="10"/>
      <c r="G857" s="110"/>
      <c r="H857" s="156">
        <f>2000000+23412194.75+3000000</f>
        <v>28412194.75</v>
      </c>
      <c r="I857" s="110"/>
      <c r="J857" s="110"/>
      <c r="K857" s="156">
        <f>10122604.44+2000000+7052929.32+5000000+2000000+500000+1399608-34001-1-2528105+1449429-409235.85+122306-500000</f>
        <v>26175533.909999996</v>
      </c>
    </row>
    <row r="858" spans="1:11">
      <c r="A858" s="73">
        <v>13</v>
      </c>
      <c r="C858" s="10" t="s">
        <v>221</v>
      </c>
      <c r="E858" s="73">
        <v>13</v>
      </c>
      <c r="F858" s="10"/>
      <c r="G858" s="110"/>
      <c r="H858" s="156">
        <f>0.1-1</f>
        <v>-0.9</v>
      </c>
      <c r="I858" s="110"/>
      <c r="J858" s="110"/>
      <c r="K858" s="156"/>
    </row>
    <row r="859" spans="1:11">
      <c r="A859" s="73">
        <v>14</v>
      </c>
      <c r="E859" s="73">
        <v>14</v>
      </c>
      <c r="F859" s="10"/>
      <c r="G859" s="110"/>
      <c r="H859" s="110"/>
      <c r="I859" s="110"/>
      <c r="J859" s="110"/>
      <c r="K859" s="110"/>
    </row>
    <row r="860" spans="1:11">
      <c r="A860" s="73">
        <v>15</v>
      </c>
      <c r="E860" s="73">
        <v>15</v>
      </c>
      <c r="F860" s="10"/>
      <c r="G860" s="110"/>
      <c r="H860" s="110"/>
      <c r="I860" s="110"/>
      <c r="J860" s="110"/>
      <c r="K860" s="110"/>
    </row>
    <row r="861" spans="1:11">
      <c r="A861" s="73">
        <v>16</v>
      </c>
      <c r="E861" s="73">
        <v>16</v>
      </c>
      <c r="F861" s="10"/>
      <c r="G861" s="110"/>
      <c r="H861" s="110"/>
      <c r="I861" s="110"/>
      <c r="J861" s="110"/>
      <c r="K861" s="110"/>
    </row>
    <row r="862" spans="1:11">
      <c r="A862" s="73">
        <v>17</v>
      </c>
      <c r="C862" s="74"/>
      <c r="D862" s="75"/>
      <c r="E862" s="73">
        <v>17</v>
      </c>
      <c r="F862" s="10"/>
      <c r="G862" s="110"/>
      <c r="H862" s="110"/>
      <c r="I862" s="110"/>
      <c r="J862" s="110"/>
      <c r="K862" s="110"/>
    </row>
    <row r="863" spans="1:11">
      <c r="A863" s="73">
        <v>18</v>
      </c>
      <c r="C863" s="75"/>
      <c r="D863" s="75"/>
      <c r="E863" s="73">
        <v>18</v>
      </c>
      <c r="F863" s="10"/>
      <c r="G863" s="110"/>
      <c r="H863" s="110"/>
      <c r="I863" s="110"/>
      <c r="J863" s="110"/>
      <c r="K863" s="110"/>
    </row>
    <row r="864" spans="1:11">
      <c r="A864" s="73"/>
      <c r="C864" s="89"/>
      <c r="D864" s="75"/>
      <c r="E864" s="73"/>
      <c r="F864" s="70" t="s">
        <v>6</v>
      </c>
      <c r="G864" s="20" t="s">
        <v>6</v>
      </c>
      <c r="H864" s="21"/>
      <c r="I864" s="70"/>
      <c r="J864" s="20"/>
      <c r="K864" s="21"/>
    </row>
    <row r="865" spans="1:11">
      <c r="A865" s="73">
        <v>19</v>
      </c>
      <c r="C865" s="137" t="s">
        <v>222</v>
      </c>
      <c r="D865" s="75"/>
      <c r="E865" s="73">
        <v>19</v>
      </c>
      <c r="G865" s="108"/>
      <c r="H865" s="108">
        <f>SUM(H856:H863)</f>
        <v>28412193.850000001</v>
      </c>
      <c r="I865" s="110"/>
      <c r="J865" s="110"/>
      <c r="K865" s="108">
        <f>SUM(K856:K863)</f>
        <v>26175533.909999996</v>
      </c>
    </row>
    <row r="866" spans="1:11">
      <c r="A866" s="73"/>
      <c r="C866" s="89"/>
      <c r="D866" s="75"/>
      <c r="E866" s="73"/>
      <c r="F866" s="70" t="s">
        <v>6</v>
      </c>
      <c r="G866" s="20" t="s">
        <v>6</v>
      </c>
      <c r="H866" s="21"/>
      <c r="I866" s="70"/>
      <c r="J866" s="20"/>
      <c r="K866" s="21"/>
    </row>
    <row r="867" spans="1:11">
      <c r="A867" s="73"/>
      <c r="C867" s="75"/>
      <c r="D867" s="75"/>
      <c r="E867" s="73"/>
      <c r="H867" s="12"/>
    </row>
    <row r="868" spans="1:11">
      <c r="A868" s="73">
        <v>20</v>
      </c>
      <c r="C868" s="9" t="s">
        <v>223</v>
      </c>
      <c r="E868" s="73">
        <v>20</v>
      </c>
      <c r="G868" s="107"/>
      <c r="H868" s="108">
        <f>SUM(H854,H865)</f>
        <v>41403321.010000005</v>
      </c>
      <c r="I868" s="108"/>
      <c r="J868" s="107"/>
      <c r="K868" s="108">
        <f>SUM(K854,K865)</f>
        <v>36625308.909999996</v>
      </c>
    </row>
    <row r="869" spans="1:11">
      <c r="C869" s="31" t="s">
        <v>224</v>
      </c>
      <c r="E869" s="35"/>
      <c r="F869" s="70" t="s">
        <v>6</v>
      </c>
      <c r="G869" s="20" t="s">
        <v>6</v>
      </c>
      <c r="H869" s="21"/>
      <c r="I869" s="70"/>
      <c r="J869" s="20"/>
      <c r="K869" s="21"/>
    </row>
    <row r="870" spans="1:11">
      <c r="C870" s="9" t="s">
        <v>38</v>
      </c>
    </row>
    <row r="871" spans="1:11">
      <c r="D871" s="9"/>
      <c r="G871" s="14"/>
      <c r="H871" s="40"/>
      <c r="I871" s="61"/>
      <c r="J871" s="14"/>
      <c r="K871" s="40"/>
    </row>
    <row r="872" spans="1:11">
      <c r="D872" s="9"/>
      <c r="G872" s="14"/>
      <c r="H872" s="40"/>
      <c r="I872" s="61"/>
      <c r="J872" s="14"/>
      <c r="K872" s="40"/>
    </row>
    <row r="873" spans="1:11">
      <c r="D873" s="9"/>
      <c r="G873" s="14"/>
      <c r="H873" s="40"/>
      <c r="I873" s="61"/>
      <c r="J873" s="14"/>
      <c r="K873" s="40"/>
    </row>
    <row r="874" spans="1:11">
      <c r="D874" s="9"/>
      <c r="G874" s="14"/>
      <c r="H874" s="40"/>
      <c r="I874" s="61"/>
      <c r="J874" s="14"/>
      <c r="K874" s="40"/>
    </row>
    <row r="875" spans="1:11">
      <c r="D875" s="9"/>
      <c r="G875" s="14"/>
      <c r="H875" s="40"/>
      <c r="I875" s="61"/>
      <c r="J875" s="14"/>
      <c r="K875" s="40"/>
    </row>
    <row r="876" spans="1:11">
      <c r="D876" s="9"/>
      <c r="G876" s="14"/>
      <c r="H876" s="40"/>
      <c r="I876" s="61"/>
      <c r="J876" s="14"/>
      <c r="K876" s="40"/>
    </row>
    <row r="877" spans="1:11">
      <c r="D877" s="9"/>
      <c r="G877" s="14"/>
      <c r="H877" s="40"/>
      <c r="I877" s="61"/>
      <c r="J877" s="14"/>
      <c r="K877" s="40"/>
    </row>
    <row r="878" spans="1:11">
      <c r="D878" s="9"/>
      <c r="G878" s="14"/>
      <c r="H878" s="40"/>
      <c r="I878" s="61"/>
      <c r="J878" s="14"/>
      <c r="K878" s="40"/>
    </row>
    <row r="879" spans="1:11">
      <c r="D879" s="9"/>
      <c r="G879" s="14"/>
      <c r="H879" s="40"/>
      <c r="I879" s="61"/>
      <c r="J879" s="14"/>
      <c r="K879" s="40"/>
    </row>
    <row r="880" spans="1:11">
      <c r="D880" s="9"/>
      <c r="G880" s="14"/>
      <c r="H880" s="40"/>
      <c r="I880" s="61"/>
      <c r="J880" s="14"/>
      <c r="K880" s="40"/>
    </row>
    <row r="881" spans="4:11">
      <c r="D881" s="9"/>
      <c r="G881" s="14"/>
      <c r="H881" s="40"/>
      <c r="I881" s="61"/>
      <c r="J881" s="14"/>
      <c r="K881" s="40"/>
    </row>
    <row r="882" spans="4:11">
      <c r="D882" s="9"/>
      <c r="G882" s="14"/>
      <c r="H882" s="40"/>
      <c r="I882" s="61"/>
      <c r="J882" s="14"/>
      <c r="K882" s="40"/>
    </row>
    <row r="883" spans="4:11">
      <c r="D883" s="9"/>
      <c r="G883" s="14"/>
      <c r="H883" s="40"/>
      <c r="I883" s="61"/>
      <c r="J883" s="14"/>
      <c r="K883" s="40"/>
    </row>
    <row r="884" spans="4:11">
      <c r="D884" s="9"/>
      <c r="G884" s="14"/>
      <c r="H884" s="40"/>
      <c r="I884" s="61"/>
      <c r="J884" s="14"/>
      <c r="K884" s="40"/>
    </row>
    <row r="885" spans="4:11">
      <c r="D885" s="9"/>
      <c r="G885" s="14"/>
      <c r="H885" s="40"/>
      <c r="I885" s="61"/>
      <c r="J885" s="14"/>
      <c r="K885" s="40"/>
    </row>
    <row r="886" spans="4:11">
      <c r="D886" s="9"/>
      <c r="G886" s="14"/>
      <c r="H886" s="40"/>
      <c r="I886" s="61"/>
      <c r="J886" s="14"/>
      <c r="K886" s="40"/>
    </row>
    <row r="887" spans="4:11">
      <c r="D887" s="9"/>
      <c r="G887" s="14"/>
      <c r="H887" s="40"/>
      <c r="I887" s="61"/>
      <c r="J887" s="14"/>
      <c r="K887" s="40"/>
    </row>
    <row r="888" spans="4:11">
      <c r="D888" s="9"/>
      <c r="G888" s="14"/>
      <c r="H888" s="40"/>
      <c r="I888" s="61"/>
      <c r="J888" s="14"/>
      <c r="K888" s="40"/>
    </row>
    <row r="889" spans="4:11">
      <c r="D889" s="9"/>
      <c r="G889" s="14"/>
      <c r="H889" s="40"/>
      <c r="I889" s="61"/>
      <c r="J889" s="14"/>
      <c r="K889" s="40"/>
    </row>
    <row r="890" spans="4:11">
      <c r="D890" s="9"/>
      <c r="G890" s="14"/>
      <c r="H890" s="40"/>
      <c r="I890" s="61"/>
      <c r="J890" s="14"/>
      <c r="K890" s="40"/>
    </row>
    <row r="891" spans="4:11">
      <c r="D891" s="9"/>
      <c r="G891" s="14"/>
      <c r="H891" s="40"/>
      <c r="I891" s="61"/>
      <c r="J891" s="14"/>
      <c r="K891" s="40"/>
    </row>
    <row r="892" spans="4:11">
      <c r="D892" s="9"/>
      <c r="G892" s="14"/>
      <c r="H892" s="40"/>
      <c r="I892" s="61"/>
      <c r="J892" s="14"/>
      <c r="K892" s="40"/>
    </row>
    <row r="893" spans="4:11">
      <c r="D893" s="9"/>
      <c r="G893" s="14"/>
      <c r="H893" s="40"/>
      <c r="I893" s="61"/>
      <c r="J893" s="14"/>
      <c r="K893" s="40"/>
    </row>
    <row r="894" spans="4:11">
      <c r="D894" s="9"/>
      <c r="G894" s="14"/>
      <c r="H894" s="40"/>
      <c r="I894" s="61"/>
      <c r="J894" s="14"/>
      <c r="K894" s="40"/>
    </row>
    <row r="895" spans="4:11">
      <c r="D895" s="9"/>
      <c r="G895" s="14"/>
      <c r="H895" s="40"/>
      <c r="I895" s="61"/>
      <c r="J895" s="14"/>
      <c r="K895" s="40"/>
    </row>
    <row r="934" spans="4:11">
      <c r="D934" s="23"/>
      <c r="F934" s="35"/>
      <c r="G934" s="14"/>
      <c r="H934" s="40"/>
      <c r="J934" s="14"/>
      <c r="K934" s="40"/>
    </row>
  </sheetData>
  <mergeCells count="28">
    <mergeCell ref="A41:K41"/>
    <mergeCell ref="A5:K5"/>
    <mergeCell ref="A8:K8"/>
    <mergeCell ref="A9:K9"/>
    <mergeCell ref="A20:C20"/>
    <mergeCell ref="A36:K36"/>
    <mergeCell ref="A502:K502"/>
    <mergeCell ref="C79:J79"/>
    <mergeCell ref="A84:K84"/>
    <mergeCell ref="C121:J121"/>
    <mergeCell ref="A128:K128"/>
    <mergeCell ref="C135:D135"/>
    <mergeCell ref="C139:D139"/>
    <mergeCell ref="A175:K175"/>
    <mergeCell ref="C213:I213"/>
    <mergeCell ref="B227:K227"/>
    <mergeCell ref="C321:J321"/>
    <mergeCell ref="A464:K464"/>
    <mergeCell ref="A763:K763"/>
    <mergeCell ref="C797:J797"/>
    <mergeCell ref="A801:K801"/>
    <mergeCell ref="A838:K838"/>
    <mergeCell ref="A541:K541"/>
    <mergeCell ref="A578:K578"/>
    <mergeCell ref="A615:K615"/>
    <mergeCell ref="A652:K652"/>
    <mergeCell ref="A689:K689"/>
    <mergeCell ref="A726:K726"/>
  </mergeCells>
  <printOptions horizontalCentered="1"/>
  <pageMargins left="0.17" right="0.17" top="0.47" bottom="0.53" header="0.5" footer="0.24"/>
  <pageSetup scale="70" fitToHeight="47" orientation="landscape" r:id="rId1"/>
  <headerFooter alignWithMargins="0"/>
  <rowBreaks count="20" manualBreakCount="20">
    <brk id="39" max="12" man="1"/>
    <brk id="82" max="12" man="1"/>
    <brk id="124" max="12" man="1"/>
    <brk id="172" max="12" man="1"/>
    <brk id="224" max="12" man="1"/>
    <brk id="274" max="12" man="1"/>
    <brk id="323" max="10" man="1"/>
    <brk id="357" max="10" man="1"/>
    <brk id="408" max="12" man="1"/>
    <brk id="461" max="10" man="1"/>
    <brk id="499" max="10" man="1"/>
    <brk id="538" max="10" man="1"/>
    <brk id="575" max="10" man="1"/>
    <brk id="612" max="10" man="1"/>
    <brk id="649" max="10" man="1"/>
    <brk id="686" max="10" man="1"/>
    <brk id="723" max="10" man="1"/>
    <brk id="760" max="10" man="1"/>
    <brk id="798" max="10" man="1"/>
    <brk id="835" max="1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56</vt:i4>
      </vt:variant>
    </vt:vector>
  </HeadingPairs>
  <TitlesOfParts>
    <vt:vector size="62" baseType="lpstr">
      <vt:lpstr>ALL CU</vt:lpstr>
      <vt:lpstr>System Office</vt:lpstr>
      <vt:lpstr> BDB Boulder</vt:lpstr>
      <vt:lpstr> BDB UCCS</vt:lpstr>
      <vt:lpstr> BDB Denver</vt:lpstr>
      <vt:lpstr>BDB Anschutz</vt:lpstr>
      <vt:lpstr>' BDB Boulder'!_____FMT1100</vt:lpstr>
      <vt:lpstr>' BDB Denver'!_____FMT1100</vt:lpstr>
      <vt:lpstr>' BDB UCCS'!_____FMT1100</vt:lpstr>
      <vt:lpstr>'BDB Anschutz'!_____FMT1100</vt:lpstr>
      <vt:lpstr>'System Office'!_____FMT1100</vt:lpstr>
      <vt:lpstr>' BDB Boulder'!_____FMT1300</vt:lpstr>
      <vt:lpstr>' BDB Denver'!_____FMT1300</vt:lpstr>
      <vt:lpstr>' BDB UCCS'!_____FMT1300</vt:lpstr>
      <vt:lpstr>'BDB Anschutz'!_____FMT1300</vt:lpstr>
      <vt:lpstr>'System Office'!_____FMT1300</vt:lpstr>
      <vt:lpstr>' BDB Boulder'!_____FMT1400</vt:lpstr>
      <vt:lpstr>' BDB Denver'!_____FMT1400</vt:lpstr>
      <vt:lpstr>' BDB UCCS'!_____FMT1400</vt:lpstr>
      <vt:lpstr>'BDB Anschutz'!_____FMT1400</vt:lpstr>
      <vt:lpstr>'System Office'!_____FMT1400</vt:lpstr>
      <vt:lpstr>' BDB Boulder'!_____FMT1500</vt:lpstr>
      <vt:lpstr>' BDB Denver'!_____FMT1500</vt:lpstr>
      <vt:lpstr>' BDB UCCS'!_____FMT1500</vt:lpstr>
      <vt:lpstr>'BDB Anschutz'!_____FMT1500</vt:lpstr>
      <vt:lpstr>'System Office'!_____FMT1500</vt:lpstr>
      <vt:lpstr>' BDB Boulder'!_____FMT1600</vt:lpstr>
      <vt:lpstr>' BDB Denver'!_____FMT1600</vt:lpstr>
      <vt:lpstr>' BDB UCCS'!_____FMT1600</vt:lpstr>
      <vt:lpstr>'BDB Anschutz'!_____FMT1600</vt:lpstr>
      <vt:lpstr>'System Office'!_____FMT1600</vt:lpstr>
      <vt:lpstr>' BDB Boulder'!_____FMT1700</vt:lpstr>
      <vt:lpstr>' BDB Denver'!_____FMT1700</vt:lpstr>
      <vt:lpstr>' BDB UCCS'!_____FMT1700</vt:lpstr>
      <vt:lpstr>'BDB Anschutz'!_____FMT1700</vt:lpstr>
      <vt:lpstr>'System Office'!_____FMT1700</vt:lpstr>
      <vt:lpstr>' BDB Boulder'!_____FMT1800</vt:lpstr>
      <vt:lpstr>' BDB Denver'!_____FMT1800</vt:lpstr>
      <vt:lpstr>' BDB UCCS'!_____FMT1800</vt:lpstr>
      <vt:lpstr>'BDB Anschutz'!_____FMT1800</vt:lpstr>
      <vt:lpstr>'System Office'!_____FMT1800</vt:lpstr>
      <vt:lpstr>' BDB Boulder'!_____FMT1900</vt:lpstr>
      <vt:lpstr>' BDB Denver'!_____FMT1900</vt:lpstr>
      <vt:lpstr>' BDB UCCS'!_____FMT1900</vt:lpstr>
      <vt:lpstr>'BDB Anschutz'!_____FMT1900</vt:lpstr>
      <vt:lpstr>'System Office'!_____FMT1900</vt:lpstr>
      <vt:lpstr>' BDB Boulder'!_____FMT20</vt:lpstr>
      <vt:lpstr>' BDB Denver'!_____FMT20</vt:lpstr>
      <vt:lpstr>' BDB UCCS'!_____FMT20</vt:lpstr>
      <vt:lpstr>'BDB Anschutz'!_____FMT20</vt:lpstr>
      <vt:lpstr>'System Office'!_____FMT20</vt:lpstr>
      <vt:lpstr>' BDB Boulder'!_____FMT2000</vt:lpstr>
      <vt:lpstr>' BDB Denver'!_____FMT2000</vt:lpstr>
      <vt:lpstr>' BDB UCCS'!_____FMT2000</vt:lpstr>
      <vt:lpstr>'BDB Anschutz'!_____FMT2000</vt:lpstr>
      <vt:lpstr>'System Office'!_____FMT2000</vt:lpstr>
      <vt:lpstr>' BDB Boulder'!Print_Area</vt:lpstr>
      <vt:lpstr>' BDB Denver'!Print_Area</vt:lpstr>
      <vt:lpstr>' BDB UCCS'!Print_Area</vt:lpstr>
      <vt:lpstr>'ALL CU'!Print_Area</vt:lpstr>
      <vt:lpstr>'BDB Anschutz'!Print_Area</vt:lpstr>
      <vt:lpstr>'System Office'!Print_Area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baldwin</dc:creator>
  <cp:lastModifiedBy>Ryan Allred</cp:lastModifiedBy>
  <cp:lastPrinted>2017-09-08T20:01:51Z</cp:lastPrinted>
  <dcterms:created xsi:type="dcterms:W3CDTF">2011-11-09T21:39:40Z</dcterms:created>
  <dcterms:modified xsi:type="dcterms:W3CDTF">2017-11-30T16:00:10Z</dcterms:modified>
</cp:coreProperties>
</file>