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fileSharing userName="Amy Simonson" algorithmName="SHA-512" hashValue="KXtUwyH8XfCC2BIF/KI5kAYE3CW+uMCtN3/9iT0E6lFGUbrtFuHTjilR2f6JFl4ZcGIqjnrwGxVrSp75qsoj2Q==" saltValue="+4K8XvBSfCOk/b8Eeczqkw==" spinCount="100000"/>
  <workbookPr codeName="ThisWorkbook"/>
  <mc:AlternateContent xmlns:mc="http://schemas.openxmlformats.org/markup-compatibility/2006">
    <mc:Choice Requires="x15">
      <x15ac:absPath xmlns:x15ac="http://schemas.microsoft.com/office/spreadsheetml/2010/11/ac" url="S:\Employee Services\Shared\500_HRMS\Contract Renewal-PayProd-HRIS\2026-27 Renewal\Calculators\"/>
    </mc:Choice>
  </mc:AlternateContent>
  <xr:revisionPtr revIDLastSave="0" documentId="13_ncr:10001_{A34E8671-B61F-47FF-889F-4E604F4DC546}" xr6:coauthVersionLast="47" xr6:coauthVersionMax="47" xr10:uidLastSave="{00000000-0000-0000-0000-000000000000}"/>
  <bookViews>
    <workbookView xWindow="-23148" yWindow="-108" windowWidth="23256" windowHeight="12456" tabRatio="744" xr2:uid="{00000000-000D-0000-FFFF-FFFF00000000}"/>
  </bookViews>
  <sheets>
    <sheet name="Contract Def Comp Calculator" sheetId="8" r:id="rId1"/>
    <sheet name="Deferred Comp Calculator" sheetId="1" r:id="rId2"/>
    <sheet name="Max Deferred Comp Calculator" sheetId="3" r:id="rId3"/>
    <sheet name="Calculator - Custom Dates" sheetId="6" r:id="rId4"/>
    <sheet name="School Calendars" sheetId="2" r:id="rId5"/>
    <sheet name="Crosswalk" sheetId="12" r:id="rId6"/>
    <sheet name="Mid Year Calculator" sheetId="9" state="hidden" r:id="rId7"/>
    <sheet name="Instructions for Mid Year Calc" sheetId="10" state="hidden" r:id="rId8"/>
    <sheet name="AS_CONTRACT_EARNINGS " sheetId="11" state="hidden" r:id="rId9"/>
  </sheets>
  <definedNames>
    <definedName name="_xlnm._FilterDatabase" localSheetId="5" hidden="1">Crosswalk!$A$1:$K$13</definedName>
    <definedName name="_xlnm.Print_Area" localSheetId="0">'Contract Def Comp Calculator'!$A$1:$H$34</definedName>
    <definedName name="_xlnm.Print_Area" localSheetId="6">'Mid Year Calculator'!$A$1:$H$34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6" l="1"/>
  <c r="M5" i="6"/>
  <c r="M5" i="1"/>
  <c r="T9" i="8"/>
  <c r="T8" i="8"/>
  <c r="N21" i="2"/>
  <c r="N22" i="2"/>
  <c r="N23" i="2"/>
  <c r="N24" i="2"/>
  <c r="N25" i="2"/>
  <c r="N26" i="2"/>
  <c r="N27" i="2"/>
  <c r="N28" i="2"/>
  <c r="N20" i="2"/>
  <c r="K16" i="11" l="1"/>
  <c r="L19" i="11" s="1"/>
  <c r="L16" i="11"/>
  <c r="L18" i="11" s="1"/>
  <c r="J5" i="9"/>
  <c r="J6" i="9"/>
  <c r="J7" i="9"/>
  <c r="W7" i="9"/>
  <c r="U7" i="9" s="1"/>
  <c r="Y7" i="9"/>
  <c r="Z7" i="9"/>
  <c r="J8" i="9"/>
  <c r="U8" i="9"/>
  <c r="W8" i="9"/>
  <c r="X16" i="9" s="1"/>
  <c r="Z8" i="9"/>
  <c r="J9" i="9"/>
  <c r="U9" i="9"/>
  <c r="W9" i="9"/>
  <c r="Z9" i="9"/>
  <c r="J10" i="9"/>
  <c r="W10" i="9"/>
  <c r="U10" i="9" s="1"/>
  <c r="X17" i="9" s="1"/>
  <c r="Y10" i="9"/>
  <c r="Z10" i="9"/>
  <c r="J11" i="9"/>
  <c r="J12" i="9"/>
  <c r="J13" i="9"/>
  <c r="F14" i="9"/>
  <c r="J14" i="9"/>
  <c r="J15" i="9"/>
  <c r="J16" i="9"/>
  <c r="J17" i="9"/>
  <c r="Y20" i="9"/>
  <c r="W20" i="9" s="1"/>
  <c r="AA20" i="9"/>
  <c r="AB20" i="9"/>
  <c r="W21" i="9"/>
  <c r="Y21" i="9"/>
  <c r="X29" i="9" s="1"/>
  <c r="AB21" i="9"/>
  <c r="W22" i="9"/>
  <c r="Y22" i="9"/>
  <c r="AB22" i="9"/>
  <c r="Y23" i="9"/>
  <c r="W23" i="9" s="1"/>
  <c r="X30" i="9" s="1"/>
  <c r="AA23" i="9"/>
  <c r="AB23" i="9"/>
  <c r="Z25" i="9" l="1"/>
  <c r="Z26" i="9" s="1"/>
  <c r="X28" i="9"/>
  <c r="X12" i="9"/>
  <c r="X13" i="9" s="1"/>
  <c r="X15" i="9"/>
  <c r="M17" i="6"/>
  <c r="M18" i="6"/>
  <c r="P3" i="6"/>
  <c r="C9" i="8" a="1"/>
  <c r="C9" i="8" s="1"/>
  <c r="F14" i="8"/>
  <c r="AA29" i="9" l="1"/>
  <c r="AA28" i="9"/>
  <c r="AA30" i="9"/>
  <c r="AA15" i="9"/>
  <c r="AA17" i="9"/>
  <c r="AA16" i="9"/>
  <c r="E7" i="6"/>
  <c r="M5" i="9" l="1"/>
  <c r="K5" i="9"/>
  <c r="F15" i="8" a="1"/>
  <c r="F15" i="8" s="1"/>
  <c r="K6" i="9" l="1"/>
  <c r="L5" i="9"/>
  <c r="M6" i="9"/>
  <c r="F11" i="8" a="1"/>
  <c r="F11" i="8" s="1"/>
  <c r="C10" i="8" a="1"/>
  <c r="C10" i="8" s="1"/>
  <c r="C11" i="8" a="1"/>
  <c r="C11" i="8" s="1"/>
  <c r="F10" i="8" a="1"/>
  <c r="F10" i="8" s="1"/>
  <c r="P19" i="6"/>
  <c r="O19" i="6"/>
  <c r="M19" i="6"/>
  <c r="K19" i="6" s="1"/>
  <c r="L26" i="6" s="1"/>
  <c r="P18" i="6"/>
  <c r="K18" i="6"/>
  <c r="P17" i="6"/>
  <c r="L25" i="6"/>
  <c r="K17" i="6"/>
  <c r="P16" i="6"/>
  <c r="O16" i="6"/>
  <c r="M16" i="6"/>
  <c r="K16" i="6" s="1"/>
  <c r="L24" i="6" s="1"/>
  <c r="P6" i="6"/>
  <c r="O6" i="6"/>
  <c r="M6" i="6"/>
  <c r="K6" i="6" s="1"/>
  <c r="L13" i="6" s="1"/>
  <c r="P5" i="6"/>
  <c r="K5" i="6"/>
  <c r="P4" i="6"/>
  <c r="L12" i="6"/>
  <c r="K4" i="6"/>
  <c r="O3" i="6"/>
  <c r="M3" i="6"/>
  <c r="K3" i="6" s="1"/>
  <c r="L6" i="9" l="1"/>
  <c r="M7" i="9"/>
  <c r="M8" i="9" s="1"/>
  <c r="M9" i="9" s="1"/>
  <c r="K7" i="9"/>
  <c r="K8" i="9" s="1"/>
  <c r="U16" i="8"/>
  <c r="N8" i="6"/>
  <c r="N9" i="6" s="1"/>
  <c r="O12" i="6" s="1"/>
  <c r="Y21" i="8"/>
  <c r="X20" i="8"/>
  <c r="V21" i="8"/>
  <c r="U29" i="8" s="1"/>
  <c r="V20" i="8"/>
  <c r="T20" i="8" s="1"/>
  <c r="Y20" i="8"/>
  <c r="V22" i="8"/>
  <c r="T21" i="8"/>
  <c r="J10" i="8"/>
  <c r="J9" i="8"/>
  <c r="J8" i="8"/>
  <c r="T7" i="8"/>
  <c r="R7" i="8" s="1"/>
  <c r="J15" i="8"/>
  <c r="R8" i="8"/>
  <c r="J17" i="8"/>
  <c r="J7" i="8"/>
  <c r="W8" i="8"/>
  <c r="V7" i="8"/>
  <c r="J13" i="8"/>
  <c r="J12" i="8"/>
  <c r="J6" i="8"/>
  <c r="W7" i="8"/>
  <c r="J16" i="8"/>
  <c r="J14" i="8"/>
  <c r="J11" i="8"/>
  <c r="J5" i="8"/>
  <c r="W10" i="8"/>
  <c r="W9" i="8"/>
  <c r="V10" i="8"/>
  <c r="T10" i="8"/>
  <c r="R10" i="8" s="1"/>
  <c r="R9" i="8"/>
  <c r="Y23" i="8"/>
  <c r="Y22" i="8"/>
  <c r="V23" i="8"/>
  <c r="T23" i="8" s="1"/>
  <c r="X23" i="8"/>
  <c r="T22" i="8"/>
  <c r="L11" i="6"/>
  <c r="N21" i="6"/>
  <c r="N22" i="6" s="1"/>
  <c r="B3" i="6" a="1"/>
  <c r="B3" i="6" s="1"/>
  <c r="B3" i="3" a="1"/>
  <c r="B3" i="3" s="1"/>
  <c r="L7" i="9" l="1"/>
  <c r="M10" i="9"/>
  <c r="M11" i="9" s="1"/>
  <c r="L8" i="9"/>
  <c r="K9" i="9"/>
  <c r="K10" i="9" s="1"/>
  <c r="O11" i="6"/>
  <c r="W25" i="8"/>
  <c r="W26" i="8" s="1"/>
  <c r="O13" i="6"/>
  <c r="U28" i="8"/>
  <c r="U17" i="8"/>
  <c r="U30" i="8"/>
  <c r="U15" i="8"/>
  <c r="U12" i="8"/>
  <c r="U13" i="8" s="1"/>
  <c r="O26" i="6"/>
  <c r="O24" i="6"/>
  <c r="O25" i="6"/>
  <c r="E9" i="6" a="1"/>
  <c r="E9" i="6" s="1"/>
  <c r="E8" i="3" a="1"/>
  <c r="E8" i="3" s="1"/>
  <c r="B3" i="1" a="1"/>
  <c r="B3" i="1" s="1"/>
  <c r="L10" i="9" l="1"/>
  <c r="K11" i="9"/>
  <c r="K12" i="9" s="1"/>
  <c r="L9" i="9"/>
  <c r="M12" i="9"/>
  <c r="E5" i="3" a="1"/>
  <c r="E5" i="3" s="1"/>
  <c r="E4" i="3" a="1"/>
  <c r="E4" i="3" s="1"/>
  <c r="B4" i="3" a="1"/>
  <c r="B4" i="3" s="1"/>
  <c r="B4" i="1" a="1"/>
  <c r="B4" i="1" s="1"/>
  <c r="M4" i="1" s="1"/>
  <c r="B5" i="3" a="1"/>
  <c r="B5" i="3" s="1"/>
  <c r="C15" i="8"/>
  <c r="C16" i="8" s="1"/>
  <c r="X17" i="8"/>
  <c r="X15" i="8"/>
  <c r="X16" i="8"/>
  <c r="X30" i="8"/>
  <c r="X28" i="8"/>
  <c r="X29" i="8"/>
  <c r="E9" i="1" a="1"/>
  <c r="E9" i="1" s="1"/>
  <c r="B24" i="6"/>
  <c r="B20" i="6"/>
  <c r="B19" i="6"/>
  <c r="B18" i="6"/>
  <c r="B23" i="6"/>
  <c r="B25" i="6"/>
  <c r="B22" i="6"/>
  <c r="B28" i="6"/>
  <c r="B27" i="6"/>
  <c r="B26" i="6"/>
  <c r="B21" i="6"/>
  <c r="B17" i="6"/>
  <c r="B16" i="6"/>
  <c r="E4" i="1" a="1"/>
  <c r="E4" i="1" s="1"/>
  <c r="E5" i="1" a="1"/>
  <c r="E5" i="1" s="1"/>
  <c r="M19" i="1" s="1"/>
  <c r="K19" i="1" s="1"/>
  <c r="B5" i="1" a="1"/>
  <c r="B5" i="1" s="1"/>
  <c r="M5" i="3" l="1"/>
  <c r="M4" i="3"/>
  <c r="L12" i="3" s="1"/>
  <c r="L11" i="9"/>
  <c r="L12" i="9"/>
  <c r="K13" i="9"/>
  <c r="K14" i="9" s="1"/>
  <c r="K15" i="9" s="1"/>
  <c r="K16" i="9" s="1"/>
  <c r="K17" i="9" s="1"/>
  <c r="K18" i="9" s="1"/>
  <c r="M13" i="9"/>
  <c r="L12" i="1"/>
  <c r="M18" i="3"/>
  <c r="M17" i="3"/>
  <c r="L25" i="3" s="1"/>
  <c r="M5" i="8"/>
  <c r="M6" i="8" s="1"/>
  <c r="K5" i="8"/>
  <c r="K5" i="1"/>
  <c r="M6" i="1"/>
  <c r="K6" i="1" s="1"/>
  <c r="C25" i="1" s="1"/>
  <c r="P16" i="3"/>
  <c r="P17" i="3"/>
  <c r="O16" i="3"/>
  <c r="M16" i="3"/>
  <c r="K16" i="3" s="1"/>
  <c r="K17" i="3"/>
  <c r="P4" i="3"/>
  <c r="O3" i="3"/>
  <c r="M3" i="3"/>
  <c r="K3" i="3" s="1"/>
  <c r="K4" i="3"/>
  <c r="P3" i="3"/>
  <c r="O19" i="3"/>
  <c r="K18" i="3"/>
  <c r="M19" i="3"/>
  <c r="K19" i="3" s="1"/>
  <c r="L26" i="3" s="1"/>
  <c r="P19" i="3"/>
  <c r="P18" i="3"/>
  <c r="M6" i="3"/>
  <c r="K6" i="3" s="1"/>
  <c r="P6" i="3"/>
  <c r="P5" i="3"/>
  <c r="O6" i="3"/>
  <c r="K5" i="3"/>
  <c r="M18" i="1"/>
  <c r="M17" i="1"/>
  <c r="L25" i="1" s="1"/>
  <c r="B18" i="3"/>
  <c r="B19" i="3"/>
  <c r="B17" i="3"/>
  <c r="B23" i="3"/>
  <c r="B15" i="3"/>
  <c r="K4" i="1"/>
  <c r="B14" i="3"/>
  <c r="B24" i="3"/>
  <c r="B20" i="3"/>
  <c r="B16" i="3"/>
  <c r="B26" i="3"/>
  <c r="B21" i="3"/>
  <c r="B25" i="3"/>
  <c r="B22" i="3"/>
  <c r="C28" i="6"/>
  <c r="C25" i="6"/>
  <c r="C16" i="6"/>
  <c r="K18" i="1"/>
  <c r="K17" i="1"/>
  <c r="P18" i="1"/>
  <c r="P5" i="1"/>
  <c r="B24" i="1"/>
  <c r="P16" i="1"/>
  <c r="P17" i="1"/>
  <c r="B20" i="1"/>
  <c r="B28" i="1"/>
  <c r="B16" i="1"/>
  <c r="P4" i="1"/>
  <c r="B26" i="1"/>
  <c r="B22" i="1"/>
  <c r="B18" i="1"/>
  <c r="B27" i="1"/>
  <c r="B23" i="1"/>
  <c r="B19" i="1"/>
  <c r="B25" i="1"/>
  <c r="B21" i="1"/>
  <c r="B17" i="1"/>
  <c r="P19" i="1"/>
  <c r="O19" i="1"/>
  <c r="O16" i="1"/>
  <c r="M16" i="1"/>
  <c r="K16" i="1" s="1"/>
  <c r="P6" i="1"/>
  <c r="O6" i="1"/>
  <c r="M3" i="1"/>
  <c r="K3" i="1" s="1"/>
  <c r="P3" i="1"/>
  <c r="O3" i="1"/>
  <c r="L13" i="9" l="1"/>
  <c r="M14" i="9"/>
  <c r="L13" i="3"/>
  <c r="C23" i="3"/>
  <c r="L5" i="8"/>
  <c r="K6" i="8"/>
  <c r="M7" i="8"/>
  <c r="M8" i="8" s="1"/>
  <c r="C26" i="3"/>
  <c r="L24" i="3"/>
  <c r="N21" i="3"/>
  <c r="N8" i="3"/>
  <c r="L11" i="3"/>
  <c r="C14" i="3"/>
  <c r="E10" i="6"/>
  <c r="B9" i="6"/>
  <c r="B10" i="6" s="1"/>
  <c r="D16" i="6"/>
  <c r="F16" i="6"/>
  <c r="L26" i="1"/>
  <c r="C28" i="1"/>
  <c r="L13" i="1"/>
  <c r="L24" i="1"/>
  <c r="N21" i="1"/>
  <c r="N22" i="1" s="1"/>
  <c r="C16" i="1"/>
  <c r="N8" i="1"/>
  <c r="N9" i="1" s="1"/>
  <c r="L11" i="1"/>
  <c r="L14" i="9" l="1"/>
  <c r="M15" i="9"/>
  <c r="L6" i="8"/>
  <c r="K7" i="8"/>
  <c r="M9" i="8"/>
  <c r="M10" i="8" s="1"/>
  <c r="M11" i="8" s="1"/>
  <c r="D17" i="6"/>
  <c r="F17" i="6"/>
  <c r="F18" i="6" s="1"/>
  <c r="F19" i="6" s="1"/>
  <c r="E16" i="6"/>
  <c r="B9" i="1"/>
  <c r="B10" i="1" s="1"/>
  <c r="O25" i="1"/>
  <c r="O24" i="1"/>
  <c r="O26" i="1"/>
  <c r="O13" i="1"/>
  <c r="O12" i="1"/>
  <c r="O11" i="1"/>
  <c r="L15" i="9" l="1"/>
  <c r="M16" i="9"/>
  <c r="K8" i="8"/>
  <c r="K9" i="8" s="1"/>
  <c r="D16" i="1"/>
  <c r="D17" i="1" s="1"/>
  <c r="D18" i="1" s="1"/>
  <c r="F16" i="1"/>
  <c r="L7" i="8"/>
  <c r="M12" i="8"/>
  <c r="N9" i="3"/>
  <c r="N22" i="3"/>
  <c r="D18" i="6"/>
  <c r="E18" i="6" s="1"/>
  <c r="F20" i="6"/>
  <c r="E17" i="6"/>
  <c r="L16" i="9" l="1"/>
  <c r="M17" i="9"/>
  <c r="L9" i="8"/>
  <c r="L8" i="8"/>
  <c r="E16" i="1"/>
  <c r="F17" i="1"/>
  <c r="F18" i="1" s="1"/>
  <c r="F19" i="1" s="1"/>
  <c r="K10" i="8"/>
  <c r="M13" i="8"/>
  <c r="O26" i="3"/>
  <c r="O24" i="3"/>
  <c r="O25" i="3"/>
  <c r="O12" i="3"/>
  <c r="O13" i="3"/>
  <c r="O11" i="3"/>
  <c r="F21" i="6"/>
  <c r="D19" i="6"/>
  <c r="D19" i="1"/>
  <c r="D20" i="1" s="1"/>
  <c r="L17" i="9" l="1"/>
  <c r="L18" i="9" s="1"/>
  <c r="M18" i="9"/>
  <c r="F14" i="3"/>
  <c r="F15" i="3" s="1"/>
  <c r="F16" i="3" s="1"/>
  <c r="F17" i="3" s="1"/>
  <c r="F18" i="3" s="1"/>
  <c r="F19" i="3" s="1"/>
  <c r="F20" i="3" s="1"/>
  <c r="K11" i="8"/>
  <c r="D14" i="3"/>
  <c r="E17" i="1"/>
  <c r="L10" i="8"/>
  <c r="M14" i="8"/>
  <c r="M15" i="8" s="1"/>
  <c r="D20" i="6"/>
  <c r="D21" i="6" s="1"/>
  <c r="E21" i="6" s="1"/>
  <c r="E19" i="6"/>
  <c r="F22" i="6"/>
  <c r="F23" i="6" s="1"/>
  <c r="F24" i="6" s="1"/>
  <c r="F20" i="1"/>
  <c r="F21" i="1" s="1"/>
  <c r="F22" i="1" s="1"/>
  <c r="D21" i="1"/>
  <c r="D22" i="1" s="1"/>
  <c r="E18" i="1"/>
  <c r="E19" i="1"/>
  <c r="E14" i="3" l="1"/>
  <c r="L11" i="8"/>
  <c r="K12" i="8"/>
  <c r="L12" i="8" s="1"/>
  <c r="D15" i="3"/>
  <c r="D16" i="3" s="1"/>
  <c r="E16" i="3" s="1"/>
  <c r="M16" i="8"/>
  <c r="F21" i="3"/>
  <c r="F22" i="3" s="1"/>
  <c r="F23" i="3" s="1"/>
  <c r="F24" i="3" s="1"/>
  <c r="D22" i="6"/>
  <c r="E22" i="6" s="1"/>
  <c r="E20" i="6"/>
  <c r="F25" i="6"/>
  <c r="F23" i="1"/>
  <c r="F24" i="1" s="1"/>
  <c r="D23" i="1"/>
  <c r="D24" i="1" s="1"/>
  <c r="E22" i="1"/>
  <c r="E21" i="1"/>
  <c r="E20" i="1"/>
  <c r="K13" i="8" l="1"/>
  <c r="E15" i="3"/>
  <c r="D17" i="3"/>
  <c r="E17" i="3" s="1"/>
  <c r="M17" i="8"/>
  <c r="F25" i="3"/>
  <c r="F26" i="3" s="1"/>
  <c r="D23" i="6"/>
  <c r="F26" i="6"/>
  <c r="F25" i="1"/>
  <c r="F26" i="1" s="1"/>
  <c r="F27" i="1" s="1"/>
  <c r="F28" i="1" s="1"/>
  <c r="D25" i="1"/>
  <c r="D26" i="1" s="1"/>
  <c r="L13" i="8" l="1"/>
  <c r="K14" i="8"/>
  <c r="D18" i="3"/>
  <c r="D19" i="3" s="1"/>
  <c r="M18" i="8"/>
  <c r="E23" i="6"/>
  <c r="D24" i="6"/>
  <c r="F27" i="6"/>
  <c r="D27" i="1"/>
  <c r="D28" i="1" s="1"/>
  <c r="D29" i="1" s="1"/>
  <c r="E23" i="1"/>
  <c r="E24" i="1"/>
  <c r="K15" i="8" l="1"/>
  <c r="L14" i="8"/>
  <c r="E18" i="3"/>
  <c r="D20" i="3"/>
  <c r="D21" i="3" s="1"/>
  <c r="D22" i="3" s="1"/>
  <c r="D23" i="3" s="1"/>
  <c r="D24" i="3" s="1"/>
  <c r="D25" i="3" s="1"/>
  <c r="D26" i="3" s="1"/>
  <c r="D25" i="6"/>
  <c r="E24" i="6"/>
  <c r="F28" i="6"/>
  <c r="E19" i="3"/>
  <c r="E25" i="1"/>
  <c r="K16" i="8" l="1"/>
  <c r="L15" i="8"/>
  <c r="D26" i="6"/>
  <c r="E25" i="6"/>
  <c r="F29" i="6"/>
  <c r="E20" i="3"/>
  <c r="E26" i="1"/>
  <c r="K17" i="8" l="1"/>
  <c r="K18" i="8" s="1"/>
  <c r="L16" i="8"/>
  <c r="L17" i="8"/>
  <c r="E26" i="6"/>
  <c r="D27" i="6"/>
  <c r="E22" i="3"/>
  <c r="E21" i="3"/>
  <c r="E27" i="1"/>
  <c r="L18" i="8" l="1"/>
  <c r="D28" i="6"/>
  <c r="D29" i="6" s="1"/>
  <c r="E27" i="6"/>
  <c r="E28" i="6"/>
  <c r="E29" i="6" s="1"/>
  <c r="E23" i="3"/>
  <c r="E28" i="1"/>
  <c r="E29" i="1" s="1"/>
  <c r="F29" i="1"/>
  <c r="E24" i="3" l="1"/>
  <c r="D27" i="3" l="1"/>
  <c r="E25" i="3"/>
  <c r="E26" i="3"/>
  <c r="E27" i="3" l="1"/>
  <c r="F27"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<sst xmlns="http://schemas.openxmlformats.org/spreadsheetml/2006/main" count="751" uniqueCount="142">
  <si>
    <t>9 Pay 12 Contract Deferred Compensation Calculator</t>
  </si>
  <si>
    <t>Academic Year Breakdown</t>
  </si>
  <si>
    <r>
      <rPr>
        <b/>
        <sz val="12"/>
        <color theme="1"/>
        <rFont val="Calibri"/>
        <family val="2"/>
        <scheme val="minor"/>
      </rPr>
      <t xml:space="preserve">Instructions: </t>
    </r>
    <r>
      <rPr>
        <sz val="12"/>
        <color theme="1"/>
        <rFont val="Calibri"/>
        <family val="2"/>
        <scheme val="minor"/>
      </rPr>
      <t>Select your Campus from the drop-down field selection and enter your anticipated combined Contract amounts for the Academic Year below. Contract dates and monthly breakdown will automatically calculate your 9 Pay 12 Contact amounts in the chart to the right.</t>
    </r>
  </si>
  <si>
    <t>Month Number</t>
  </si>
  <si>
    <t>Month</t>
  </si>
  <si>
    <t>CRG</t>
  </si>
  <si>
    <t>ENP</t>
  </si>
  <si>
    <t>Check Gross</t>
  </si>
  <si>
    <t>Month One:</t>
  </si>
  <si>
    <t>Month Two:</t>
  </si>
  <si>
    <t>Month Three:</t>
  </si>
  <si>
    <t>of</t>
  </si>
  <si>
    <t>Work Days in</t>
  </si>
  <si>
    <t>Campus:</t>
  </si>
  <si>
    <t>UCCS</t>
  </si>
  <si>
    <t>Employee Group:</t>
  </si>
  <si>
    <t>Faculty</t>
  </si>
  <si>
    <t>Month Four:</t>
  </si>
  <si>
    <t>Full Months in</t>
  </si>
  <si>
    <t>Year</t>
  </si>
  <si>
    <t>Contract Type:</t>
  </si>
  <si>
    <t>Month Five:</t>
  </si>
  <si>
    <t>Contract Begin Date:</t>
  </si>
  <si>
    <t>Contract End Date:</t>
  </si>
  <si>
    <t>Month Six:</t>
  </si>
  <si>
    <t>Payment Begin Date:</t>
  </si>
  <si>
    <t>Payment End Date:</t>
  </si>
  <si>
    <t>Month Seven:</t>
  </si>
  <si>
    <t>Month Eight:</t>
  </si>
  <si>
    <t>Contract Worth:</t>
  </si>
  <si>
    <t>Tax Year:</t>
  </si>
  <si>
    <t>Month Nine:</t>
  </si>
  <si>
    <t>Academic Year:</t>
  </si>
  <si>
    <t>Month Ten:</t>
  </si>
  <si>
    <t>Deferred Comp Amt:</t>
  </si>
  <si>
    <t>Maximum Deferred:</t>
  </si>
  <si>
    <t>Month Eleven:</t>
  </si>
  <si>
    <t>Contract</t>
  </si>
  <si>
    <t>Prorated First Month Pay:</t>
  </si>
  <si>
    <t>Work Days:</t>
  </si>
  <si>
    <t>Contract 9x12 Option:</t>
  </si>
  <si>
    <t>Month Twelve:</t>
  </si>
  <si>
    <t>Full Months Pay:</t>
  </si>
  <si>
    <t>Full Months:</t>
  </si>
  <si>
    <t>Month Thirteen:</t>
  </si>
  <si>
    <t>Prorated Last Month Pay:</t>
  </si>
  <si>
    <t>Totals</t>
  </si>
  <si>
    <t>Calculation of 12-Month Contract Proration</t>
  </si>
  <si>
    <r>
      <rPr>
        <b/>
        <sz val="12"/>
        <color rgb="FF000000"/>
        <rFont val="Calibri"/>
        <family val="2"/>
      </rPr>
      <t xml:space="preserve">Using the Calculator:
</t>
    </r>
    <r>
      <rPr>
        <sz val="12"/>
        <color rgb="FF000000"/>
        <rFont val="Calibri"/>
        <family val="2"/>
      </rPr>
      <t xml:space="preserve">     Enter your appropriate Campus and the total Contract Worth for </t>
    </r>
    <r>
      <rPr>
        <b/>
        <sz val="12"/>
        <color rgb="FF000000"/>
        <rFont val="Calibri"/>
        <family val="2"/>
      </rPr>
      <t>all</t>
    </r>
    <r>
      <rPr>
        <sz val="12"/>
        <color rgb="FF000000"/>
        <rFont val="Calibri"/>
        <family val="2"/>
      </rPr>
      <t xml:space="preserve"> contracts intended to be paid over the full 12 months. The calculator will provide the CRG (Contract Regular earnings) and ENP (Earnings Not Paid) values for each month and the net Gross pay for each month. It will also indicate if a 9x12 contract payment option is Available or Not Available, and the full deferred compensation amount that would be carried into the following year.
     For campuses who begin their contract in the middle of the month, there is a partial amount for Month One and Month Thirteen, the first and last month the contract would pay. For example: A contract that begins in the middle of August pays a partial month in the latter portion of August, then again pays a partial month for the beginning of August one year later. Month Thirteen is not used if no proration exists.</t>
    </r>
  </si>
  <si>
    <t>Payment</t>
  </si>
  <si>
    <t>Prorated Days:</t>
  </si>
  <si>
    <t>12-Month Adjusted Total Length:</t>
  </si>
  <si>
    <t>12-Month Adjusted Monthly Amount:</t>
  </si>
  <si>
    <t>Denver</t>
  </si>
  <si>
    <t>Calculation of 9-Month Contract Proration</t>
  </si>
  <si>
    <t>9-Month Adjusted Total Length:</t>
  </si>
  <si>
    <t>9-Month Adjusted Monthly Amount:</t>
  </si>
  <si>
    <t>For Display Purposes Only</t>
  </si>
  <si>
    <t>Days</t>
  </si>
  <si>
    <t>Check Total</t>
  </si>
  <si>
    <t>Boulder</t>
  </si>
  <si>
    <t>Max Contract Worth Allowed:</t>
  </si>
  <si>
    <t>Business Unit</t>
  </si>
  <si>
    <t>Employee Group</t>
  </si>
  <si>
    <t>Contract Pay Type</t>
  </si>
  <si>
    <t>Tax Year</t>
  </si>
  <si>
    <t>Max Deferred Compensation</t>
  </si>
  <si>
    <t>Contract Begin Date</t>
  </si>
  <si>
    <t>Contract End Date</t>
  </si>
  <si>
    <t>Payment Begin Date</t>
  </si>
  <si>
    <t>Payment End Date</t>
  </si>
  <si>
    <t>Fclt 9/12</t>
  </si>
  <si>
    <t>WARNING!!!
 THESE AMOUNTS ARE NOT FOR THE CURRENT YEAR
WARNING!!!</t>
  </si>
  <si>
    <t>Total Earnings Remaining</t>
  </si>
  <si>
    <t>Contract Earnings Remaining:</t>
  </si>
  <si>
    <t>See Mid Year Calculator</t>
  </si>
  <si>
    <t>Enter Total Earnings Remaining amount in Mid Year Calculator</t>
  </si>
  <si>
    <t>Enter Contract Earnings Remaining amount in Mid Year Calculator</t>
  </si>
  <si>
    <t>See AS_CONTRACT_EARNINGS tab</t>
  </si>
  <si>
    <t>Calculate Total Earnings Remaining (Comp Rate less Oth Py) in column L</t>
  </si>
  <si>
    <t>Calculate Contract Earnings Remaining (Comp Rate less CRG) in column L</t>
  </si>
  <si>
    <t>Total CRG in column L</t>
  </si>
  <si>
    <t>Convert CRG text to number</t>
  </si>
  <si>
    <t>Total Oth Py in column K</t>
  </si>
  <si>
    <t>Download to Excel</t>
  </si>
  <si>
    <t>Run AS_Contract_Earnings query
  Enter Empl ID
  Enter Pay Period End - use 08/01/20xx
  Enter Pay Period End 2 - use 08/31/20xx</t>
  </si>
  <si>
    <t>Notes</t>
  </si>
  <si>
    <t>Instruction</t>
  </si>
  <si>
    <t>Step</t>
  </si>
  <si>
    <t>From Job Data</t>
  </si>
  <si>
    <t>Compensation-No Proration</t>
  </si>
  <si>
    <t>N</t>
  </si>
  <si>
    <t>MON</t>
  </si>
  <si>
    <t>CU</t>
  </si>
  <si>
    <t>104079</t>
  </si>
  <si>
    <t>Oth Py</t>
  </si>
  <si>
    <t>Earn Code</t>
  </si>
  <si>
    <t>Earns End</t>
  </si>
  <si>
    <t>Earns Begin</t>
  </si>
  <si>
    <t>Pay Period End</t>
  </si>
  <si>
    <t>Off Cycle</t>
  </si>
  <si>
    <t>Group</t>
  </si>
  <si>
    <t>Co</t>
  </si>
  <si>
    <t>Empl Record</t>
  </si>
  <si>
    <t>ID</t>
  </si>
  <si>
    <t>Name</t>
  </si>
  <si>
    <t xml:space="preserve"> 17</t>
  </si>
  <si>
    <t>EMPL ID = 104079,Pay Period End=2024-08-01,Pay Period End 2=2025-08-31</t>
  </si>
  <si>
    <t>Contract Earnings Remaining</t>
  </si>
  <si>
    <t>Example</t>
  </si>
  <si>
    <t>Enter Contract Begin Date in Mid Year Calculator - 1st day of month of the unconfirmed monthly payroll</t>
  </si>
  <si>
    <t>Enter Payment Begin Date in Mid Year Calculator - 1st day of month of the unconfirmed monthly payroll</t>
  </si>
  <si>
    <t>Today is 1/15/25 and MN013125 is not confirmed. Use 1/1/25.</t>
  </si>
  <si>
    <t>Today is 1/24/25 and MN013125 is confirmed. Use 2/1/25.</t>
  </si>
  <si>
    <t>Contract End Date in Mid Year Calculator is auto-populated based on school calendar. This field can be overriden.</t>
  </si>
  <si>
    <t>Payment End Date in Mid Year Calculator is auto-populated based on school calendar. This field can be overriden.</t>
  </si>
  <si>
    <t>Enter Tax Year in Mid Year Calculator</t>
  </si>
  <si>
    <t>Does this need to be excluded? If so, why?</t>
  </si>
  <si>
    <t>Update this wording for mid year calculator</t>
  </si>
  <si>
    <r>
      <rPr>
        <b/>
        <sz val="12"/>
        <color rgb="FF000000"/>
        <rFont val="Calibri"/>
        <family val="2"/>
      </rPr>
      <t xml:space="preserve">Using the Mid Year Calculator:
</t>
    </r>
    <r>
      <rPr>
        <sz val="12"/>
        <color rgb="FF000000"/>
        <rFont val="Calibri"/>
        <family val="2"/>
      </rPr>
      <t xml:space="preserve">     Enter your appropriate Campus, Contract Being Date, Payment Begin Date, Earnings Remaining, and Total Earnings Remaining for </t>
    </r>
    <r>
      <rPr>
        <b/>
        <sz val="12"/>
        <color rgb="FF000000"/>
        <rFont val="Calibri"/>
        <family val="2"/>
      </rPr>
      <t>all</t>
    </r>
    <r>
      <rPr>
        <sz val="12"/>
        <color rgb="FF000000"/>
        <rFont val="Calibri"/>
        <family val="2"/>
      </rPr>
      <t xml:space="preserve"> contracts intended to be paid over the full 12 months. If changes are needed to the Contract End Date and Payment End Date, these fields can be overriden. The calculator will provide the CRG (Contract Regular earnings) and ENP (Earnings Not Paid) values for each month and the net Gross pay for each month. 
     For campuses who begin their contract in the middle of the month, there is a partial amount for Month One and Month Thirteen, the first and last month the contract would pay. For example: A contract that begins in the middle of August pays a partial month in the latter portion of August, then again pays a partial month for the beginning of August one year later. Month Thirteen is not used if no proration exists.</t>
    </r>
  </si>
  <si>
    <t>Mid Year Calculator</t>
  </si>
  <si>
    <r>
      <rPr>
        <b/>
        <sz val="12"/>
        <color theme="1"/>
        <rFont val="Calibri"/>
        <family val="2"/>
        <scheme val="minor"/>
      </rPr>
      <t xml:space="preserve">Instructions: </t>
    </r>
    <r>
      <rPr>
        <sz val="12"/>
        <color theme="1"/>
        <rFont val="Calibri"/>
        <family val="2"/>
        <scheme val="minor"/>
      </rPr>
      <t>Select your Campus from the drop-down field selection and enter your anticipated combined Contract amounts for the Academic Year below. Contract dates and monthly breakdown will automatically calculate the amounts in the chart to the right.</t>
    </r>
  </si>
  <si>
    <t>Empl ID = 104079
Pay Period End = 08/01/2024
Pay Period End 2 = 08/31/2025</t>
  </si>
  <si>
    <t>Obtain the Comp Rate from Job Data (If last row in spring is no proration, enter full amount. If last row in spring is prorate based on date, enter amount divided by 2 plus fall amount divided by 2.)</t>
  </si>
  <si>
    <t>Fclt 9/9</t>
  </si>
  <si>
    <t>Payment Term</t>
  </si>
  <si>
    <t>Pay Over Contract</t>
  </si>
  <si>
    <t>X Months</t>
  </si>
  <si>
    <t>Pay Over 12 Months</t>
  </si>
  <si>
    <t>Boulder - 1</t>
  </si>
  <si>
    <t>Denver - 3</t>
  </si>
  <si>
    <t>UCCS - 4</t>
  </si>
  <si>
    <t>Max Def Comp Rate</t>
  </si>
  <si>
    <t>9/9</t>
  </si>
  <si>
    <t>9/12</t>
  </si>
  <si>
    <t>AY overlaps</t>
  </si>
  <si>
    <t>12/17/26 - 12/31/26</t>
  </si>
  <si>
    <t>Winter Break</t>
  </si>
  <si>
    <t>Max Deferred</t>
  </si>
  <si>
    <t>Change</t>
  </si>
  <si>
    <t>12/12/26 - 01/10/27</t>
  </si>
  <si>
    <t>12/20/26 - 01/10/27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</si>
</sst>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00"/>
    <numFmt numFmtId="165" formatCode="0.0000"/>
    <numFmt numFmtId="166" formatCode="&quot;$&quot;#,##0"/>
  </numFmts>
  <fonts count="29" x14ac:knownFonts="1">
    <font>
      <sz val="11"/>
      <color theme="1"/>
      <name val="Calibri"/>
      <family val="2"/>
      <scheme val="minor"/>
    </font>
    <font>
      <b/>
      <sz val="11"/>
      <color theme="1"/>
      <name val="Calibri"/>
      <family val="2"/>
      <scheme val="minor"/>
    </font>
    <font>
      <b/>
      <sz val="11"/>
      <color rgb="FF7030A0"/>
      <name val="Calibri"/>
      <family val="2"/>
      <scheme val="minor"/>
    </font>
    <font>
      <sz val="11"/>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sz val="14"/>
      <color theme="1"/>
      <name val="Calibri"/>
      <family val="2"/>
      <scheme val="minor"/>
    </font>
    <font>
      <b/>
      <sz val="14"/>
      <color theme="1"/>
      <name val="Calibri"/>
      <family val="2"/>
      <scheme val="minor"/>
    </font>
    <font>
      <b/>
      <sz val="14"/>
      <color rgb="FF7030A0"/>
      <name val="Calibri"/>
      <family val="2"/>
      <scheme val="minor"/>
    </font>
    <font>
      <sz val="14"/>
      <name val="Calibri"/>
      <family val="2"/>
      <scheme val="minor"/>
    </font>
    <font>
      <sz val="12"/>
      <color theme="0"/>
      <name val="Calibri"/>
      <family val="2"/>
      <scheme val="minor"/>
    </font>
    <font>
      <b/>
      <i/>
      <sz val="11"/>
      <color theme="1"/>
      <name val="Calibri"/>
      <family val="2"/>
      <scheme val="minor"/>
    </font>
    <font>
      <i/>
      <sz val="11"/>
      <color theme="1"/>
      <name val="Calibri"/>
      <family val="2"/>
      <scheme val="minor"/>
    </font>
    <font>
      <sz val="12"/>
      <name val="Calibri"/>
      <family val="2"/>
      <scheme val="minor"/>
    </font>
    <font>
      <b/>
      <sz val="12"/>
      <color theme="0"/>
      <name val="Calibri"/>
      <family val="2"/>
      <scheme val="minor"/>
    </font>
    <font>
      <b/>
      <sz val="12"/>
      <color rgb="FF000000"/>
      <name val="Calibri"/>
      <family val="2"/>
    </font>
    <font>
      <sz val="12"/>
      <color rgb="FF000000"/>
      <name val="Calibri"/>
      <family val="2"/>
    </font>
    <font>
      <b/>
      <sz val="12"/>
      <color rgb="FFFFFFFF"/>
      <name val="Calibri"/>
      <family val="2"/>
      <scheme val="minor"/>
    </font>
    <font>
      <sz val="11"/>
      <color rgb="FFFF9933"/>
      <name val="Calibri"/>
      <family val="2"/>
      <scheme val="minor"/>
    </font>
    <font>
      <sz val="11"/>
      <color indexed="8"/>
      <name val="Calibri"/>
      <family val="2"/>
      <scheme val="minor"/>
    </font>
    <font>
      <sz val="11"/>
      <color rgb="FFFF1D1D"/>
      <name val="Calibri"/>
      <family val="2"/>
      <scheme val="minor"/>
    </font>
    <font>
      <b/>
      <sz val="10"/>
      <color indexed="0"/>
      <name val="Arial"/>
      <family val="2"/>
    </font>
    <font>
      <sz val="11"/>
      <color rgb="FFCC66FF"/>
      <name val="Calibri"/>
      <family val="2"/>
      <scheme val="minor"/>
    </font>
    <font>
      <sz val="12"/>
      <color rgb="FFED0000"/>
      <name val="Calibri"/>
      <family val="2"/>
      <scheme val="minor"/>
    </font>
    <font>
      <sz val="12"/>
      <color rgb="FFFFFFFF"/>
      <name val="Calibri"/>
      <family val="2"/>
      <scheme val="minor"/>
    </font>
    <font>
      <sz val="11"/>
      <color rgb="FFFFFFFF"/>
      <name val="Calibri"/>
      <family val="2"/>
      <scheme val="minor"/>
    </font>
    <font>
      <b/>
      <sz val="11"/>
      <color theme="0"/>
      <name val="Calibri"/>
      <family val="2"/>
      <scheme val="minor"/>
    </font>
    <font>
      <b/>
      <sz val="11"/>
      <name val="Calibri"/>
      <family val="2"/>
      <scheme val="minor"/>
    </font>
  </fonts>
  <fills count="2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59996337778862885"/>
        <bgColor indexed="64"/>
      </patternFill>
    </fill>
    <fill>
      <patternFill patternType="solid">
        <fgColor theme="9" tint="-0.249977111117893"/>
        <bgColor indexed="64"/>
      </patternFill>
    </fill>
    <fill>
      <patternFill patternType="solid">
        <fgColor theme="9" tint="-0.24994659260841701"/>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FF9797"/>
        <bgColor indexed="64"/>
      </patternFill>
    </fill>
    <fill>
      <patternFill patternType="solid">
        <fgColor rgb="FFDCA4F2"/>
        <bgColor indexed="64"/>
      </patternFill>
    </fill>
    <fill>
      <patternFill patternType="solid">
        <fgColor rgb="FFFFC000"/>
        <bgColor indexed="64"/>
      </patternFill>
    </fill>
    <fill>
      <patternFill patternType="solid">
        <fgColor rgb="FFC189F7"/>
        <bgColor indexed="64"/>
      </patternFill>
    </fill>
    <fill>
      <patternFill patternType="solid">
        <fgColor rgb="FFFFFF00"/>
        <bgColor indexed="64"/>
      </patternFill>
    </fill>
    <fill>
      <patternFill patternType="solid">
        <fgColor theme="8" tint="0.59999389629810485"/>
        <bgColor indexed="64"/>
      </patternFill>
    </fill>
    <fill>
      <patternFill patternType="solid">
        <fgColor rgb="FF7CEB99"/>
        <bgColor indexed="64"/>
      </patternFill>
    </fill>
    <fill>
      <patternFill patternType="solid">
        <fgColor rgb="FFC8C8C8"/>
      </patternFill>
    </fill>
    <fill>
      <patternFill patternType="solid">
        <fgColor rgb="FF63A4F7"/>
        <bgColor indexed="64"/>
      </patternFill>
    </fill>
    <fill>
      <patternFill patternType="solid">
        <fgColor rgb="FFCC66FF"/>
        <bgColor indexed="64"/>
      </patternFill>
    </fill>
    <fill>
      <patternFill patternType="solid">
        <fgColor rgb="FFF6C3FF"/>
        <bgColor indexed="64"/>
      </patternFill>
    </fill>
    <fill>
      <patternFill patternType="solid">
        <fgColor rgb="FFB3EFFF"/>
        <bgColor indexed="64"/>
      </patternFill>
    </fill>
    <fill>
      <patternFill patternType="solid">
        <fgColor rgb="FFED0000"/>
        <bgColor indexed="64"/>
      </patternFill>
    </fill>
    <fill>
      <patternFill patternType="solid">
        <fgColor theme="4"/>
        <bgColor theme="4"/>
      </patternFill>
    </fill>
    <fill>
      <patternFill patternType="solid">
        <fgColor rgb="FF00B050"/>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bottom style="medium">
        <color rgb="FFFF0000"/>
      </bottom>
      <diagonal/>
    </border>
    <border>
      <left style="medium">
        <color rgb="FFFF0000"/>
      </left>
      <right style="medium">
        <color rgb="FFFF0000"/>
      </right>
      <top/>
      <bottom/>
      <diagonal/>
    </border>
    <border>
      <left style="medium">
        <color rgb="FFFF0000"/>
      </left>
      <right style="medium">
        <color rgb="FFFF0000"/>
      </right>
      <top style="medium">
        <color rgb="FFFF0000"/>
      </top>
      <bottom/>
      <diagonal/>
    </border>
    <border>
      <left/>
      <right/>
      <top style="double">
        <color auto="1"/>
      </top>
      <bottom/>
      <diagonal/>
    </border>
    <border>
      <left style="double">
        <color auto="1"/>
      </left>
      <right style="double">
        <color auto="1"/>
      </right>
      <top style="double">
        <color auto="1"/>
      </top>
      <bottom/>
      <diagonal/>
    </border>
    <border>
      <left style="double">
        <color auto="1"/>
      </left>
      <right style="double">
        <color auto="1"/>
      </right>
      <top style="double">
        <color auto="1"/>
      </top>
      <bottom style="double">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20" fillId="0" borderId="0"/>
  </cellStyleXfs>
  <cellXfs count="365">
    <xf numFmtId="0" fontId="0" fillId="0" borderId="0" xfId="0"/>
    <xf numFmtId="0" fontId="0" fillId="0" borderId="0" xfId="0" applyAlignment="1">
      <alignment horizontal="center"/>
    </xf>
    <xf numFmtId="164" fontId="0" fillId="0" borderId="0" xfId="0" applyNumberFormat="1" applyAlignment="1">
      <alignment horizontal="center"/>
    </xf>
    <xf numFmtId="0" fontId="0" fillId="4" borderId="1" xfId="0" applyFill="1" applyBorder="1" applyAlignment="1">
      <alignment vertical="center"/>
    </xf>
    <xf numFmtId="0" fontId="0" fillId="4" borderId="2" xfId="0" applyFill="1" applyBorder="1" applyAlignment="1">
      <alignment vertical="center"/>
    </xf>
    <xf numFmtId="0" fontId="0" fillId="0" borderId="4" xfId="0" applyBorder="1" applyAlignment="1">
      <alignment vertical="center"/>
    </xf>
    <xf numFmtId="0" fontId="1" fillId="4" borderId="4" xfId="0" applyFont="1" applyFill="1" applyBorder="1" applyAlignment="1">
      <alignment horizontal="right" vertical="center"/>
    </xf>
    <xf numFmtId="0" fontId="0" fillId="4" borderId="11" xfId="0" applyFill="1" applyBorder="1" applyAlignment="1">
      <alignment vertical="center"/>
    </xf>
    <xf numFmtId="0" fontId="1" fillId="4" borderId="12" xfId="0" applyFont="1" applyFill="1" applyBorder="1" applyAlignment="1">
      <alignment horizontal="right" vertical="center"/>
    </xf>
    <xf numFmtId="0" fontId="0" fillId="4" borderId="0" xfId="0" applyFill="1" applyAlignment="1">
      <alignment vertical="center"/>
    </xf>
    <xf numFmtId="0" fontId="0" fillId="4" borderId="10" xfId="0" applyFill="1" applyBorder="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1" fontId="1" fillId="0" borderId="2" xfId="0" applyNumberFormat="1" applyFont="1" applyBorder="1" applyAlignment="1">
      <alignment horizontal="center"/>
    </xf>
    <xf numFmtId="0" fontId="0" fillId="0" borderId="2" xfId="0" applyBorder="1" applyAlignment="1">
      <alignment horizontal="center"/>
    </xf>
    <xf numFmtId="0" fontId="1" fillId="0" borderId="2" xfId="0" applyFont="1" applyBorder="1" applyAlignment="1">
      <alignment horizontal="center"/>
    </xf>
    <xf numFmtId="0" fontId="0" fillId="0" borderId="3" xfId="0" applyBorder="1" applyAlignment="1">
      <alignment horizontal="center"/>
    </xf>
    <xf numFmtId="14" fontId="0" fillId="4" borderId="0" xfId="0" applyNumberFormat="1" applyFill="1" applyAlignment="1">
      <alignment horizontal="center" vertical="center"/>
    </xf>
    <xf numFmtId="0" fontId="0" fillId="0" borderId="4" xfId="0" applyBorder="1" applyAlignment="1">
      <alignment horizontal="right"/>
    </xf>
    <xf numFmtId="0" fontId="0" fillId="0" borderId="0" xfId="0" applyAlignment="1">
      <alignment horizontal="right"/>
    </xf>
    <xf numFmtId="1" fontId="1" fillId="0" borderId="0" xfId="0" applyNumberFormat="1" applyFont="1" applyAlignment="1">
      <alignment horizontal="center"/>
    </xf>
    <xf numFmtId="0" fontId="1" fillId="0" borderId="0" xfId="0" applyFont="1" applyAlignment="1">
      <alignment horizontal="center"/>
    </xf>
    <xf numFmtId="0" fontId="0" fillId="0" borderId="5" xfId="0" applyBorder="1" applyAlignment="1">
      <alignment horizontal="center"/>
    </xf>
    <xf numFmtId="0" fontId="1" fillId="4" borderId="4" xfId="0" applyFont="1" applyFill="1" applyBorder="1" applyAlignment="1">
      <alignment vertical="center"/>
    </xf>
    <xf numFmtId="164" fontId="1" fillId="4" borderId="0" xfId="0" applyNumberFormat="1" applyFont="1" applyFill="1" applyAlignment="1">
      <alignment horizontal="center" vertical="center"/>
    </xf>
    <xf numFmtId="0" fontId="1" fillId="4" borderId="0" xfId="0" applyFont="1" applyFill="1" applyAlignment="1">
      <alignment horizontal="right" vertical="center"/>
    </xf>
    <xf numFmtId="0" fontId="0" fillId="0" borderId="4" xfId="0" applyBorder="1"/>
    <xf numFmtId="0" fontId="0" fillId="0" borderId="5" xfId="0" applyBorder="1"/>
    <xf numFmtId="0" fontId="0" fillId="4" borderId="4" xfId="0" applyFill="1" applyBorder="1" applyAlignment="1">
      <alignment vertical="center"/>
    </xf>
    <xf numFmtId="0" fontId="1" fillId="4" borderId="0" xfId="0" applyFont="1" applyFill="1" applyAlignment="1">
      <alignment vertical="center"/>
    </xf>
    <xf numFmtId="165" fontId="1" fillId="0" borderId="0" xfId="0" applyNumberFormat="1" applyFont="1" applyAlignment="1">
      <alignment horizontal="left"/>
    </xf>
    <xf numFmtId="164" fontId="2" fillId="4" borderId="0" xfId="0" applyNumberFormat="1" applyFont="1" applyFill="1" applyAlignment="1">
      <alignment horizontal="center" vertical="center"/>
    </xf>
    <xf numFmtId="166" fontId="0" fillId="4" borderId="0" xfId="0" applyNumberFormat="1" applyFill="1" applyAlignment="1">
      <alignment horizontal="center" vertical="center"/>
    </xf>
    <xf numFmtId="164" fontId="1" fillId="0" borderId="0" xfId="0" applyNumberFormat="1" applyFont="1" applyAlignment="1">
      <alignment horizontal="left"/>
    </xf>
    <xf numFmtId="0" fontId="0" fillId="0" borderId="4" xfId="0" applyBorder="1" applyAlignment="1">
      <alignment horizontal="left"/>
    </xf>
    <xf numFmtId="0" fontId="0" fillId="0" borderId="0" xfId="0" applyAlignment="1">
      <alignment horizontal="left"/>
    </xf>
    <xf numFmtId="164" fontId="0" fillId="0" borderId="0" xfId="0" applyNumberFormat="1" applyAlignment="1">
      <alignment horizontal="left"/>
    </xf>
    <xf numFmtId="1" fontId="0" fillId="0" borderId="0" xfId="0" applyNumberFormat="1" applyAlignment="1">
      <alignment horizontal="center"/>
    </xf>
    <xf numFmtId="164" fontId="0" fillId="0" borderId="0" xfId="0" applyNumberFormat="1"/>
    <xf numFmtId="0" fontId="0" fillId="4" borderId="6" xfId="0" applyFill="1" applyBorder="1" applyAlignment="1">
      <alignment vertical="center"/>
    </xf>
    <xf numFmtId="0" fontId="0" fillId="4" borderId="7" xfId="0" applyFill="1" applyBorder="1" applyAlignment="1">
      <alignment vertical="center"/>
    </xf>
    <xf numFmtId="0" fontId="0" fillId="0" borderId="2" xfId="0" applyBorder="1" applyAlignment="1">
      <alignment vertical="center"/>
    </xf>
    <xf numFmtId="0" fontId="0" fillId="0" borderId="6" xfId="0" applyBorder="1" applyAlignment="1">
      <alignment horizontal="right"/>
    </xf>
    <xf numFmtId="1" fontId="0" fillId="0" borderId="7" xfId="0" applyNumberFormat="1" applyBorder="1" applyAlignment="1">
      <alignment horizontal="center"/>
    </xf>
    <xf numFmtId="164" fontId="0" fillId="0" borderId="7" xfId="0" applyNumberFormat="1" applyBorder="1"/>
    <xf numFmtId="0" fontId="0" fillId="0" borderId="8" xfId="0" applyBorder="1" applyAlignment="1">
      <alignment horizontal="center"/>
    </xf>
    <xf numFmtId="165" fontId="0" fillId="0" borderId="0" xfId="0" applyNumberFormat="1"/>
    <xf numFmtId="0" fontId="1" fillId="0" borderId="1" xfId="0" applyFont="1" applyBorder="1" applyAlignment="1">
      <alignment horizontal="right"/>
    </xf>
    <xf numFmtId="0" fontId="1" fillId="0" borderId="3" xfId="0" applyFont="1" applyBorder="1" applyAlignment="1">
      <alignment horizontal="center"/>
    </xf>
    <xf numFmtId="0" fontId="1" fillId="0" borderId="4" xfId="0" applyFont="1" applyBorder="1" applyAlignment="1">
      <alignment horizontal="right"/>
    </xf>
    <xf numFmtId="0" fontId="1" fillId="0" borderId="5" xfId="0" applyFont="1" applyBorder="1" applyAlignment="1">
      <alignment horizontal="center"/>
    </xf>
    <xf numFmtId="0" fontId="0" fillId="2" borderId="4" xfId="0" applyFill="1" applyBorder="1" applyAlignment="1">
      <alignment horizontal="right"/>
    </xf>
    <xf numFmtId="0" fontId="0" fillId="2" borderId="0" xfId="0" applyFill="1" applyAlignment="1">
      <alignment horizontal="center"/>
    </xf>
    <xf numFmtId="1" fontId="0" fillId="2" borderId="0" xfId="0" applyNumberFormat="1" applyFill="1" applyAlignment="1">
      <alignment horizontal="center"/>
    </xf>
    <xf numFmtId="4" fontId="0" fillId="2" borderId="0" xfId="0" applyNumberFormat="1" applyFill="1" applyAlignment="1">
      <alignment horizontal="center"/>
    </xf>
    <xf numFmtId="4" fontId="0" fillId="2" borderId="5" xfId="0" applyNumberFormat="1" applyFill="1" applyBorder="1" applyAlignment="1">
      <alignment horizontal="center"/>
    </xf>
    <xf numFmtId="4" fontId="0" fillId="0" borderId="0" xfId="0" applyNumberFormat="1" applyAlignment="1">
      <alignment horizontal="center"/>
    </xf>
    <xf numFmtId="4" fontId="0" fillId="0" borderId="5" xfId="0" applyNumberFormat="1" applyBorder="1" applyAlignment="1">
      <alignment horizontal="center"/>
    </xf>
    <xf numFmtId="0" fontId="0" fillId="3" borderId="4" xfId="0" applyFill="1" applyBorder="1" applyAlignment="1">
      <alignment horizontal="right"/>
    </xf>
    <xf numFmtId="0" fontId="0" fillId="3" borderId="0" xfId="0" applyFill="1" applyAlignment="1">
      <alignment horizontal="center"/>
    </xf>
    <xf numFmtId="1" fontId="0" fillId="3" borderId="0" xfId="0" applyNumberFormat="1" applyFill="1" applyAlignment="1">
      <alignment horizontal="center"/>
    </xf>
    <xf numFmtId="4" fontId="0" fillId="3" borderId="0" xfId="0" applyNumberFormat="1" applyFill="1" applyAlignment="1">
      <alignment horizontal="center"/>
    </xf>
    <xf numFmtId="4" fontId="3" fillId="3" borderId="0" xfId="0" applyNumberFormat="1" applyFont="1" applyFill="1" applyAlignment="1">
      <alignment horizontal="center"/>
    </xf>
    <xf numFmtId="4" fontId="0" fillId="3" borderId="5" xfId="0" applyNumberFormat="1" applyFill="1" applyBorder="1" applyAlignment="1">
      <alignment horizontal="center"/>
    </xf>
    <xf numFmtId="0" fontId="0" fillId="0" borderId="8" xfId="0" applyBorder="1"/>
    <xf numFmtId="14" fontId="0" fillId="0" borderId="0" xfId="0" applyNumberFormat="1"/>
    <xf numFmtId="0" fontId="0" fillId="0" borderId="6" xfId="0" applyBorder="1" applyAlignment="1">
      <alignment horizontal="center"/>
    </xf>
    <xf numFmtId="0" fontId="0" fillId="0" borderId="7" xfId="0" applyBorder="1" applyAlignment="1">
      <alignment horizontal="center"/>
    </xf>
    <xf numFmtId="4" fontId="1" fillId="0" borderId="7" xfId="0" applyNumberFormat="1" applyFont="1" applyBorder="1" applyAlignment="1">
      <alignment horizontal="center"/>
    </xf>
    <xf numFmtId="4" fontId="1" fillId="0" borderId="8" xfId="0" applyNumberFormat="1" applyFont="1" applyBorder="1" applyAlignment="1">
      <alignment horizontal="center"/>
    </xf>
    <xf numFmtId="164" fontId="0" fillId="5" borderId="9" xfId="0" applyNumberFormat="1" applyFill="1" applyBorder="1" applyAlignment="1">
      <alignment horizontal="center" vertical="center"/>
    </xf>
    <xf numFmtId="0" fontId="0" fillId="4" borderId="13" xfId="0" applyFill="1" applyBorder="1" applyAlignment="1">
      <alignment horizontal="center" vertical="center"/>
    </xf>
    <xf numFmtId="0" fontId="0" fillId="0" borderId="0" xfId="0" applyAlignment="1">
      <alignment vertical="center"/>
    </xf>
    <xf numFmtId="0" fontId="0" fillId="6" borderId="9" xfId="0" applyFill="1" applyBorder="1" applyAlignment="1" applyProtection="1">
      <alignment horizontal="center" vertical="center"/>
      <protection locked="0"/>
    </xf>
    <xf numFmtId="1" fontId="0" fillId="6" borderId="9" xfId="0" applyNumberFormat="1" applyFill="1" applyBorder="1" applyAlignment="1" applyProtection="1">
      <alignment horizontal="center" vertical="center"/>
      <protection locked="0"/>
    </xf>
    <xf numFmtId="164" fontId="0" fillId="6" borderId="9" xfId="0" applyNumberFormat="1" applyFill="1" applyBorder="1" applyAlignment="1" applyProtection="1">
      <alignment horizontal="center" vertical="center"/>
      <protection locked="0"/>
    </xf>
    <xf numFmtId="0" fontId="0" fillId="6" borderId="9" xfId="0" applyFill="1" applyBorder="1" applyAlignment="1">
      <alignment horizontal="center" vertical="center"/>
    </xf>
    <xf numFmtId="14" fontId="0" fillId="6" borderId="9" xfId="0" applyNumberFormat="1" applyFill="1" applyBorder="1" applyAlignment="1">
      <alignment horizontal="center" vertical="center"/>
    </xf>
    <xf numFmtId="1" fontId="0" fillId="6" borderId="9" xfId="0" applyNumberFormat="1" applyFill="1" applyBorder="1" applyAlignment="1">
      <alignment horizontal="center" vertical="center"/>
    </xf>
    <xf numFmtId="164" fontId="0" fillId="6" borderId="9" xfId="0" applyNumberFormat="1" applyFill="1" applyBorder="1" applyAlignment="1">
      <alignment horizontal="center" vertical="center"/>
    </xf>
    <xf numFmtId="0" fontId="4" fillId="0" borderId="2" xfId="0" applyFont="1" applyBorder="1" applyAlignment="1">
      <alignment vertical="center"/>
    </xf>
    <xf numFmtId="0" fontId="4" fillId="0" borderId="0" xfId="0" applyFont="1"/>
    <xf numFmtId="0" fontId="4" fillId="0" borderId="0" xfId="0" applyFont="1" applyAlignment="1">
      <alignment vertical="center"/>
    </xf>
    <xf numFmtId="0" fontId="7" fillId="0" borderId="0" xfId="0" applyFont="1"/>
    <xf numFmtId="0" fontId="7" fillId="4" borderId="4" xfId="0" applyFont="1" applyFill="1" applyBorder="1" applyAlignment="1">
      <alignment vertical="center"/>
    </xf>
    <xf numFmtId="0" fontId="7" fillId="4" borderId="0" xfId="0" applyFont="1" applyFill="1" applyAlignment="1">
      <alignment vertical="center"/>
    </xf>
    <xf numFmtId="0" fontId="8" fillId="4" borderId="4" xfId="0" applyFont="1" applyFill="1" applyBorder="1" applyAlignment="1">
      <alignment horizontal="right" vertical="center"/>
    </xf>
    <xf numFmtId="0" fontId="7" fillId="6" borderId="9" xfId="0" applyFont="1" applyFill="1" applyBorder="1" applyAlignment="1" applyProtection="1">
      <alignment horizontal="center" vertical="center"/>
      <protection locked="0"/>
    </xf>
    <xf numFmtId="0" fontId="7" fillId="4" borderId="11" xfId="0" applyFont="1" applyFill="1" applyBorder="1" applyAlignment="1">
      <alignment vertical="center"/>
    </xf>
    <xf numFmtId="0" fontId="8" fillId="4" borderId="0" xfId="0" applyFont="1" applyFill="1" applyAlignment="1">
      <alignment horizontal="right" vertical="center"/>
    </xf>
    <xf numFmtId="0" fontId="7" fillId="4" borderId="10" xfId="0" applyFont="1" applyFill="1" applyBorder="1" applyAlignment="1">
      <alignment horizontal="center" vertical="center"/>
    </xf>
    <xf numFmtId="14" fontId="7" fillId="4" borderId="0" xfId="0" applyNumberFormat="1" applyFont="1" applyFill="1" applyAlignment="1">
      <alignment horizontal="center" vertical="center"/>
    </xf>
    <xf numFmtId="0" fontId="8" fillId="4" borderId="4" xfId="0" applyFont="1" applyFill="1" applyBorder="1" applyAlignment="1">
      <alignment vertical="center"/>
    </xf>
    <xf numFmtId="164" fontId="7" fillId="6" borderId="9" xfId="0" applyNumberFormat="1" applyFont="1" applyFill="1" applyBorder="1" applyAlignment="1" applyProtection="1">
      <alignment horizontal="center" vertical="center"/>
      <protection locked="0"/>
    </xf>
    <xf numFmtId="164" fontId="8" fillId="4" borderId="0" xfId="0" applyNumberFormat="1" applyFont="1" applyFill="1" applyAlignment="1">
      <alignment horizontal="center" vertical="center"/>
    </xf>
    <xf numFmtId="0" fontId="7" fillId="4" borderId="0" xfId="0" applyFont="1" applyFill="1" applyAlignment="1">
      <alignment horizontal="center" vertical="center"/>
    </xf>
    <xf numFmtId="164" fontId="9" fillId="4" borderId="0" xfId="0" applyNumberFormat="1" applyFont="1" applyFill="1" applyAlignment="1">
      <alignment horizontal="center" vertical="center"/>
    </xf>
    <xf numFmtId="0" fontId="7" fillId="4" borderId="6" xfId="0" applyFont="1" applyFill="1" applyBorder="1" applyAlignment="1">
      <alignment vertical="center"/>
    </xf>
    <xf numFmtId="0" fontId="7" fillId="4" borderId="7" xfId="0" applyFont="1" applyFill="1" applyBorder="1" applyAlignment="1">
      <alignment vertical="center"/>
    </xf>
    <xf numFmtId="0" fontId="7" fillId="0" borderId="0" xfId="0" applyFont="1" applyAlignment="1">
      <alignment vertical="center"/>
    </xf>
    <xf numFmtId="0" fontId="7" fillId="7" borderId="4" xfId="0" applyFont="1" applyFill="1" applyBorder="1" applyAlignment="1">
      <alignment horizontal="right"/>
    </xf>
    <xf numFmtId="0" fontId="7" fillId="7" borderId="0" xfId="0" applyFont="1" applyFill="1" applyAlignment="1">
      <alignment horizontal="center"/>
    </xf>
    <xf numFmtId="4" fontId="7" fillId="7" borderId="0" xfId="0" applyNumberFormat="1" applyFont="1" applyFill="1" applyAlignment="1">
      <alignment horizontal="center"/>
    </xf>
    <xf numFmtId="4" fontId="7" fillId="7" borderId="5" xfId="0" applyNumberFormat="1" applyFont="1" applyFill="1" applyBorder="1" applyAlignment="1">
      <alignment horizontal="center"/>
    </xf>
    <xf numFmtId="0" fontId="7" fillId="8" borderId="4" xfId="0" applyFont="1" applyFill="1" applyBorder="1" applyAlignment="1">
      <alignment horizontal="right"/>
    </xf>
    <xf numFmtId="0" fontId="7" fillId="8" borderId="0" xfId="0" applyFont="1" applyFill="1" applyAlignment="1">
      <alignment horizontal="center"/>
    </xf>
    <xf numFmtId="4" fontId="7" fillId="8" borderId="0" xfId="0" applyNumberFormat="1" applyFont="1" applyFill="1" applyAlignment="1">
      <alignment horizontal="center"/>
    </xf>
    <xf numFmtId="4" fontId="7" fillId="8" borderId="5" xfId="0" applyNumberFormat="1" applyFont="1" applyFill="1" applyBorder="1" applyAlignment="1">
      <alignment horizontal="center"/>
    </xf>
    <xf numFmtId="4" fontId="10" fillId="7" borderId="0" xfId="0" applyNumberFormat="1" applyFont="1" applyFill="1" applyAlignment="1">
      <alignment horizontal="center"/>
    </xf>
    <xf numFmtId="4" fontId="10" fillId="8" borderId="0" xfId="0" applyNumberFormat="1" applyFont="1" applyFill="1" applyAlignment="1">
      <alignment horizontal="center"/>
    </xf>
    <xf numFmtId="0" fontId="6" fillId="0" borderId="0" xfId="0" applyFont="1"/>
    <xf numFmtId="0" fontId="7" fillId="4" borderId="0" xfId="0" applyFont="1" applyFill="1" applyAlignment="1">
      <alignment horizontal="left" vertical="top" wrapText="1"/>
    </xf>
    <xf numFmtId="0" fontId="7" fillId="4" borderId="4" xfId="0" applyFont="1" applyFill="1" applyBorder="1" applyAlignment="1">
      <alignment horizontal="left" vertical="top" wrapText="1"/>
    </xf>
    <xf numFmtId="0" fontId="11" fillId="0" borderId="0" xfId="0" applyFont="1"/>
    <xf numFmtId="0" fontId="8" fillId="9" borderId="1" xfId="0" applyFont="1" applyFill="1" applyBorder="1" applyAlignment="1">
      <alignment horizontal="right"/>
    </xf>
    <xf numFmtId="0" fontId="8" fillId="9" borderId="2" xfId="0" applyFont="1" applyFill="1" applyBorder="1" applyAlignment="1">
      <alignment horizontal="center"/>
    </xf>
    <xf numFmtId="0" fontId="8" fillId="9" borderId="3" xfId="0" applyFont="1" applyFill="1" applyBorder="1" applyAlignment="1">
      <alignment horizontal="center"/>
    </xf>
    <xf numFmtId="0" fontId="8" fillId="9" borderId="4" xfId="0" applyFont="1" applyFill="1" applyBorder="1" applyAlignment="1">
      <alignment horizontal="right"/>
    </xf>
    <xf numFmtId="0" fontId="8" fillId="9" borderId="0" xfId="0" applyFont="1" applyFill="1" applyAlignment="1">
      <alignment horizontal="center"/>
    </xf>
    <xf numFmtId="0" fontId="8" fillId="9" borderId="5" xfId="0" applyFont="1" applyFill="1" applyBorder="1" applyAlignment="1">
      <alignment horizontal="center"/>
    </xf>
    <xf numFmtId="0" fontId="7" fillId="4" borderId="8" xfId="0" applyFont="1" applyFill="1" applyBorder="1" applyAlignment="1">
      <alignment vertical="center"/>
    </xf>
    <xf numFmtId="0" fontId="7" fillId="8" borderId="6" xfId="0" applyFont="1" applyFill="1" applyBorder="1" applyAlignment="1">
      <alignment horizontal="center" vertical="center"/>
    </xf>
    <xf numFmtId="0" fontId="8" fillId="8" borderId="7" xfId="0" applyFont="1" applyFill="1" applyBorder="1" applyAlignment="1">
      <alignment horizontal="center" vertical="center"/>
    </xf>
    <xf numFmtId="4" fontId="8" fillId="8" borderId="7" xfId="0" applyNumberFormat="1" applyFont="1" applyFill="1" applyBorder="1" applyAlignment="1">
      <alignment horizontal="center" vertical="center"/>
    </xf>
    <xf numFmtId="4" fontId="8" fillId="8" borderId="8" xfId="0" applyNumberFormat="1" applyFont="1" applyFill="1" applyBorder="1" applyAlignment="1">
      <alignment horizontal="center" vertical="center"/>
    </xf>
    <xf numFmtId="164" fontId="7" fillId="4" borderId="5" xfId="0" applyNumberFormat="1" applyFont="1" applyFill="1" applyBorder="1" applyAlignment="1">
      <alignment horizontal="center" vertical="center"/>
    </xf>
    <xf numFmtId="164" fontId="0" fillId="2" borderId="0" xfId="0" applyNumberFormat="1" applyFill="1" applyAlignment="1">
      <alignment horizontal="center"/>
    </xf>
    <xf numFmtId="14" fontId="0" fillId="2" borderId="0" xfId="0" applyNumberFormat="1" applyFill="1" applyAlignment="1">
      <alignment horizontal="center"/>
    </xf>
    <xf numFmtId="0" fontId="0" fillId="10" borderId="0" xfId="0" applyFill="1" applyAlignment="1">
      <alignment horizontal="center"/>
    </xf>
    <xf numFmtId="164" fontId="0" fillId="10" borderId="0" xfId="0" applyNumberFormat="1" applyFill="1" applyAlignment="1">
      <alignment horizontal="center"/>
    </xf>
    <xf numFmtId="14" fontId="0" fillId="10" borderId="0" xfId="0" applyNumberFormat="1" applyFill="1" applyAlignment="1">
      <alignment horizontal="center"/>
    </xf>
    <xf numFmtId="0" fontId="0" fillId="5" borderId="0" xfId="0" applyFill="1" applyAlignment="1">
      <alignment horizontal="center"/>
    </xf>
    <xf numFmtId="164" fontId="0" fillId="5" borderId="0" xfId="0" applyNumberFormat="1" applyFill="1" applyAlignment="1">
      <alignment horizontal="center"/>
    </xf>
    <xf numFmtId="14" fontId="0" fillId="5" borderId="0" xfId="0" applyNumberFormat="1" applyFill="1" applyAlignment="1">
      <alignment horizontal="center"/>
    </xf>
    <xf numFmtId="0" fontId="0" fillId="11" borderId="0" xfId="0" applyFill="1" applyAlignment="1">
      <alignment horizontal="center"/>
    </xf>
    <xf numFmtId="164" fontId="0" fillId="11" borderId="0" xfId="0" applyNumberFormat="1" applyFill="1" applyAlignment="1">
      <alignment horizontal="center"/>
    </xf>
    <xf numFmtId="14" fontId="0" fillId="11" borderId="0" xfId="0" applyNumberFormat="1" applyFill="1" applyAlignment="1">
      <alignment horizontal="center"/>
    </xf>
    <xf numFmtId="0" fontId="4" fillId="4" borderId="3" xfId="0" applyFont="1" applyFill="1" applyBorder="1" applyAlignment="1">
      <alignment vertical="center" wrapText="1"/>
    </xf>
    <xf numFmtId="0" fontId="4" fillId="4" borderId="5" xfId="0" applyFont="1" applyFill="1" applyBorder="1" applyAlignment="1">
      <alignment vertical="center" wrapText="1"/>
    </xf>
    <xf numFmtId="0" fontId="6" fillId="0" borderId="0" xfId="0" applyFont="1" applyAlignment="1">
      <alignment horizontal="center"/>
    </xf>
    <xf numFmtId="0" fontId="0" fillId="12" borderId="0" xfId="0" applyFill="1" applyAlignment="1">
      <alignment horizontal="center"/>
    </xf>
    <xf numFmtId="164" fontId="0" fillId="12" borderId="0" xfId="0" applyNumberFormat="1" applyFill="1" applyAlignment="1">
      <alignment horizontal="center"/>
    </xf>
    <xf numFmtId="14" fontId="0" fillId="12" borderId="0" xfId="0" applyNumberFormat="1" applyFill="1" applyAlignment="1">
      <alignment horizontal="center"/>
    </xf>
    <xf numFmtId="0" fontId="12" fillId="4" borderId="0" xfId="0" applyFont="1" applyFill="1" applyAlignment="1">
      <alignment horizontal="right" vertical="center"/>
    </xf>
    <xf numFmtId="166" fontId="13" fillId="4" borderId="5" xfId="0" applyNumberFormat="1" applyFont="1" applyFill="1" applyBorder="1" applyAlignment="1">
      <alignment horizontal="center" vertical="center"/>
    </xf>
    <xf numFmtId="0" fontId="7" fillId="4" borderId="5" xfId="0" applyFont="1" applyFill="1" applyBorder="1" applyAlignment="1">
      <alignment horizontal="center" vertical="center"/>
    </xf>
    <xf numFmtId="164" fontId="7" fillId="4" borderId="0" xfId="0" applyNumberFormat="1" applyFont="1" applyFill="1" applyAlignment="1">
      <alignment horizontal="center" vertical="center"/>
    </xf>
    <xf numFmtId="166" fontId="13" fillId="4" borderId="0" xfId="0" applyNumberFormat="1" applyFont="1" applyFill="1" applyAlignment="1">
      <alignment horizontal="center" vertical="center"/>
    </xf>
    <xf numFmtId="0" fontId="7" fillId="4" borderId="5" xfId="0" applyFont="1" applyFill="1" applyBorder="1" applyAlignment="1">
      <alignment horizontal="left" vertical="top" wrapText="1"/>
    </xf>
    <xf numFmtId="0" fontId="7" fillId="4" borderId="5" xfId="0" applyFont="1" applyFill="1" applyBorder="1" applyAlignment="1">
      <alignment vertical="center"/>
    </xf>
    <xf numFmtId="14" fontId="7" fillId="4" borderId="5" xfId="0" applyNumberFormat="1" applyFont="1" applyFill="1" applyBorder="1" applyAlignment="1">
      <alignment horizontal="center" vertical="center"/>
    </xf>
    <xf numFmtId="1" fontId="7" fillId="4" borderId="5" xfId="0" applyNumberFormat="1" applyFont="1" applyFill="1" applyBorder="1" applyAlignment="1">
      <alignment horizontal="center" vertical="center"/>
    </xf>
    <xf numFmtId="0" fontId="14" fillId="0" borderId="0" xfId="0" applyFont="1"/>
    <xf numFmtId="0" fontId="14" fillId="0" borderId="0" xfId="0" applyFont="1" applyAlignment="1">
      <alignment vertical="center"/>
    </xf>
    <xf numFmtId="0" fontId="0" fillId="13" borderId="0" xfId="0" applyFill="1" applyAlignment="1">
      <alignment horizontal="center"/>
    </xf>
    <xf numFmtId="164" fontId="0" fillId="13" borderId="0" xfId="0" applyNumberFormat="1" applyFill="1" applyAlignment="1">
      <alignment horizontal="center"/>
    </xf>
    <xf numFmtId="14" fontId="0" fillId="13" borderId="0" xfId="0" applyNumberFormat="1" applyFill="1" applyAlignment="1">
      <alignment horizontal="center"/>
    </xf>
    <xf numFmtId="0" fontId="0" fillId="14" borderId="0" xfId="0" applyFill="1" applyAlignment="1">
      <alignment horizontal="center"/>
    </xf>
    <xf numFmtId="164" fontId="0" fillId="14" borderId="0" xfId="0" applyNumberFormat="1" applyFill="1" applyAlignment="1">
      <alignment horizontal="center"/>
    </xf>
    <xf numFmtId="14" fontId="0" fillId="14" borderId="0" xfId="0" applyNumberFormat="1" applyFill="1" applyAlignment="1">
      <alignment horizontal="center"/>
    </xf>
    <xf numFmtId="4" fontId="14" fillId="0" borderId="0" xfId="0" applyNumberFormat="1" applyFont="1"/>
    <xf numFmtId="4" fontId="3" fillId="0" borderId="0" xfId="0" applyNumberFormat="1" applyFont="1" applyAlignment="1">
      <alignment horizontal="center"/>
    </xf>
    <xf numFmtId="14" fontId="3" fillId="14" borderId="0" xfId="0" applyNumberFormat="1" applyFont="1" applyFill="1" applyAlignment="1">
      <alignment horizontal="center"/>
    </xf>
    <xf numFmtId="0" fontId="0" fillId="15" borderId="0" xfId="0" applyFill="1" applyAlignment="1">
      <alignment horizontal="center"/>
    </xf>
    <xf numFmtId="164" fontId="0" fillId="15" borderId="0" xfId="0" applyNumberFormat="1" applyFill="1" applyAlignment="1">
      <alignment horizontal="center"/>
    </xf>
    <xf numFmtId="14" fontId="0" fillId="15" borderId="0" xfId="0" applyNumberFormat="1" applyFill="1" applyAlignment="1">
      <alignment horizontal="center"/>
    </xf>
    <xf numFmtId="14" fontId="3" fillId="15" borderId="0" xfId="0" applyNumberFormat="1" applyFont="1" applyFill="1" applyAlignment="1">
      <alignment horizontal="center"/>
    </xf>
    <xf numFmtId="1" fontId="7" fillId="6" borderId="9" xfId="0" applyNumberFormat="1" applyFont="1" applyFill="1" applyBorder="1" applyAlignment="1" applyProtection="1">
      <alignment horizontal="center" vertical="center"/>
      <protection locked="0"/>
    </xf>
    <xf numFmtId="0" fontId="11" fillId="0" borderId="0" xfId="0" applyFont="1" applyAlignment="1">
      <alignment horizontal="center"/>
    </xf>
    <xf numFmtId="1" fontId="15" fillId="0" borderId="0" xfId="0" applyNumberFormat="1" applyFont="1" applyAlignment="1">
      <alignment horizontal="center"/>
    </xf>
    <xf numFmtId="0" fontId="15" fillId="0" borderId="0" xfId="0" applyFont="1" applyAlignment="1">
      <alignment horizontal="center"/>
    </xf>
    <xf numFmtId="0" fontId="11" fillId="0" borderId="0" xfId="0" applyFont="1" applyAlignment="1">
      <alignment horizontal="right"/>
    </xf>
    <xf numFmtId="165" fontId="15" fillId="0" borderId="0" xfId="0" applyNumberFormat="1" applyFont="1" applyAlignment="1">
      <alignment horizontal="left"/>
    </xf>
    <xf numFmtId="164" fontId="15" fillId="0" borderId="0" xfId="0" applyNumberFormat="1" applyFont="1" applyAlignment="1">
      <alignment horizontal="left"/>
    </xf>
    <xf numFmtId="0" fontId="11" fillId="0" borderId="0" xfId="0" applyFont="1" applyAlignment="1">
      <alignment horizontal="left"/>
    </xf>
    <xf numFmtId="164" fontId="11" fillId="0" borderId="0" xfId="0" applyNumberFormat="1" applyFont="1" applyAlignment="1">
      <alignment horizontal="left"/>
    </xf>
    <xf numFmtId="1" fontId="11" fillId="0" borderId="0" xfId="0" applyNumberFormat="1" applyFont="1" applyAlignment="1">
      <alignment horizontal="center"/>
    </xf>
    <xf numFmtId="164" fontId="11" fillId="0" borderId="0" xfId="0" applyNumberFormat="1" applyFont="1"/>
    <xf numFmtId="165" fontId="11" fillId="0" borderId="0" xfId="0" applyNumberFormat="1" applyFont="1"/>
    <xf numFmtId="14" fontId="11" fillId="0" borderId="0" xfId="0" applyNumberFormat="1" applyFont="1"/>
    <xf numFmtId="4" fontId="8" fillId="0" borderId="0" xfId="0" applyNumberFormat="1"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 fillId="0" borderId="0" xfId="0" applyFont="1"/>
    <xf numFmtId="0" fontId="19" fillId="0" borderId="0" xfId="0" applyFont="1"/>
    <xf numFmtId="0" fontId="0" fillId="18" borderId="0" xfId="0" applyFill="1" applyAlignment="1">
      <alignment wrapText="1"/>
    </xf>
    <xf numFmtId="0" fontId="0" fillId="0" borderId="25" xfId="0" applyBorder="1"/>
    <xf numFmtId="0" fontId="0" fillId="19" borderId="0" xfId="0" applyFill="1"/>
    <xf numFmtId="0" fontId="0" fillId="0" borderId="0" xfId="0" applyAlignment="1">
      <alignment wrapText="1"/>
    </xf>
    <xf numFmtId="0" fontId="20" fillId="0" borderId="0" xfId="1"/>
    <xf numFmtId="2" fontId="20" fillId="0" borderId="0" xfId="1" applyNumberFormat="1"/>
    <xf numFmtId="14" fontId="20" fillId="0" borderId="0" xfId="1" applyNumberFormat="1"/>
    <xf numFmtId="1" fontId="20" fillId="0" borderId="0" xfId="1" applyNumberFormat="1"/>
    <xf numFmtId="0" fontId="20" fillId="17" borderId="0" xfId="1" applyFill="1"/>
    <xf numFmtId="2" fontId="19" fillId="0" borderId="0" xfId="1" applyNumberFormat="1" applyFont="1"/>
    <xf numFmtId="14" fontId="20" fillId="17" borderId="0" xfId="1" applyNumberFormat="1" applyFill="1"/>
    <xf numFmtId="2" fontId="20" fillId="18" borderId="0" xfId="1" applyNumberFormat="1" applyFill="1"/>
    <xf numFmtId="2" fontId="20" fillId="19" borderId="0" xfId="1" applyNumberFormat="1" applyFill="1"/>
    <xf numFmtId="0" fontId="20" fillId="0" borderId="26" xfId="1" applyBorder="1"/>
    <xf numFmtId="0" fontId="20" fillId="0" borderId="27" xfId="1" applyBorder="1"/>
    <xf numFmtId="2" fontId="21" fillId="0" borderId="0" xfId="1" applyNumberFormat="1" applyFont="1"/>
    <xf numFmtId="0" fontId="20" fillId="0" borderId="28" xfId="1" applyBorder="1"/>
    <xf numFmtId="2" fontId="20" fillId="0" borderId="29" xfId="1" applyNumberFormat="1" applyBorder="1"/>
    <xf numFmtId="0" fontId="22" fillId="20" borderId="30" xfId="1" applyFont="1" applyFill="1" applyBorder="1"/>
    <xf numFmtId="0" fontId="22" fillId="20" borderId="31" xfId="1" applyFont="1" applyFill="1" applyBorder="1"/>
    <xf numFmtId="0" fontId="7" fillId="21" borderId="9" xfId="0" applyFont="1" applyFill="1" applyBorder="1" applyAlignment="1" applyProtection="1">
      <alignment horizontal="center" vertical="center"/>
      <protection locked="0"/>
    </xf>
    <xf numFmtId="14" fontId="7" fillId="21" borderId="9" xfId="0" applyNumberFormat="1" applyFont="1" applyFill="1" applyBorder="1" applyAlignment="1" applyProtection="1">
      <alignment horizontal="center" vertical="center"/>
      <protection locked="0"/>
    </xf>
    <xf numFmtId="1" fontId="7" fillId="21" borderId="9" xfId="0" applyNumberFormat="1" applyFont="1" applyFill="1" applyBorder="1" applyAlignment="1" applyProtection="1">
      <alignment horizontal="center" vertical="center"/>
      <protection locked="0"/>
    </xf>
    <xf numFmtId="0" fontId="23" fillId="0" borderId="0" xfId="0" applyFont="1"/>
    <xf numFmtId="2" fontId="23" fillId="0" borderId="0" xfId="1" applyNumberFormat="1" applyFont="1"/>
    <xf numFmtId="0" fontId="23" fillId="0" borderId="0" xfId="1" applyFont="1"/>
    <xf numFmtId="164" fontId="7" fillId="22" borderId="9" xfId="0" applyNumberFormat="1" applyFont="1" applyFill="1" applyBorder="1" applyAlignment="1" applyProtection="1">
      <alignment horizontal="center" vertical="center"/>
      <protection locked="0"/>
    </xf>
    <xf numFmtId="164" fontId="7" fillId="15" borderId="9" xfId="0" applyNumberFormat="1" applyFont="1" applyFill="1" applyBorder="1" applyAlignment="1" applyProtection="1">
      <alignment horizontal="center" vertical="center"/>
      <protection locked="0"/>
    </xf>
    <xf numFmtId="0" fontId="7" fillId="23" borderId="4" xfId="0" applyFont="1" applyFill="1" applyBorder="1" applyAlignment="1">
      <alignment horizontal="right"/>
    </xf>
    <xf numFmtId="0" fontId="7" fillId="23" borderId="0" xfId="0" applyFont="1" applyFill="1" applyAlignment="1">
      <alignment horizontal="center"/>
    </xf>
    <xf numFmtId="4" fontId="7" fillId="23" borderId="0" xfId="0" applyNumberFormat="1" applyFont="1" applyFill="1" applyAlignment="1">
      <alignment horizontal="center"/>
    </xf>
    <xf numFmtId="4" fontId="7" fillId="23" borderId="5" xfId="0" applyNumberFormat="1" applyFont="1" applyFill="1" applyBorder="1" applyAlignment="1">
      <alignment horizontal="center"/>
    </xf>
    <xf numFmtId="4" fontId="10" fillId="23" borderId="0" xfId="0" applyNumberFormat="1" applyFont="1" applyFill="1" applyAlignment="1">
      <alignment horizontal="center"/>
    </xf>
    <xf numFmtId="0" fontId="24" fillId="0" borderId="0" xfId="0" applyFont="1" applyAlignment="1">
      <alignment vertical="center"/>
    </xf>
    <xf numFmtId="0" fontId="4" fillId="24" borderId="5" xfId="0" applyFont="1" applyFill="1" applyBorder="1" applyAlignment="1">
      <alignment vertical="center" wrapText="1"/>
    </xf>
    <xf numFmtId="0" fontId="4" fillId="24" borderId="3" xfId="0" applyFont="1" applyFill="1" applyBorder="1" applyAlignment="1">
      <alignment vertical="center" wrapText="1"/>
    </xf>
    <xf numFmtId="0" fontId="7" fillId="24" borderId="5" xfId="0" applyFont="1" applyFill="1" applyBorder="1" applyAlignment="1">
      <alignment horizontal="left" vertical="top" wrapText="1"/>
    </xf>
    <xf numFmtId="0" fontId="7" fillId="24" borderId="0" xfId="0" applyFont="1" applyFill="1" applyAlignment="1">
      <alignment horizontal="left" vertical="top" wrapText="1"/>
    </xf>
    <xf numFmtId="0" fontId="7" fillId="24" borderId="11" xfId="0" applyFont="1" applyFill="1" applyBorder="1" applyAlignment="1">
      <alignment vertical="center"/>
    </xf>
    <xf numFmtId="0" fontId="8" fillId="24" borderId="0" xfId="0" applyFont="1" applyFill="1" applyAlignment="1">
      <alignment horizontal="right" vertical="center"/>
    </xf>
    <xf numFmtId="0" fontId="7" fillId="24" borderId="0" xfId="0" applyFont="1" applyFill="1" applyAlignment="1">
      <alignment horizontal="center" vertical="center"/>
    </xf>
    <xf numFmtId="0" fontId="7" fillId="24" borderId="5" xfId="0" applyFont="1" applyFill="1" applyBorder="1" applyAlignment="1">
      <alignment horizontal="center" vertical="center"/>
    </xf>
    <xf numFmtId="0" fontId="7" fillId="24" borderId="5" xfId="0" applyFont="1" applyFill="1" applyBorder="1" applyAlignment="1">
      <alignment vertical="center"/>
    </xf>
    <xf numFmtId="14" fontId="7" fillId="24" borderId="5" xfId="0" applyNumberFormat="1" applyFont="1" applyFill="1" applyBorder="1" applyAlignment="1">
      <alignment horizontal="center" vertical="center"/>
    </xf>
    <xf numFmtId="1" fontId="7" fillId="24" borderId="5" xfId="0" applyNumberFormat="1" applyFont="1" applyFill="1" applyBorder="1" applyAlignment="1">
      <alignment horizontal="center" vertical="center"/>
    </xf>
    <xf numFmtId="164" fontId="7" fillId="24" borderId="5" xfId="0" applyNumberFormat="1" applyFont="1" applyFill="1" applyBorder="1" applyAlignment="1">
      <alignment horizontal="center" vertical="center"/>
    </xf>
    <xf numFmtId="166" fontId="13" fillId="24" borderId="5" xfId="0" applyNumberFormat="1" applyFont="1" applyFill="1" applyBorder="1" applyAlignment="1">
      <alignment horizontal="center" vertical="center"/>
    </xf>
    <xf numFmtId="0" fontId="7" fillId="24" borderId="8" xfId="0" applyFont="1" applyFill="1" applyBorder="1" applyAlignment="1">
      <alignment vertical="center"/>
    </xf>
    <xf numFmtId="0" fontId="7" fillId="24" borderId="7" xfId="0" applyFont="1" applyFill="1" applyBorder="1" applyAlignment="1">
      <alignment vertical="center"/>
    </xf>
    <xf numFmtId="166" fontId="13" fillId="24" borderId="0" xfId="0" applyNumberFormat="1" applyFont="1" applyFill="1" applyAlignment="1">
      <alignment horizontal="center" vertical="center"/>
    </xf>
    <xf numFmtId="164" fontId="7" fillId="24" borderId="0" xfId="0" applyNumberFormat="1" applyFont="1" applyFill="1" applyAlignment="1">
      <alignment horizontal="center" vertical="center"/>
    </xf>
    <xf numFmtId="164" fontId="8" fillId="24" borderId="0" xfId="0" applyNumberFormat="1" applyFont="1" applyFill="1" applyAlignment="1">
      <alignment horizontal="center" vertical="center"/>
    </xf>
    <xf numFmtId="0" fontId="7" fillId="24" borderId="0" xfId="0" applyFont="1" applyFill="1" applyAlignment="1">
      <alignment vertical="center"/>
    </xf>
    <xf numFmtId="0" fontId="12" fillId="24" borderId="0" xfId="0" applyFont="1" applyFill="1" applyAlignment="1">
      <alignment horizontal="right" vertical="center"/>
    </xf>
    <xf numFmtId="0" fontId="8" fillId="24" borderId="4" xfId="0" applyFont="1" applyFill="1" applyBorder="1" applyAlignment="1">
      <alignment horizontal="right" vertical="center"/>
    </xf>
    <xf numFmtId="0" fontId="7" fillId="24" borderId="4" xfId="0" applyFont="1" applyFill="1" applyBorder="1" applyAlignment="1">
      <alignment vertical="center"/>
    </xf>
    <xf numFmtId="164" fontId="9" fillId="24" borderId="0" xfId="0" applyNumberFormat="1" applyFont="1" applyFill="1" applyAlignment="1">
      <alignment horizontal="center" vertical="center"/>
    </xf>
    <xf numFmtId="0" fontId="7" fillId="24" borderId="6" xfId="0" applyFont="1" applyFill="1" applyBorder="1" applyAlignment="1">
      <alignment vertical="center"/>
    </xf>
    <xf numFmtId="0" fontId="8" fillId="24" borderId="4" xfId="0" applyFont="1" applyFill="1" applyBorder="1" applyAlignment="1">
      <alignment vertical="center"/>
    </xf>
    <xf numFmtId="0" fontId="7" fillId="24" borderId="4" xfId="0" applyFont="1" applyFill="1" applyBorder="1" applyAlignment="1">
      <alignment horizontal="left" vertical="top" wrapText="1"/>
    </xf>
    <xf numFmtId="0" fontId="7" fillId="24" borderId="10" xfId="0" applyFont="1" applyFill="1" applyBorder="1" applyAlignment="1">
      <alignment horizontal="center" vertical="center"/>
    </xf>
    <xf numFmtId="0" fontId="8" fillId="16" borderId="1" xfId="0" applyFont="1" applyFill="1" applyBorder="1" applyAlignment="1">
      <alignment horizontal="right"/>
    </xf>
    <xf numFmtId="0" fontId="8" fillId="16" borderId="2" xfId="0" applyFont="1" applyFill="1" applyBorder="1" applyAlignment="1">
      <alignment horizontal="center"/>
    </xf>
    <xf numFmtId="0" fontId="8" fillId="16" borderId="3" xfId="0" applyFont="1" applyFill="1" applyBorder="1" applyAlignment="1">
      <alignment horizontal="center"/>
    </xf>
    <xf numFmtId="0" fontId="8" fillId="16" borderId="4" xfId="0" applyFont="1" applyFill="1" applyBorder="1" applyAlignment="1">
      <alignment horizontal="right"/>
    </xf>
    <xf numFmtId="0" fontId="8" fillId="16" borderId="0" xfId="0" applyFont="1" applyFill="1" applyAlignment="1">
      <alignment horizontal="center"/>
    </xf>
    <xf numFmtId="0" fontId="8" fillId="16" borderId="5" xfId="0" applyFont="1" applyFill="1" applyBorder="1" applyAlignment="1">
      <alignment horizontal="center"/>
    </xf>
    <xf numFmtId="0" fontId="7" fillId="16" borderId="4" xfId="0" applyFont="1" applyFill="1" applyBorder="1" applyAlignment="1">
      <alignment horizontal="right"/>
    </xf>
    <xf numFmtId="0" fontId="7" fillId="16" borderId="0" xfId="0" applyFont="1" applyFill="1" applyAlignment="1">
      <alignment horizontal="center"/>
    </xf>
    <xf numFmtId="4" fontId="7" fillId="16" borderId="0" xfId="0" applyNumberFormat="1" applyFont="1" applyFill="1" applyAlignment="1">
      <alignment horizontal="center"/>
    </xf>
    <xf numFmtId="4" fontId="7" fillId="16" borderId="5" xfId="0" applyNumberFormat="1" applyFont="1" applyFill="1" applyBorder="1" applyAlignment="1">
      <alignment horizontal="center"/>
    </xf>
    <xf numFmtId="4" fontId="10" fillId="16" borderId="0" xfId="0" applyNumberFormat="1" applyFont="1" applyFill="1" applyAlignment="1">
      <alignment horizontal="center"/>
    </xf>
    <xf numFmtId="0" fontId="7" fillId="16" borderId="6" xfId="0" applyFont="1" applyFill="1" applyBorder="1" applyAlignment="1">
      <alignment horizontal="center" vertical="center"/>
    </xf>
    <xf numFmtId="0" fontId="8" fillId="16" borderId="7" xfId="0" applyFont="1" applyFill="1" applyBorder="1" applyAlignment="1">
      <alignment horizontal="center" vertical="center"/>
    </xf>
    <xf numFmtId="4" fontId="8" fillId="16" borderId="7" xfId="0" applyNumberFormat="1" applyFont="1" applyFill="1" applyBorder="1" applyAlignment="1">
      <alignment horizontal="center" vertical="center"/>
    </xf>
    <xf numFmtId="4" fontId="8" fillId="16" borderId="8" xfId="0" applyNumberFormat="1" applyFont="1" applyFill="1" applyBorder="1" applyAlignment="1">
      <alignment horizontal="center" vertical="center"/>
    </xf>
    <xf numFmtId="0" fontId="25" fillId="25" borderId="0" xfId="0" applyFont="1" applyFill="1"/>
    <xf numFmtId="0" fontId="26" fillId="25" borderId="0" xfId="1" applyFont="1" applyFill="1"/>
    <xf numFmtId="0" fontId="20" fillId="25" borderId="0" xfId="1" applyFill="1"/>
    <xf numFmtId="0" fontId="25" fillId="0" borderId="0" xfId="0" applyFont="1"/>
    <xf numFmtId="0" fontId="0" fillId="17" borderId="0" xfId="0" applyFill="1" applyAlignment="1">
      <alignment wrapText="1"/>
    </xf>
    <xf numFmtId="0" fontId="27" fillId="26" borderId="32" xfId="0" applyFont="1" applyFill="1" applyBorder="1" applyAlignment="1">
      <alignment horizontal="center"/>
    </xf>
    <xf numFmtId="0" fontId="27" fillId="26" borderId="33" xfId="0" applyFont="1" applyFill="1" applyBorder="1" applyAlignment="1">
      <alignment horizontal="center"/>
    </xf>
    <xf numFmtId="164" fontId="27" fillId="26" borderId="33" xfId="0" applyNumberFormat="1" applyFont="1" applyFill="1" applyBorder="1" applyAlignment="1">
      <alignment horizontal="center"/>
    </xf>
    <xf numFmtId="0" fontId="27" fillId="26" borderId="34" xfId="0" applyFont="1" applyFill="1" applyBorder="1" applyAlignment="1">
      <alignment horizontal="center"/>
    </xf>
    <xf numFmtId="0" fontId="0" fillId="15" borderId="32" xfId="0" applyFill="1" applyBorder="1" applyAlignment="1">
      <alignment horizontal="center"/>
    </xf>
    <xf numFmtId="0" fontId="0" fillId="15" borderId="33" xfId="0" applyFill="1" applyBorder="1" applyAlignment="1">
      <alignment horizontal="center"/>
    </xf>
    <xf numFmtId="164" fontId="0" fillId="15" borderId="33" xfId="0" applyNumberFormat="1" applyFill="1" applyBorder="1" applyAlignment="1">
      <alignment horizontal="center"/>
    </xf>
    <xf numFmtId="14" fontId="0" fillId="15" borderId="33" xfId="0" applyNumberFormat="1" applyFill="1" applyBorder="1" applyAlignment="1">
      <alignment horizontal="center"/>
    </xf>
    <xf numFmtId="14" fontId="3" fillId="15" borderId="34" xfId="0" applyNumberFormat="1" applyFont="1" applyFill="1" applyBorder="1" applyAlignment="1">
      <alignment horizontal="center"/>
    </xf>
    <xf numFmtId="14" fontId="0" fillId="15" borderId="34" xfId="0" applyNumberFormat="1" applyFill="1" applyBorder="1" applyAlignment="1">
      <alignment horizontal="center"/>
    </xf>
    <xf numFmtId="0" fontId="1" fillId="15" borderId="32" xfId="0" applyFont="1" applyFill="1" applyBorder="1" applyAlignment="1">
      <alignment horizontal="center"/>
    </xf>
    <xf numFmtId="0" fontId="1" fillId="15" borderId="33" xfId="0" applyFont="1" applyFill="1" applyBorder="1" applyAlignment="1">
      <alignment horizontal="center"/>
    </xf>
    <xf numFmtId="164" fontId="1" fillId="15" borderId="33" xfId="0" applyNumberFormat="1" applyFont="1" applyFill="1" applyBorder="1" applyAlignment="1">
      <alignment horizontal="center"/>
    </xf>
    <xf numFmtId="14" fontId="1" fillId="15" borderId="33" xfId="0" applyNumberFormat="1" applyFont="1" applyFill="1" applyBorder="1" applyAlignment="1">
      <alignment horizontal="center"/>
    </xf>
    <xf numFmtId="14" fontId="28" fillId="15" borderId="34" xfId="0" applyNumberFormat="1" applyFont="1" applyFill="1" applyBorder="1" applyAlignment="1">
      <alignment horizontal="center"/>
    </xf>
    <xf numFmtId="14" fontId="1" fillId="15" borderId="34" xfId="0" applyNumberFormat="1" applyFont="1" applyFill="1" applyBorder="1" applyAlignment="1">
      <alignment horizontal="center"/>
    </xf>
    <xf numFmtId="0" fontId="0" fillId="0" borderId="0" xfId="0" quotePrefix="1" applyAlignment="1">
      <alignment horizontal="center"/>
    </xf>
    <xf numFmtId="0" fontId="0" fillId="27" borderId="0" xfId="0" applyFill="1" applyAlignment="1">
      <alignment horizontal="center"/>
    </xf>
    <xf numFmtId="164" fontId="0" fillId="27" borderId="0" xfId="0" applyNumberFormat="1" applyFill="1" applyAlignment="1">
      <alignment horizontal="center"/>
    </xf>
    <xf numFmtId="14" fontId="0" fillId="27" borderId="0" xfId="0" applyNumberFormat="1" applyFill="1" applyAlignment="1">
      <alignment horizontal="center"/>
    </xf>
    <xf numFmtId="14" fontId="3" fillId="27" borderId="0" xfId="0" applyNumberFormat="1" applyFont="1" applyFill="1" applyAlignment="1">
      <alignment horizontal="center"/>
    </xf>
    <xf numFmtId="16" fontId="0" fillId="0" borderId="0" xfId="0" quotePrefix="1" applyNumberFormat="1" applyAlignment="1">
      <alignment horizontal="center"/>
    </xf>
    <xf numFmtId="0" fontId="27" fillId="26" borderId="0" xfId="0" applyFont="1" applyFill="1" applyAlignment="1">
      <alignment horizontal="center"/>
    </xf>
    <xf numFmtId="6" fontId="0" fillId="0" borderId="0" xfId="0" applyNumberFormat="1" applyAlignment="1">
      <alignment horizontal="center"/>
    </xf>
    <xf numFmtId="6" fontId="0" fillId="0" borderId="0" xfId="0" quotePrefix="1" applyNumberFormat="1" applyAlignment="1">
      <alignment horizontal="center"/>
    </xf>
    <xf numFmtId="0" fontId="0" fillId="27" borderId="32" xfId="0" applyFill="1" applyBorder="1" applyAlignment="1">
      <alignment horizontal="center"/>
    </xf>
    <xf numFmtId="0" fontId="0" fillId="27" borderId="33" xfId="0" applyFill="1" applyBorder="1" applyAlignment="1">
      <alignment horizontal="center"/>
    </xf>
    <xf numFmtId="164" fontId="0" fillId="27" borderId="33" xfId="0" applyNumberFormat="1" applyFill="1" applyBorder="1" applyAlignment="1">
      <alignment horizontal="center"/>
    </xf>
    <xf numFmtId="14" fontId="0" fillId="27" borderId="33" xfId="0" applyNumberFormat="1" applyFill="1" applyBorder="1" applyAlignment="1">
      <alignment horizontal="center"/>
    </xf>
    <xf numFmtId="14" fontId="3" fillId="27" borderId="34" xfId="0" applyNumberFormat="1" applyFont="1" applyFill="1" applyBorder="1" applyAlignment="1">
      <alignment horizontal="center"/>
    </xf>
    <xf numFmtId="0" fontId="0" fillId="27" borderId="0" xfId="0" applyFill="1"/>
    <xf numFmtId="0" fontId="1" fillId="27" borderId="32" xfId="0" applyFont="1" applyFill="1" applyBorder="1" applyAlignment="1">
      <alignment horizontal="center"/>
    </xf>
    <xf numFmtId="0" fontId="1" fillId="27" borderId="33" xfId="0" applyFont="1" applyFill="1" applyBorder="1" applyAlignment="1">
      <alignment horizontal="center"/>
    </xf>
    <xf numFmtId="164" fontId="1" fillId="27" borderId="33" xfId="0" applyNumberFormat="1" applyFont="1" applyFill="1" applyBorder="1" applyAlignment="1">
      <alignment horizontal="center"/>
    </xf>
    <xf numFmtId="14" fontId="1" fillId="27" borderId="33" xfId="0" applyNumberFormat="1" applyFont="1" applyFill="1" applyBorder="1" applyAlignment="1">
      <alignment horizontal="center"/>
    </xf>
    <xf numFmtId="14" fontId="28" fillId="27" borderId="34" xfId="0" applyNumberFormat="1" applyFont="1" applyFill="1" applyBorder="1" applyAlignment="1">
      <alignment horizontal="center"/>
    </xf>
    <xf numFmtId="0" fontId="1" fillId="27" borderId="0" xfId="0" applyFont="1" applyFill="1"/>
    <xf numFmtId="14" fontId="0" fillId="27" borderId="34" xfId="0" applyNumberFormat="1" applyFill="1" applyBorder="1" applyAlignment="1">
      <alignment horizontal="center"/>
    </xf>
    <xf numFmtId="14" fontId="1" fillId="27" borderId="34" xfId="0" applyNumberFormat="1" applyFont="1" applyFill="1" applyBorder="1" applyAlignment="1">
      <alignment horizontal="center"/>
    </xf>
    <xf numFmtId="0" fontId="6" fillId="0" borderId="0" xfId="0" applyFont="1" applyAlignment="1">
      <alignment horizontal="center"/>
    </xf>
    <xf numFmtId="0" fontId="11" fillId="0" borderId="0" xfId="0" applyFont="1" applyAlignment="1">
      <alignment horizontal="center"/>
    </xf>
    <xf numFmtId="0" fontId="11" fillId="0" borderId="0" xfId="0" applyFont="1" applyAlignment="1">
      <alignment horizontal="right"/>
    </xf>
    <xf numFmtId="0" fontId="6" fillId="0" borderId="7" xfId="0" applyFont="1" applyBorder="1" applyAlignment="1">
      <alignment horizontal="center"/>
    </xf>
    <xf numFmtId="0" fontId="4" fillId="4" borderId="1" xfId="0" applyFont="1" applyFill="1" applyBorder="1" applyAlignment="1">
      <alignment vertical="center" wrapText="1"/>
    </xf>
    <xf numFmtId="0" fontId="4" fillId="4" borderId="2" xfId="0" applyFont="1" applyFill="1" applyBorder="1" applyAlignment="1">
      <alignment vertical="center" wrapText="1"/>
    </xf>
    <xf numFmtId="0" fontId="4" fillId="4" borderId="4" xfId="0" applyFont="1" applyFill="1" applyBorder="1" applyAlignment="1">
      <alignment vertical="center" wrapText="1"/>
    </xf>
    <xf numFmtId="0" fontId="4" fillId="4" borderId="0" xfId="0" applyFont="1" applyFill="1" applyAlignment="1">
      <alignment vertical="center" wrapText="1"/>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4" xfId="0" applyFont="1" applyFill="1" applyBorder="1" applyAlignment="1">
      <alignment horizontal="center" vertical="center"/>
    </xf>
    <xf numFmtId="0" fontId="8" fillId="4" borderId="0" xfId="0" applyFont="1" applyFill="1" applyAlignment="1">
      <alignment horizontal="right" vertical="center"/>
    </xf>
    <xf numFmtId="0" fontId="17" fillId="10" borderId="18" xfId="0" applyFont="1" applyFill="1" applyBorder="1" applyAlignment="1">
      <alignment vertical="top" wrapText="1"/>
    </xf>
    <xf numFmtId="0" fontId="17" fillId="10" borderId="19" xfId="0" applyFont="1" applyFill="1" applyBorder="1" applyAlignment="1">
      <alignment vertical="top" wrapText="1"/>
    </xf>
    <xf numFmtId="0" fontId="17" fillId="10" borderId="20" xfId="0" applyFont="1" applyFill="1" applyBorder="1" applyAlignment="1">
      <alignment vertical="top" wrapText="1"/>
    </xf>
    <xf numFmtId="0" fontId="17" fillId="10" borderId="21" xfId="0" applyFont="1" applyFill="1" applyBorder="1" applyAlignment="1">
      <alignment vertical="top" wrapText="1"/>
    </xf>
    <xf numFmtId="0" fontId="17" fillId="10" borderId="0" xfId="0" applyFont="1" applyFill="1" applyAlignment="1">
      <alignment vertical="top" wrapText="1"/>
    </xf>
    <xf numFmtId="0" fontId="17" fillId="10" borderId="22" xfId="0" applyFont="1" applyFill="1" applyBorder="1" applyAlignment="1">
      <alignment vertical="top" wrapText="1"/>
    </xf>
    <xf numFmtId="0" fontId="17" fillId="10" borderId="23" xfId="0" applyFont="1" applyFill="1" applyBorder="1" applyAlignment="1">
      <alignment vertical="top" wrapText="1"/>
    </xf>
    <xf numFmtId="0" fontId="17" fillId="10" borderId="17" xfId="0" applyFont="1" applyFill="1" applyBorder="1" applyAlignment="1">
      <alignment vertical="top" wrapText="1"/>
    </xf>
    <xf numFmtId="0" fontId="17" fillId="10" borderId="24" xfId="0" applyFont="1" applyFill="1" applyBorder="1" applyAlignment="1">
      <alignment vertical="top" wrapText="1"/>
    </xf>
    <xf numFmtId="0" fontId="1" fillId="4" borderId="0" xfId="0" applyFont="1" applyFill="1" applyAlignment="1">
      <alignment horizontal="right" vertical="center"/>
    </xf>
    <xf numFmtId="0" fontId="0" fillId="0" borderId="0" xfId="0" applyAlignment="1">
      <alignment horizontal="center"/>
    </xf>
    <xf numFmtId="0" fontId="0" fillId="0" borderId="7" xfId="0" applyBorder="1" applyAlignment="1">
      <alignment horizontal="center"/>
    </xf>
    <xf numFmtId="0" fontId="0" fillId="0" borderId="4" xfId="0" applyBorder="1" applyAlignment="1">
      <alignment horizontal="right"/>
    </xf>
    <xf numFmtId="0" fontId="0" fillId="0" borderId="0" xfId="0" applyAlignment="1">
      <alignment horizontal="right"/>
    </xf>
    <xf numFmtId="0" fontId="0" fillId="0" borderId="7" xfId="0" applyBorder="1" applyAlignment="1">
      <alignment horizontal="right"/>
    </xf>
    <xf numFmtId="0" fontId="17" fillId="24" borderId="18" xfId="0" applyFont="1" applyFill="1" applyBorder="1" applyAlignment="1">
      <alignment vertical="top" wrapText="1"/>
    </xf>
    <xf numFmtId="0" fontId="17" fillId="24" borderId="19" xfId="0" applyFont="1" applyFill="1" applyBorder="1" applyAlignment="1">
      <alignment vertical="top" wrapText="1"/>
    </xf>
    <xf numFmtId="0" fontId="17" fillId="24" borderId="20" xfId="0" applyFont="1" applyFill="1" applyBorder="1" applyAlignment="1">
      <alignment vertical="top" wrapText="1"/>
    </xf>
    <xf numFmtId="0" fontId="17" fillId="24" borderId="21" xfId="0" applyFont="1" applyFill="1" applyBorder="1" applyAlignment="1">
      <alignment vertical="top" wrapText="1"/>
    </xf>
    <xf numFmtId="0" fontId="17" fillId="24" borderId="0" xfId="0" applyFont="1" applyFill="1" applyAlignment="1">
      <alignment vertical="top" wrapText="1"/>
    </xf>
    <xf numFmtId="0" fontId="17" fillId="24" borderId="22" xfId="0" applyFont="1" applyFill="1" applyBorder="1" applyAlignment="1">
      <alignment vertical="top" wrapText="1"/>
    </xf>
    <xf numFmtId="0" fontId="17" fillId="24" borderId="23" xfId="0" applyFont="1" applyFill="1" applyBorder="1" applyAlignment="1">
      <alignment vertical="top" wrapText="1"/>
    </xf>
    <xf numFmtId="0" fontId="17" fillId="24" borderId="17" xfId="0" applyFont="1" applyFill="1" applyBorder="1" applyAlignment="1">
      <alignment vertical="top" wrapText="1"/>
    </xf>
    <xf numFmtId="0" fontId="17" fillId="24" borderId="24" xfId="0" applyFont="1" applyFill="1" applyBorder="1" applyAlignment="1">
      <alignment vertical="top" wrapText="1"/>
    </xf>
    <xf numFmtId="0" fontId="7" fillId="24" borderId="0" xfId="0" applyFont="1" applyFill="1" applyAlignment="1">
      <alignment horizontal="center" vertical="center"/>
    </xf>
    <xf numFmtId="0" fontId="8" fillId="24" borderId="0" xfId="0" applyFont="1" applyFill="1" applyAlignment="1">
      <alignment horizontal="right" vertical="center"/>
    </xf>
    <xf numFmtId="0" fontId="4" fillId="24" borderId="1" xfId="0" applyFont="1" applyFill="1" applyBorder="1" applyAlignment="1">
      <alignment vertical="center" wrapText="1"/>
    </xf>
    <xf numFmtId="0" fontId="4" fillId="24" borderId="2" xfId="0" applyFont="1" applyFill="1" applyBorder="1" applyAlignment="1">
      <alignment vertical="center" wrapText="1"/>
    </xf>
    <xf numFmtId="0" fontId="4" fillId="24" borderId="4" xfId="0" applyFont="1" applyFill="1" applyBorder="1" applyAlignment="1">
      <alignment vertical="center" wrapText="1"/>
    </xf>
    <xf numFmtId="0" fontId="4" fillId="24" borderId="0" xfId="0" applyFont="1" applyFill="1" applyAlignment="1">
      <alignment vertical="center" wrapText="1"/>
    </xf>
    <xf numFmtId="0" fontId="14" fillId="0" borderId="0" xfId="0" applyFont="1" applyFill="1"/>
    <xf numFmtId="0" fontId="11" fillId="0" borderId="0" xfId="0" applyFont="1" applyFill="1"/>
    <xf numFmtId="0" fontId="4" fillId="0" borderId="0" xfId="0" applyFont="1" applyFill="1"/>
    <xf numFmtId="0" fontId="18" fillId="0" borderId="0" xfId="0" applyFont="1" applyFill="1" applyAlignment="1">
      <alignment horizontal="center" vertical="center" wrapText="1"/>
    </xf>
    <xf numFmtId="4" fontId="14" fillId="0" borderId="0" xfId="0" applyNumberFormat="1" applyFont="1" applyFill="1"/>
    <xf numFmtId="0" fontId="11" fillId="0" borderId="0" xfId="0" applyFont="1" applyFill="1" applyAlignment="1">
      <alignment horizontal="center"/>
    </xf>
    <xf numFmtId="1" fontId="15" fillId="0" borderId="0" xfId="0" applyNumberFormat="1" applyFont="1" applyFill="1" applyAlignment="1">
      <alignment horizontal="center"/>
    </xf>
    <xf numFmtId="0" fontId="15" fillId="0" borderId="0" xfId="0" applyFont="1" applyFill="1" applyAlignment="1">
      <alignment horizontal="center"/>
    </xf>
    <xf numFmtId="0" fontId="11" fillId="0" borderId="0" xfId="0" applyFont="1" applyFill="1" applyAlignment="1">
      <alignment horizontal="right"/>
    </xf>
    <xf numFmtId="165" fontId="15" fillId="0" borderId="0" xfId="0" applyNumberFormat="1" applyFont="1" applyFill="1" applyAlignment="1">
      <alignment horizontal="left"/>
    </xf>
    <xf numFmtId="164" fontId="15" fillId="0" borderId="0" xfId="0" applyNumberFormat="1" applyFont="1" applyFill="1" applyAlignment="1">
      <alignment horizontal="left"/>
    </xf>
    <xf numFmtId="0" fontId="11" fillId="0" borderId="0" xfId="0" applyFont="1" applyFill="1" applyAlignment="1">
      <alignment horizontal="left"/>
    </xf>
    <xf numFmtId="164" fontId="11" fillId="0" borderId="0" xfId="0" applyNumberFormat="1" applyFont="1" applyFill="1" applyAlignment="1">
      <alignment horizontal="left"/>
    </xf>
    <xf numFmtId="0" fontId="11" fillId="0" borderId="0" xfId="0" applyFont="1" applyFill="1" applyAlignment="1">
      <alignment horizontal="center"/>
    </xf>
    <xf numFmtId="1" fontId="11" fillId="0" borderId="0" xfId="0" applyNumberFormat="1" applyFont="1" applyFill="1" applyAlignment="1">
      <alignment horizontal="center"/>
    </xf>
    <xf numFmtId="0" fontId="11" fillId="0" borderId="0" xfId="0" applyFont="1" applyFill="1" applyAlignment="1">
      <alignment horizontal="right"/>
    </xf>
    <xf numFmtId="164" fontId="11" fillId="0" borderId="0" xfId="0" applyNumberFormat="1" applyFont="1" applyFill="1"/>
    <xf numFmtId="165" fontId="11" fillId="0" borderId="0" xfId="0" applyNumberFormat="1" applyFont="1" applyFill="1"/>
  </cellXfs>
  <cellStyles count="2">
    <cellStyle name="Normal" xfId="0" builtinId="0"/>
    <cellStyle name="Normal 2" xfId="1" xr:uid="{718F66F3-C717-4379-B8AB-41E1D5EBF2FC}"/>
  </cellStyles>
  <dxfs count="21">
    <dxf>
      <font>
        <b/>
        <i val="0"/>
        <color rgb="FFA20000"/>
      </font>
      <fill>
        <patternFill patternType="solid">
          <fgColor auto="1"/>
          <bgColor rgb="FFFF9797"/>
        </patternFill>
      </fill>
    </dxf>
    <dxf>
      <font>
        <b/>
        <i val="0"/>
        <color theme="9" tint="-0.499984740745262"/>
      </font>
      <fill>
        <patternFill>
          <bgColor theme="9" tint="0.39994506668294322"/>
        </patternFill>
      </fill>
    </dxf>
    <dxf>
      <font>
        <b/>
        <i val="0"/>
        <color rgb="FFA20000"/>
      </font>
      <fill>
        <patternFill patternType="solid">
          <fgColor auto="1"/>
          <bgColor rgb="FFFF9797"/>
        </patternFill>
      </fill>
    </dxf>
    <dxf>
      <font>
        <b/>
        <i val="0"/>
        <color theme="9" tint="-0.499984740745262"/>
      </font>
      <fill>
        <patternFill>
          <bgColor theme="9" tint="0.39994506668294322"/>
        </patternFill>
      </fill>
    </dxf>
    <dxf>
      <font>
        <b/>
        <i val="0"/>
        <color rgb="FFA20000"/>
      </font>
      <fill>
        <patternFill patternType="solid">
          <fgColor auto="1"/>
          <bgColor rgb="FFFF9797"/>
        </patternFill>
      </fill>
    </dxf>
    <dxf>
      <font>
        <b/>
        <i val="0"/>
        <color theme="9" tint="-0.499984740745262"/>
      </font>
      <fill>
        <patternFill>
          <bgColor theme="9" tint="0.39994506668294322"/>
        </patternFill>
      </fill>
    </dxf>
    <dxf>
      <fill>
        <patternFill>
          <bgColor rgb="FFFF0000"/>
        </patternFill>
      </fill>
    </dxf>
    <dxf>
      <font>
        <color theme="0"/>
      </font>
      <fill>
        <patternFill>
          <bgColor rgb="FFFF0000"/>
        </patternFill>
      </fill>
    </dxf>
    <dxf>
      <font>
        <b/>
        <i val="0"/>
        <color rgb="FFA20000"/>
      </font>
      <fill>
        <patternFill patternType="solid">
          <fgColor auto="1"/>
          <bgColor rgb="FFFF9797"/>
        </patternFill>
      </fill>
    </dxf>
    <dxf>
      <font>
        <b/>
        <i val="0"/>
        <color theme="9" tint="-0.499984740745262"/>
      </font>
      <fill>
        <patternFill>
          <bgColor theme="9" tint="0.3999450666829432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colors>
    <mruColors>
      <color rgb="FFFFFFFF"/>
      <color rgb="FFB3EFFF"/>
      <color rgb="FFCC66FF"/>
      <color rgb="FFEAEAEA"/>
      <color rgb="FFDCA4F2"/>
      <color rgb="FFFF9797"/>
      <color rgb="FFFF7C5D"/>
      <color rgb="FF990000"/>
      <color rgb="FFA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94762</xdr:colOff>
      <xdr:row>0</xdr:row>
      <xdr:rowOff>95250</xdr:rowOff>
    </xdr:from>
    <xdr:to>
      <xdr:col>29</xdr:col>
      <xdr:colOff>465330</xdr:colOff>
      <xdr:row>27</xdr:row>
      <xdr:rowOff>141992</xdr:rowOff>
    </xdr:to>
    <xdr:pic>
      <xdr:nvPicPr>
        <xdr:cNvPr id="2" name="Picture 1">
          <a:extLst>
            <a:ext uri="{FF2B5EF4-FFF2-40B4-BE49-F238E27FC236}">
              <a16:creationId xmlns:a16="http://schemas.microsoft.com/office/drawing/2014/main" id="{148ACA9F-730B-9342-8EA0-D26ACB1D361B}"/>
            </a:ext>
          </a:extLst>
        </xdr:cNvPr>
        <xdr:cNvPicPr>
          <a:picLocks noChangeAspect="1"/>
        </xdr:cNvPicPr>
      </xdr:nvPicPr>
      <xdr:blipFill>
        <a:blip xmlns:r="http://schemas.openxmlformats.org/officeDocument/2006/relationships" r:embed="rId1"/>
        <a:stretch>
          <a:fillRect/>
        </a:stretch>
      </xdr:blipFill>
      <xdr:spPr>
        <a:xfrm>
          <a:off x="12239137" y="95250"/>
          <a:ext cx="8333468" cy="527596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chool_Calendar" displayName="School_Calendar" ref="A1:I28" totalsRowShown="0" headerRowDxfId="20" dataDxfId="19">
  <autoFilter ref="A1:I28" xr:uid="{00000000-0009-0000-0100-000003000000}"/>
  <tableColumns count="9">
    <tableColumn id="1" xr3:uid="{00000000-0010-0000-0000-000001000000}" name="Business Unit" dataDxfId="18"/>
    <tableColumn id="7" xr3:uid="{00000000-0010-0000-0000-000007000000}" name="Employee Group" dataDxfId="17"/>
    <tableColumn id="8" xr3:uid="{00000000-0010-0000-0000-000008000000}" name="Contract Pay Type" dataDxfId="16"/>
    <tableColumn id="9" xr3:uid="{00000000-0010-0000-0000-000009000000}" name="Tax Year" dataDxfId="15"/>
    <tableColumn id="2" xr3:uid="{00000000-0010-0000-0000-000002000000}" name="Max Deferred Compensation" dataDxfId="14"/>
    <tableColumn id="3" xr3:uid="{00000000-0010-0000-0000-000003000000}" name="Contract Begin Date" dataDxfId="13"/>
    <tableColumn id="4" xr3:uid="{00000000-0010-0000-0000-000004000000}" name="Contract End Date" dataDxfId="12"/>
    <tableColumn id="5" xr3:uid="{00000000-0010-0000-0000-000005000000}" name="Payment Begin Date" dataDxfId="11"/>
    <tableColumn id="6" xr3:uid="{00000000-0010-0000-0000-000006000000}" name="Payment End Date"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Z31"/>
  <sheetViews>
    <sheetView showGridLines="0" tabSelected="1" zoomScale="80" zoomScaleNormal="80" zoomScaleSheetLayoutView="100" workbookViewId="0">
      <selection activeCell="C13" sqref="C13"/>
    </sheetView>
  </sheetViews>
  <sheetFormatPr defaultColWidth="9.109375" defaultRowHeight="15.6" x14ac:dyDescent="0.3"/>
  <cols>
    <col min="1" max="1" width="3.44140625" style="81" customWidth="1"/>
    <col min="2" max="2" width="26.88671875" style="81" bestFit="1" customWidth="1"/>
    <col min="3" max="3" width="16.44140625" style="81" bestFit="1" customWidth="1"/>
    <col min="4" max="4" width="11.5546875" style="81" customWidth="1"/>
    <col min="5" max="5" width="19.5546875" style="81" bestFit="1" customWidth="1"/>
    <col min="6" max="6" width="17.6640625" style="81" customWidth="1"/>
    <col min="7" max="7" width="2.5546875" style="81" customWidth="1"/>
    <col min="8" max="8" width="3.44140625" style="81" customWidth="1"/>
    <col min="9" max="13" width="19.88671875" style="81" customWidth="1"/>
    <col min="14" max="14" width="3.44140625" style="152" customWidth="1"/>
    <col min="15" max="16" width="9" style="152" customWidth="1"/>
    <col min="17" max="17" width="10.109375" style="152" bestFit="1" customWidth="1"/>
    <col min="18" max="18" width="9.109375" style="113" bestFit="1" customWidth="1"/>
    <col min="19" max="19" width="7" style="113" customWidth="1"/>
    <col min="20" max="20" width="3.6640625" style="113" customWidth="1"/>
    <col min="21" max="21" width="14.5546875" style="113" bestFit="1" customWidth="1"/>
    <col min="22" max="22" width="7.44140625" style="113" bestFit="1" customWidth="1"/>
    <col min="23" max="23" width="15.88671875" style="113" bestFit="1" customWidth="1"/>
    <col min="24" max="24" width="14.44140625" style="113" bestFit="1" customWidth="1"/>
    <col min="25" max="25" width="6.33203125" style="113" bestFit="1" customWidth="1"/>
    <col min="26" max="26" width="10.109375" style="81" bestFit="1" customWidth="1"/>
    <col min="27" max="27" width="8.6640625" style="81" bestFit="1" customWidth="1"/>
    <col min="28" max="29" width="9.109375" style="81"/>
    <col min="30" max="30" width="9.109375" style="81" customWidth="1"/>
    <col min="31" max="16384" width="9.109375" style="81"/>
  </cols>
  <sheetData>
    <row r="1" spans="2:26" x14ac:dyDescent="0.3">
      <c r="O1" s="347"/>
      <c r="P1" s="347"/>
      <c r="Q1" s="347"/>
      <c r="R1" s="348"/>
      <c r="S1" s="348"/>
      <c r="T1" s="348"/>
      <c r="U1" s="348"/>
      <c r="V1" s="348"/>
      <c r="W1" s="348"/>
      <c r="X1" s="348"/>
      <c r="Y1" s="348"/>
      <c r="Z1" s="349"/>
    </row>
    <row r="2" spans="2:26" ht="21" x14ac:dyDescent="0.4">
      <c r="B2" s="305" t="s">
        <v>0</v>
      </c>
      <c r="C2" s="305"/>
      <c r="D2" s="305"/>
      <c r="E2" s="305"/>
      <c r="F2" s="305"/>
      <c r="G2" s="139"/>
      <c r="H2" s="110"/>
      <c r="I2" s="308" t="s">
        <v>1</v>
      </c>
      <c r="J2" s="308"/>
      <c r="K2" s="308"/>
      <c r="L2" s="308"/>
      <c r="M2" s="308"/>
      <c r="O2" s="347"/>
      <c r="P2" s="347"/>
      <c r="Q2" s="347"/>
      <c r="R2" s="348"/>
      <c r="S2" s="348"/>
      <c r="T2" s="348"/>
      <c r="U2" s="348"/>
      <c r="V2" s="348"/>
      <c r="W2" s="348"/>
      <c r="X2" s="348"/>
      <c r="Y2" s="348"/>
      <c r="Z2" s="349"/>
    </row>
    <row r="3" spans="2:26" ht="18" customHeight="1" x14ac:dyDescent="0.35">
      <c r="B3" s="309" t="s">
        <v>2</v>
      </c>
      <c r="C3" s="310"/>
      <c r="D3" s="310"/>
      <c r="E3" s="310"/>
      <c r="F3" s="310"/>
      <c r="G3" s="137"/>
      <c r="H3" s="83"/>
      <c r="I3" s="114" t="s">
        <v>3</v>
      </c>
      <c r="J3" s="115" t="s">
        <v>4</v>
      </c>
      <c r="K3" s="115" t="s">
        <v>5</v>
      </c>
      <c r="L3" s="115" t="s">
        <v>6</v>
      </c>
      <c r="M3" s="116" t="s">
        <v>7</v>
      </c>
      <c r="O3" s="350" t="s">
        <v>72</v>
      </c>
      <c r="P3" s="350"/>
      <c r="Q3" s="347"/>
      <c r="R3" s="348"/>
      <c r="S3" s="348"/>
      <c r="T3" s="348"/>
      <c r="U3" s="348"/>
      <c r="V3" s="348"/>
      <c r="W3" s="348"/>
      <c r="X3" s="348"/>
      <c r="Y3" s="348"/>
      <c r="Z3" s="349"/>
    </row>
    <row r="4" spans="2:26" ht="18" x14ac:dyDescent="0.35">
      <c r="B4" s="311"/>
      <c r="C4" s="312"/>
      <c r="D4" s="312"/>
      <c r="E4" s="312"/>
      <c r="F4" s="312"/>
      <c r="G4" s="138"/>
      <c r="H4" s="83"/>
      <c r="I4" s="117"/>
      <c r="J4" s="118"/>
      <c r="K4" s="118"/>
      <c r="L4" s="118"/>
      <c r="M4" s="119"/>
      <c r="O4" s="350"/>
      <c r="P4" s="350"/>
      <c r="Q4" s="347"/>
      <c r="R4" s="348"/>
      <c r="S4" s="348"/>
      <c r="T4" s="348"/>
      <c r="U4" s="348"/>
      <c r="V4" s="348"/>
      <c r="W4" s="348"/>
      <c r="X4" s="348"/>
      <c r="Y4" s="348"/>
      <c r="Z4" s="349"/>
    </row>
    <row r="5" spans="2:26" ht="18" x14ac:dyDescent="0.35">
      <c r="B5" s="311"/>
      <c r="C5" s="312"/>
      <c r="D5" s="312"/>
      <c r="E5" s="312"/>
      <c r="F5" s="312"/>
      <c r="G5" s="138"/>
      <c r="H5" s="99"/>
      <c r="I5" s="100" t="s">
        <v>8</v>
      </c>
      <c r="J5" s="101" t="str">
        <f>TEXT(DATE(YEAR($C$10),MONTH($C$10),DAY($C$10)),"mmmm")</f>
        <v>August</v>
      </c>
      <c r="K5" s="102">
        <f>IF(R7&gt;0,X15,IF($C$13-SUM($K$4:K4)-$X$16&lt;0,$C$13-SUM($K$4:K4),$X$16))</f>
        <v>17083.381443298967</v>
      </c>
      <c r="L5" s="102">
        <f t="shared" ref="L5:L16" si="0">M5-K5</f>
        <v>-3920.0176592224179</v>
      </c>
      <c r="M5" s="103">
        <f>IF(R7&gt;0,X28,IF($C$13-SUM($M$4:M4)-$X$29&lt;0,$C$13-SUM($M4:M$5),$X$29))</f>
        <v>13163.36378407655</v>
      </c>
      <c r="N5" s="153"/>
      <c r="O5" s="350"/>
      <c r="P5" s="350"/>
      <c r="Q5" s="351"/>
      <c r="R5" s="348"/>
      <c r="S5" s="348"/>
      <c r="T5" s="348"/>
      <c r="U5" s="348"/>
      <c r="V5" s="348"/>
      <c r="W5" s="348"/>
      <c r="X5" s="348"/>
      <c r="Y5" s="348"/>
      <c r="Z5" s="349"/>
    </row>
    <row r="6" spans="2:26" ht="18" x14ac:dyDescent="0.35">
      <c r="B6" s="311"/>
      <c r="C6" s="312"/>
      <c r="D6" s="312"/>
      <c r="E6" s="312"/>
      <c r="F6" s="312"/>
      <c r="G6" s="138"/>
      <c r="H6" s="99"/>
      <c r="I6" s="104" t="s">
        <v>9</v>
      </c>
      <c r="J6" s="105" t="str">
        <f>TEXT(DATE(YEAR($C$10),MONTH($C$10)+1,DAY($C$10)),"mmmm")</f>
        <v>September</v>
      </c>
      <c r="K6" s="106">
        <f>IF($C$13-SUM($K$4:K5)-$X$16&lt;0,$C$13-SUM($K$4:K5),$X$16)</f>
        <v>22421.938144329895</v>
      </c>
      <c r="L6" s="106">
        <f t="shared" si="0"/>
        <v>-5145.0231777294248</v>
      </c>
      <c r="M6" s="107">
        <f>IF($C$13-SUM($M$4:M5)-$X$29&lt;0,$C$13-SUM($M$5:M5),$X$29)</f>
        <v>17276.914966600471</v>
      </c>
      <c r="N6" s="153"/>
      <c r="O6" s="350"/>
      <c r="P6" s="350"/>
      <c r="Q6" s="351"/>
      <c r="R6" s="352"/>
      <c r="S6" s="352"/>
      <c r="T6" s="352"/>
      <c r="U6" s="352"/>
      <c r="V6" s="352"/>
      <c r="W6" s="352"/>
      <c r="X6" s="348"/>
      <c r="Y6" s="348"/>
      <c r="Z6" s="349"/>
    </row>
    <row r="7" spans="2:26" ht="18.600000000000001" thickBot="1" x14ac:dyDescent="0.4">
      <c r="B7" s="112"/>
      <c r="C7" s="111"/>
      <c r="D7" s="111"/>
      <c r="E7" s="111"/>
      <c r="F7" s="111"/>
      <c r="G7" s="148"/>
      <c r="H7" s="99"/>
      <c r="I7" s="100" t="s">
        <v>10</v>
      </c>
      <c r="J7" s="101" t="str">
        <f>TEXT(DATE(YEAR($C$10),MONTH($C$10)+2,DAY($C$10)),"mmmm")</f>
        <v>October</v>
      </c>
      <c r="K7" s="102">
        <f>IF($C$13-SUM($K$4:K6)-$X$16&lt;0,$C$13-SUM($K$4:K6),$X$16)</f>
        <v>22421.938144329895</v>
      </c>
      <c r="L7" s="102">
        <f t="shared" si="0"/>
        <v>-5145.0231777294248</v>
      </c>
      <c r="M7" s="103">
        <f>IF($C$13-SUM($M$4:M6)-$X$29&lt;0,$C$13-SUM($M$5:M6),$X$29)</f>
        <v>17276.914966600471</v>
      </c>
      <c r="N7" s="153"/>
      <c r="O7" s="350"/>
      <c r="P7" s="350"/>
      <c r="Q7" s="351"/>
      <c r="R7" s="353">
        <f>IF(ISBLANK(C10)," ",IF(NETWORKDAYS(C10,EOMONTH(C10,0))&gt;=T7,0,NETWORKDAYS(C10,EOMONTH(C10,0))))</f>
        <v>16</v>
      </c>
      <c r="S7" s="352" t="s">
        <v>11</v>
      </c>
      <c r="T7" s="354">
        <f>IF(ISBLANK(C10)," ",NETWORKDAYS(DATE(YEAR(C10),MONTH(C10),1),DATE(YEAR(C10),MONTH(C10),DAY(EOMONTH(C10,0)))))</f>
        <v>21</v>
      </c>
      <c r="U7" s="352" t="s">
        <v>12</v>
      </c>
      <c r="V7" s="352" t="str">
        <f>TEXT(DATE(YEAR(C10),MONTH(C10),DAY(C10)),"mmmm")</f>
        <v>August</v>
      </c>
      <c r="W7" s="352">
        <f>YEAR(C10)</f>
        <v>2026</v>
      </c>
      <c r="X7" s="348"/>
      <c r="Y7" s="348"/>
      <c r="Z7" s="349"/>
    </row>
    <row r="8" spans="2:26" ht="18.600000000000001" thickBot="1" x14ac:dyDescent="0.4">
      <c r="B8" s="86" t="s">
        <v>13</v>
      </c>
      <c r="C8" s="87" t="s">
        <v>53</v>
      </c>
      <c r="D8" s="88"/>
      <c r="E8" s="89" t="s">
        <v>15</v>
      </c>
      <c r="F8" s="95" t="s">
        <v>16</v>
      </c>
      <c r="G8" s="145"/>
      <c r="H8" s="99"/>
      <c r="I8" s="104" t="s">
        <v>17</v>
      </c>
      <c r="J8" s="105" t="str">
        <f>TEXT(DATE(YEAR($C$10),MONTH($C$10)+3,DAY($C$10)),"mmmm")</f>
        <v>November</v>
      </c>
      <c r="K8" s="106">
        <f>IF($C$13-SUM($K$4:K7)-$X$16&lt;0,$C$13-SUM($K$4:K7),$X$16)</f>
        <v>22421.938144329895</v>
      </c>
      <c r="L8" s="106">
        <f t="shared" si="0"/>
        <v>-5145.0231777294248</v>
      </c>
      <c r="M8" s="107">
        <f>IF($C$13-SUM($M$4:M7)-$X$29&lt;0,$C$13-SUM($M$5:M7),$X$29)</f>
        <v>17276.914966600471</v>
      </c>
      <c r="N8" s="153"/>
      <c r="O8" s="350"/>
      <c r="P8" s="350"/>
      <c r="Q8" s="351"/>
      <c r="R8" s="353">
        <f>DATEDIF(C10,DATE(YEAR(C10),12,31)+1,"m")</f>
        <v>4</v>
      </c>
      <c r="S8" s="352" t="s">
        <v>11</v>
      </c>
      <c r="T8" s="354">
        <f>IF(DAY(C10)=1,DATEDIF(C10,F10+1,"m"),DATEDIF(C10,F10,"m")-IF(AND(C8="Denver",F13=2024),1,0)-IF(AND(C8="Denver",F13=2025),1,0)-IF(AND(C8="Denver",F13=2026),1,0))</f>
        <v>8</v>
      </c>
      <c r="U8" s="352" t="s">
        <v>18</v>
      </c>
      <c r="V8" s="352" t="s">
        <v>19</v>
      </c>
      <c r="W8" s="352">
        <f>YEAR(C10)</f>
        <v>2026</v>
      </c>
      <c r="X8" s="348"/>
      <c r="Y8" s="348"/>
      <c r="Z8" s="349"/>
    </row>
    <row r="9" spans="2:26" ht="18" x14ac:dyDescent="0.35">
      <c r="B9" s="86" t="s">
        <v>20</v>
      </c>
      <c r="C9" s="90" t="str" cm="1">
        <f t="array" ref="C9">IFERROR(INDEX(School_Calendar[#All],MATCH(1,(School_Calendar[[#All],[Business Unit]]=C8)*(School_Calendar[[#All],[Employee Group]]='Contract Def Comp Calculator'!F8),0),3),"")</f>
        <v>Fclt 9/12</v>
      </c>
      <c r="D9" s="85"/>
      <c r="E9" s="85"/>
      <c r="F9" s="85"/>
      <c r="G9" s="149"/>
      <c r="H9" s="99"/>
      <c r="I9" s="100" t="s">
        <v>21</v>
      </c>
      <c r="J9" s="101" t="str">
        <f>TEXT(DATE(YEAR($C$10),MONTH($C$10)+4,DAY($C$10)),"mmmm")</f>
        <v>December</v>
      </c>
      <c r="K9" s="102">
        <f>IF($C$13-SUM($K$4:K8)-$X$16&lt;0,$C$13-SUM($K$4:K8),$X$16)</f>
        <v>22421.938144329895</v>
      </c>
      <c r="L9" s="102">
        <f t="shared" si="0"/>
        <v>-5145.0231777294248</v>
      </c>
      <c r="M9" s="103">
        <f>IF($C$13-SUM($M$4:M8)-$X$29&lt;0,$C$13-SUM($M$5:M8),$X$29)</f>
        <v>17276.914966600471</v>
      </c>
      <c r="N9" s="153"/>
      <c r="O9" s="350"/>
      <c r="P9" s="350"/>
      <c r="Q9" s="351"/>
      <c r="R9" s="353">
        <f>DATEDIF(DATE(YEAR(F10),1,1),F10+1,"m")</f>
        <v>4</v>
      </c>
      <c r="S9" s="352" t="s">
        <v>11</v>
      </c>
      <c r="T9" s="354">
        <f>IF(DAY(C10)=1,DATEDIF(C10,F10+1,"m"),DATEDIF(C10,F10,"m")-IF(AND(C8="Denver",F13=2024),1,0)-IF(AND(C8="Denver",F13=2025),1,0)-IF(AND(C8="Denver",F13=2026),1,0))</f>
        <v>8</v>
      </c>
      <c r="U9" s="352" t="s">
        <v>18</v>
      </c>
      <c r="V9" s="352" t="s">
        <v>19</v>
      </c>
      <c r="W9" s="352">
        <f>YEAR(F10)</f>
        <v>2027</v>
      </c>
      <c r="X9" s="348"/>
      <c r="Y9" s="348"/>
      <c r="Z9" s="349"/>
    </row>
    <row r="10" spans="2:26" ht="18" x14ac:dyDescent="0.35">
      <c r="B10" s="86" t="s">
        <v>22</v>
      </c>
      <c r="C10" s="91">
        <f t="array" ref="C10">IFERROR(INDEX(School_Calendar[#All],MATCH(1,(School_Calendar[[#All],[Business Unit]]=C8)*(School_Calendar[[#All],[Employee Group]]='Contract Def Comp Calculator'!F8)*(School_Calendar[[#All],[Contract Pay Type]]='Contract Def Comp Calculator'!C9)*(School_Calendar[[#All],[Tax Year]]='Contract Def Comp Calculator'!F13),0),6),"")</f>
        <v>46244</v>
      </c>
      <c r="D10" s="316" t="s">
        <v>23</v>
      </c>
      <c r="E10" s="316"/>
      <c r="F10" s="91">
        <f t="array" ref="F10">IFERROR(INDEX(School_Calendar[#All],MATCH(1,(School_Calendar[[#All],[Business Unit]]=C8)*(School_Calendar[[#All],[Employee Group]]='Contract Def Comp Calculator'!F8)*(School_Calendar[[#All],[Contract Pay Type]]='Contract Def Comp Calculator'!C9)*(School_Calendar[[#All],[Tax Year]]='Contract Def Comp Calculator'!F13),0),7),"")</f>
        <v>46521</v>
      </c>
      <c r="G10" s="150"/>
      <c r="H10" s="99"/>
      <c r="I10" s="104" t="s">
        <v>24</v>
      </c>
      <c r="J10" s="105" t="str">
        <f>TEXT(DATE(YEAR($C$10),MONTH($C$10)+5,DAY($C$10)),"mmmm")</f>
        <v>January</v>
      </c>
      <c r="K10" s="106">
        <f>IF($C$13-SUM($K$4:K9)-$X$16&lt;0,$C$13-SUM($K$4:K9),$X$16)</f>
        <v>22421.938144329895</v>
      </c>
      <c r="L10" s="106">
        <f t="shared" si="0"/>
        <v>-5145.0231777294248</v>
      </c>
      <c r="M10" s="107">
        <f>IF($C$13-SUM($M$4:M9)-$X$29&lt;0,$C$13-SUM($M$5:M9),$X$29)</f>
        <v>17276.914966600471</v>
      </c>
      <c r="N10" s="153"/>
      <c r="O10" s="350"/>
      <c r="P10" s="350"/>
      <c r="Q10" s="351"/>
      <c r="R10" s="353">
        <f>IF(ISBLANK(F10)," ",IF(NETWORKDAYS(DATE(YEAR(F10),MONTH(F10),1),F10)&gt;=T10,0,NETWORKDAYS(DATE(YEAR(F10),MONTH(F10),1),F10)))</f>
        <v>10</v>
      </c>
      <c r="S10" s="352" t="s">
        <v>11</v>
      </c>
      <c r="T10" s="354">
        <f>IF(ISBLANK(F10)," ",NETWORKDAYS(DATE(YEAR(F10),MONTH(F10),1),DATE(YEAR(F10),MONTH(F10),DAY(EOMONTH(F10,0)))))</f>
        <v>21</v>
      </c>
      <c r="U10" s="352" t="s">
        <v>12</v>
      </c>
      <c r="V10" s="352" t="str">
        <f>TEXT(DATE(YEAR(F10),MONTH(F10),DAY(F10)),"mmmm")</f>
        <v>May</v>
      </c>
      <c r="W10" s="352">
        <f>YEAR(F10)</f>
        <v>2027</v>
      </c>
      <c r="X10" s="348"/>
      <c r="Y10" s="348"/>
      <c r="Z10" s="349"/>
    </row>
    <row r="11" spans="2:26" ht="18" x14ac:dyDescent="0.35">
      <c r="B11" s="86" t="s">
        <v>25</v>
      </c>
      <c r="C11" s="91">
        <f t="array" ref="C11">IFERROR(INDEX(School_Calendar[#All],MATCH(1,(School_Calendar[[#All],[Business Unit]]=C8)*(School_Calendar[[#All],[Employee Group]]='Contract Def Comp Calculator'!F8)*(School_Calendar[[#All],[Contract Pay Type]]='Contract Def Comp Calculator'!C9)*(School_Calendar[[#All],[Tax Year]]='Contract Def Comp Calculator'!F13),0),8),"")</f>
        <v>46244</v>
      </c>
      <c r="D11" s="316" t="s">
        <v>26</v>
      </c>
      <c r="E11" s="316"/>
      <c r="F11" s="91">
        <f t="array" ref="F11">IFERROR(INDEX(School_Calendar[#All],MATCH(1,(School_Calendar[[#All],[Business Unit]]=C8)*(School_Calendar[[#All],[Employee Group]]='Contract Def Comp Calculator'!F8)*(School_Calendar[[#All],[Contract Pay Type]]='Contract Def Comp Calculator'!C9)*(School_Calendar[[#All],[Tax Year]]='Contract Def Comp Calculator'!F13),0),9),"")</f>
        <v>46605</v>
      </c>
      <c r="G11" s="150"/>
      <c r="H11" s="99"/>
      <c r="I11" s="100" t="s">
        <v>27</v>
      </c>
      <c r="J11" s="101" t="str">
        <f>TEXT(DATE(YEAR($C$10),MONTH($C$10)+6,DAY($C$10)),"mmmm")</f>
        <v>February</v>
      </c>
      <c r="K11" s="102">
        <f>IF($C$13-SUM($K$4:K10)-$X$16&lt;0,$C$13-SUM($K$4:K10),$X$16)</f>
        <v>22421.938144329895</v>
      </c>
      <c r="L11" s="102">
        <f t="shared" si="0"/>
        <v>-5145.0231777294248</v>
      </c>
      <c r="M11" s="103">
        <f>IF($C$13-SUM($M$4:M10)-$X$29&lt;0,$C$13-SUM($M$5:M10),$X$29)</f>
        <v>17276.914966600471</v>
      </c>
      <c r="N11" s="153"/>
      <c r="O11" s="350"/>
      <c r="P11" s="350"/>
      <c r="Q11" s="351"/>
      <c r="R11" s="348"/>
      <c r="S11" s="348"/>
      <c r="T11" s="348"/>
      <c r="U11" s="348"/>
      <c r="V11" s="348"/>
      <c r="W11" s="348"/>
      <c r="X11" s="348"/>
      <c r="Y11" s="348"/>
      <c r="Z11" s="349"/>
    </row>
    <row r="12" spans="2:26" ht="18.600000000000001" thickBot="1" x14ac:dyDescent="0.4">
      <c r="B12" s="92"/>
      <c r="C12" s="85"/>
      <c r="D12" s="85"/>
      <c r="E12" s="85"/>
      <c r="F12" s="85"/>
      <c r="G12" s="149"/>
      <c r="H12" s="99"/>
      <c r="I12" s="104" t="s">
        <v>28</v>
      </c>
      <c r="J12" s="105" t="str">
        <f>TEXT(DATE(YEAR($C$10),MONTH($C$10)+7,DAY($C$10)),"mmmm")</f>
        <v>March</v>
      </c>
      <c r="K12" s="106">
        <f>IF($C$13-SUM($K$4:K11)-$X$16&lt;0,$C$13-SUM($K$4:K11),$X$16)</f>
        <v>22421.938144329895</v>
      </c>
      <c r="L12" s="106">
        <f t="shared" si="0"/>
        <v>-5145.0231777294248</v>
      </c>
      <c r="M12" s="107">
        <f>IF($C$13-SUM($M$4:M11)-$X$29&lt;0,$C$13-SUM($M$5:M11),$X$29)</f>
        <v>17276.914966600471</v>
      </c>
      <c r="N12" s="153"/>
      <c r="O12" s="350"/>
      <c r="P12" s="350"/>
      <c r="Q12" s="351"/>
      <c r="R12" s="355"/>
      <c r="S12" s="355"/>
      <c r="T12" s="355"/>
      <c r="U12" s="356">
        <f>(R7/T7)+T8+R10/T10</f>
        <v>9.238095238095239</v>
      </c>
      <c r="V12" s="348"/>
      <c r="W12" s="348"/>
      <c r="X12" s="348"/>
      <c r="Y12" s="348"/>
      <c r="Z12" s="349"/>
    </row>
    <row r="13" spans="2:26" ht="18.600000000000001" thickBot="1" x14ac:dyDescent="0.4">
      <c r="B13" s="86" t="s">
        <v>29</v>
      </c>
      <c r="C13" s="93">
        <v>207136</v>
      </c>
      <c r="D13" s="94"/>
      <c r="E13" s="89" t="s">
        <v>30</v>
      </c>
      <c r="F13" s="167">
        <v>2026</v>
      </c>
      <c r="G13" s="151"/>
      <c r="H13" s="99"/>
      <c r="I13" s="100" t="s">
        <v>31</v>
      </c>
      <c r="J13" s="101" t="str">
        <f>TEXT(DATE(YEAR($C$10),MONTH($C$10)+8,DAY($C$10)),"mmmm")</f>
        <v>April</v>
      </c>
      <c r="K13" s="102">
        <f>IF($C$13-SUM($K$4:K12)-$X$16&lt;0,$C$13-SUM($K$4:K12),$X$16)</f>
        <v>22421.938144329895</v>
      </c>
      <c r="L13" s="108">
        <f t="shared" si="0"/>
        <v>-5145.0231777294248</v>
      </c>
      <c r="M13" s="103">
        <f>IF($C$13-SUM($M$4:M12)-$X$29&lt;0,$C$13-SUM($M$5:M12),$X$29)</f>
        <v>17276.914966600471</v>
      </c>
      <c r="N13" s="153"/>
      <c r="O13" s="350"/>
      <c r="P13" s="350"/>
      <c r="Q13" s="347"/>
      <c r="R13" s="355"/>
      <c r="S13" s="355"/>
      <c r="T13" s="355"/>
      <c r="U13" s="357">
        <f>C13/U12</f>
        <v>22421.938144329895</v>
      </c>
      <c r="V13" s="348"/>
      <c r="W13" s="348"/>
      <c r="X13" s="348"/>
      <c r="Y13" s="348"/>
      <c r="Z13" s="349"/>
    </row>
    <row r="14" spans="2:26" ht="18" x14ac:dyDescent="0.35">
      <c r="B14" s="84"/>
      <c r="C14" s="85"/>
      <c r="D14" s="94"/>
      <c r="E14" s="89" t="s">
        <v>32</v>
      </c>
      <c r="F14" s="95" t="str">
        <f>CONCATENATE(F13,"-",SUM(F13+1))</f>
        <v>2026-2027</v>
      </c>
      <c r="G14" s="145"/>
      <c r="H14" s="99"/>
      <c r="I14" s="104" t="s">
        <v>33</v>
      </c>
      <c r="J14" s="105" t="str">
        <f>TEXT(DATE(YEAR($C$10),MONTH($C$10)+9,DAY($C$10)),"mmmm")</f>
        <v>May</v>
      </c>
      <c r="K14" s="106">
        <f>IF($C$13-SUM($K$4:K13)-$X$16&lt;0,$C$13-SUM($K$4:K13),$X$16)</f>
        <v>10677.113402061863</v>
      </c>
      <c r="L14" s="109">
        <f t="shared" si="0"/>
        <v>6599.8015645386076</v>
      </c>
      <c r="M14" s="107">
        <f>IF($C$13-SUM($M$4:M13)-$X$29&lt;0,$C$13-SUM($M$5:M13),$X$29)</f>
        <v>17276.914966600471</v>
      </c>
      <c r="N14" s="153"/>
      <c r="O14" s="350"/>
      <c r="P14" s="350"/>
      <c r="Q14" s="351"/>
      <c r="R14" s="358"/>
      <c r="S14" s="358"/>
      <c r="T14" s="359"/>
      <c r="U14" s="359"/>
      <c r="V14" s="348"/>
      <c r="W14" s="348"/>
      <c r="X14" s="348"/>
      <c r="Y14" s="348"/>
      <c r="Z14" s="349"/>
    </row>
    <row r="15" spans="2:26" ht="18" x14ac:dyDescent="0.35">
      <c r="B15" s="86" t="s">
        <v>34</v>
      </c>
      <c r="C15" s="96">
        <f>IFERROR(ROUNDUP(U13*((R7/T7)+R8)-W26*((T20/V20)+T21),2),"")</f>
        <v>24500.12</v>
      </c>
      <c r="D15" s="316" t="s">
        <v>35</v>
      </c>
      <c r="E15" s="316"/>
      <c r="F15" s="146">
        <f t="array" ref="F15">IFERROR(INDEX(School_Calendar[#All],MATCH(1,(School_Calendar[[#All],[Business Unit]]=C8)*(School_Calendar[[#All],[Employee Group]]='Contract Def Comp Calculator'!F8)*(School_Calendar[[#All],[Contract Pay Type]]='Contract Def Comp Calculator'!C9)*(School_Calendar[[#All],[Tax Year]]='Contract Def Comp Calculator'!F13),0),5),"")</f>
        <v>24500</v>
      </c>
      <c r="G15" s="125"/>
      <c r="H15" s="99"/>
      <c r="I15" s="100" t="s">
        <v>36</v>
      </c>
      <c r="J15" s="101" t="str">
        <f>TEXT(DATE(YEAR($C$10),MONTH($C$10)+10,DAY($C$10)),"mmmm")</f>
        <v>June</v>
      </c>
      <c r="K15" s="102">
        <f>IF($C$13-SUM($K$4:K14)-$X$16&lt;0,$C$13-SUM($K$4:K14),$X$16)</f>
        <v>0</v>
      </c>
      <c r="L15" s="102">
        <f t="shared" si="0"/>
        <v>17276.914966600471</v>
      </c>
      <c r="M15" s="103">
        <f>IF($C$13-SUM($M$4:M14)-$X$29&lt;0,$C$13-SUM($M$5:M14),$X$29)</f>
        <v>17276.914966600471</v>
      </c>
      <c r="N15" s="153"/>
      <c r="O15" s="350"/>
      <c r="P15" s="350"/>
      <c r="Q15" s="347"/>
      <c r="R15" s="355" t="s">
        <v>37</v>
      </c>
      <c r="S15" s="360" t="s">
        <v>38</v>
      </c>
      <c r="T15" s="360"/>
      <c r="U15" s="361">
        <f>R7</f>
        <v>16</v>
      </c>
      <c r="V15" s="362" t="s">
        <v>39</v>
      </c>
      <c r="W15" s="362"/>
      <c r="X15" s="363">
        <f>U13*R7/T7</f>
        <v>17083.381443298967</v>
      </c>
      <c r="Y15" s="352"/>
      <c r="Z15" s="348"/>
    </row>
    <row r="16" spans="2:26" ht="18" x14ac:dyDescent="0.35">
      <c r="B16" s="86" t="s">
        <v>40</v>
      </c>
      <c r="C16" s="313" t="str">
        <f>IFERROR(IF(C15&lt;=F15,"9/12 Option Available","9/12 Option Not Available"),"")</f>
        <v>9/12 Option Not Available</v>
      </c>
      <c r="D16" s="314"/>
      <c r="E16" s="314"/>
      <c r="F16" s="315"/>
      <c r="G16" s="125"/>
      <c r="H16" s="99"/>
      <c r="I16" s="104" t="s">
        <v>41</v>
      </c>
      <c r="J16" s="105" t="str">
        <f>TEXT(DATE(YEAR($C$10),MONTH($C$10)+11,DAY($C$10)),"mmmm")</f>
        <v>July</v>
      </c>
      <c r="K16" s="106">
        <f>IF($C$13-SUM($K$4:K15)-$X$16&lt;0,$C$13-SUM($K$4:K15),$X$16)</f>
        <v>0</v>
      </c>
      <c r="L16" s="106">
        <f t="shared" si="0"/>
        <v>17276.914966600471</v>
      </c>
      <c r="M16" s="107">
        <f>IF($C$13-SUM($M$4:M15)-$X$29&lt;0,$C$13-SUM($M$5:M15),$X$29)</f>
        <v>17276.914966600471</v>
      </c>
      <c r="N16" s="153"/>
      <c r="O16" s="350"/>
      <c r="P16" s="350"/>
      <c r="Q16" s="347"/>
      <c r="R16" s="355" t="s">
        <v>37</v>
      </c>
      <c r="S16" s="360" t="s">
        <v>42</v>
      </c>
      <c r="T16" s="360"/>
      <c r="U16" s="352">
        <f>T8</f>
        <v>8</v>
      </c>
      <c r="V16" s="362" t="s">
        <v>43</v>
      </c>
      <c r="W16" s="362"/>
      <c r="X16" s="363">
        <f>U13</f>
        <v>22421.938144329895</v>
      </c>
      <c r="Y16" s="352"/>
      <c r="Z16" s="348"/>
    </row>
    <row r="17" spans="2:26" ht="18" x14ac:dyDescent="0.35">
      <c r="B17" s="86"/>
      <c r="C17" s="95"/>
      <c r="D17" s="89"/>
      <c r="E17" s="143"/>
      <c r="F17" s="147"/>
      <c r="G17" s="144"/>
      <c r="H17" s="83"/>
      <c r="I17" s="100" t="s">
        <v>44</v>
      </c>
      <c r="J17" s="101" t="str">
        <f>TEXT(DATE(YEAR($C$10),MONTH($C$10)+12,DAY($C$10)),"mmmm")</f>
        <v>August</v>
      </c>
      <c r="K17" s="102">
        <f>IF($C$13-SUM($K$4:K16)-$X$16&lt;0,$C$13-SUM($K$4:K16),$X$16)</f>
        <v>0</v>
      </c>
      <c r="L17" s="102">
        <f>M17-K16</f>
        <v>3926.571583318233</v>
      </c>
      <c r="M17" s="103">
        <f>IF($C$13-SUM($M$4:M16)-$X$29&lt;0,$C$13-SUM($M$5:M16),$X$29)</f>
        <v>3926.571583318233</v>
      </c>
      <c r="O17" s="350"/>
      <c r="P17" s="350"/>
      <c r="Q17" s="347"/>
      <c r="R17" s="355" t="s">
        <v>37</v>
      </c>
      <c r="S17" s="360" t="s">
        <v>45</v>
      </c>
      <c r="T17" s="360"/>
      <c r="U17" s="361">
        <f>R10</f>
        <v>10</v>
      </c>
      <c r="V17" s="362" t="s">
        <v>39</v>
      </c>
      <c r="W17" s="362"/>
      <c r="X17" s="363">
        <f>U13*R10/T10</f>
        <v>10677.113402061854</v>
      </c>
      <c r="Y17" s="352"/>
      <c r="Z17" s="348"/>
    </row>
    <row r="18" spans="2:26" ht="30" customHeight="1" x14ac:dyDescent="0.35">
      <c r="B18" s="97"/>
      <c r="C18" s="98"/>
      <c r="D18" s="98"/>
      <c r="E18" s="98"/>
      <c r="F18" s="98"/>
      <c r="G18" s="120"/>
      <c r="H18" s="83"/>
      <c r="I18" s="121"/>
      <c r="J18" s="122" t="s">
        <v>46</v>
      </c>
      <c r="K18" s="123">
        <f>SUM(K5:K17)</f>
        <v>207136</v>
      </c>
      <c r="L18" s="123">
        <f>ABS(SUMIF(L5:L17,"&lt;0",L5:L17))</f>
        <v>45080.203081057814</v>
      </c>
      <c r="M18" s="124">
        <f t="shared" ref="M18" si="1">SUM(M5:M17)</f>
        <v>207136</v>
      </c>
      <c r="O18" s="350"/>
      <c r="P18" s="350"/>
      <c r="Q18" s="347"/>
      <c r="R18" s="355"/>
      <c r="S18" s="355"/>
      <c r="T18" s="364"/>
      <c r="U18" s="348"/>
      <c r="V18" s="348"/>
      <c r="W18" s="348"/>
      <c r="X18" s="348"/>
      <c r="Y18" s="348"/>
      <c r="Z18" s="348"/>
    </row>
    <row r="19" spans="2:26" x14ac:dyDescent="0.3">
      <c r="B19" s="80"/>
      <c r="C19" s="80"/>
      <c r="D19" s="80"/>
      <c r="E19" s="80"/>
      <c r="F19" s="80"/>
      <c r="G19" s="82"/>
      <c r="O19" s="347"/>
      <c r="P19" s="347"/>
      <c r="Q19" s="347"/>
      <c r="R19" s="360" t="s">
        <v>47</v>
      </c>
      <c r="S19" s="360"/>
      <c r="T19" s="360"/>
      <c r="U19" s="360"/>
      <c r="V19" s="360"/>
      <c r="W19" s="360"/>
      <c r="X19" s="360"/>
      <c r="Y19" s="360"/>
      <c r="Z19" s="348"/>
    </row>
    <row r="20" spans="2:26" ht="15.75" customHeight="1" x14ac:dyDescent="0.3">
      <c r="B20" s="317" t="s">
        <v>48</v>
      </c>
      <c r="C20" s="318"/>
      <c r="D20" s="318"/>
      <c r="E20" s="318"/>
      <c r="F20" s="318"/>
      <c r="G20" s="318"/>
      <c r="H20" s="318"/>
      <c r="I20" s="318"/>
      <c r="J20" s="318"/>
      <c r="K20" s="318"/>
      <c r="L20" s="318"/>
      <c r="M20" s="319"/>
      <c r="O20" s="347"/>
      <c r="P20" s="347"/>
      <c r="Q20" s="347"/>
      <c r="R20" s="355" t="s">
        <v>49</v>
      </c>
      <c r="S20" s="355" t="s">
        <v>50</v>
      </c>
      <c r="T20" s="353">
        <f>IF(ISBLANK(C11)," ",IF(NETWORKDAYS(C11,EOMONTH(C11,0))&gt;=V20,0,NETWORKDAYS(C11,EOMONTH(C11,0))))</f>
        <v>16</v>
      </c>
      <c r="U20" s="352" t="s">
        <v>11</v>
      </c>
      <c r="V20" s="354">
        <f>IF(ISBLANK(C11)," ",NETWORKDAYS(DATE(YEAR(C11),MONTH(C11),1),DATE(YEAR(C11),MONTH(C11),DAY(EOMONTH(C11,0)))))</f>
        <v>21</v>
      </c>
      <c r="W20" s="352" t="s">
        <v>12</v>
      </c>
      <c r="X20" s="352" t="str">
        <f>TEXT(DATE(YEAR(C11),MONTH(C11),DAY(C11)),"mmmm")</f>
        <v>August</v>
      </c>
      <c r="Y20" s="352">
        <f>YEAR(C11)</f>
        <v>2026</v>
      </c>
      <c r="Z20" s="348"/>
    </row>
    <row r="21" spans="2:26" x14ac:dyDescent="0.3">
      <c r="B21" s="320"/>
      <c r="C21" s="321"/>
      <c r="D21" s="321"/>
      <c r="E21" s="321"/>
      <c r="F21" s="321"/>
      <c r="G21" s="321"/>
      <c r="H21" s="321"/>
      <c r="I21" s="321"/>
      <c r="J21" s="321"/>
      <c r="K21" s="321"/>
      <c r="L21" s="321"/>
      <c r="M21" s="322"/>
      <c r="O21" s="347"/>
      <c r="P21" s="347"/>
      <c r="Q21" s="347"/>
      <c r="R21" s="355" t="s">
        <v>49</v>
      </c>
      <c r="S21" s="355" t="s">
        <v>43</v>
      </c>
      <c r="T21" s="353">
        <f>DATEDIF(C11,DATE(YEAR(C11),12,31)+1,"m")</f>
        <v>4</v>
      </c>
      <c r="U21" s="352" t="s">
        <v>11</v>
      </c>
      <c r="V21" s="354">
        <f>IF(DAY(C11)=1,DATEDIF(C11,F11+1,"m"),DATEDIF(C11,F11,"m"))</f>
        <v>11</v>
      </c>
      <c r="W21" s="352" t="s">
        <v>18</v>
      </c>
      <c r="X21" s="352" t="s">
        <v>19</v>
      </c>
      <c r="Y21" s="352">
        <f>YEAR(C11)</f>
        <v>2026</v>
      </c>
      <c r="Z21" s="348"/>
    </row>
    <row r="22" spans="2:26" x14ac:dyDescent="0.3">
      <c r="B22" s="320"/>
      <c r="C22" s="321"/>
      <c r="D22" s="321"/>
      <c r="E22" s="321"/>
      <c r="F22" s="321"/>
      <c r="G22" s="321"/>
      <c r="H22" s="321"/>
      <c r="I22" s="321"/>
      <c r="J22" s="321"/>
      <c r="K22" s="321"/>
      <c r="L22" s="321"/>
      <c r="M22" s="322"/>
      <c r="O22" s="347"/>
      <c r="P22" s="347"/>
      <c r="Q22" s="347"/>
      <c r="R22" s="355" t="s">
        <v>49</v>
      </c>
      <c r="S22" s="355" t="s">
        <v>43</v>
      </c>
      <c r="T22" s="353">
        <f>DATEDIF(DATE(YEAR(F11),1,1),F11+1,"m")</f>
        <v>7</v>
      </c>
      <c r="U22" s="352" t="s">
        <v>11</v>
      </c>
      <c r="V22" s="354">
        <f>IF(DAY(C11)=1,DATEDIF(C11,F11+1,"m"),DATEDIF(C11,F11,"m"))</f>
        <v>11</v>
      </c>
      <c r="W22" s="352" t="s">
        <v>18</v>
      </c>
      <c r="X22" s="352" t="s">
        <v>19</v>
      </c>
      <c r="Y22" s="352">
        <f>YEAR(F11)</f>
        <v>2027</v>
      </c>
      <c r="Z22" s="348"/>
    </row>
    <row r="23" spans="2:26" x14ac:dyDescent="0.3">
      <c r="B23" s="320"/>
      <c r="C23" s="321"/>
      <c r="D23" s="321"/>
      <c r="E23" s="321"/>
      <c r="F23" s="321"/>
      <c r="G23" s="321"/>
      <c r="H23" s="321"/>
      <c r="I23" s="321"/>
      <c r="J23" s="321"/>
      <c r="K23" s="321"/>
      <c r="L23" s="321"/>
      <c r="M23" s="322"/>
      <c r="O23" s="347"/>
      <c r="P23" s="347"/>
      <c r="Q23" s="347"/>
      <c r="R23" s="355" t="s">
        <v>49</v>
      </c>
      <c r="S23" s="355" t="s">
        <v>50</v>
      </c>
      <c r="T23" s="353">
        <f>IF(ISBLANK(F11)," ",IF(NETWORKDAYS(DATE(YEAR(F11),MONTH(F11),1),F11)&gt;=V23,0,NETWORKDAYS(DATE(YEAR(F11),MONTH(F11),1),F11)))</f>
        <v>5</v>
      </c>
      <c r="U23" s="352" t="s">
        <v>11</v>
      </c>
      <c r="V23" s="354">
        <f>IF(ISBLANK(F11)," ",NETWORKDAYS(DATE(YEAR(F11),MONTH(F11),1),DATE(YEAR(F11),MONTH(F11),DAY(EOMONTH(F11,0)))))</f>
        <v>22</v>
      </c>
      <c r="W23" s="352" t="s">
        <v>12</v>
      </c>
      <c r="X23" s="352" t="str">
        <f>TEXT(DATE(YEAR(F11),MONTH(F11),DAY(F11)),"mmmm")</f>
        <v>August</v>
      </c>
      <c r="Y23" s="352">
        <f>YEAR(F11)</f>
        <v>2027</v>
      </c>
      <c r="Z23" s="348"/>
    </row>
    <row r="24" spans="2:26" x14ac:dyDescent="0.3">
      <c r="B24" s="320"/>
      <c r="C24" s="321"/>
      <c r="D24" s="321"/>
      <c r="E24" s="321"/>
      <c r="F24" s="321"/>
      <c r="G24" s="321"/>
      <c r="H24" s="321"/>
      <c r="I24" s="321"/>
      <c r="J24" s="321"/>
      <c r="K24" s="321"/>
      <c r="L24" s="321"/>
      <c r="M24" s="322"/>
      <c r="O24" s="347"/>
      <c r="P24" s="347"/>
      <c r="Q24" s="347"/>
      <c r="R24" s="348"/>
      <c r="S24" s="348"/>
      <c r="T24" s="348"/>
      <c r="U24" s="348"/>
      <c r="V24" s="348"/>
      <c r="W24" s="348"/>
      <c r="X24" s="348"/>
      <c r="Y24" s="348"/>
      <c r="Z24" s="348"/>
    </row>
    <row r="25" spans="2:26" x14ac:dyDescent="0.3">
      <c r="B25" s="323"/>
      <c r="C25" s="324"/>
      <c r="D25" s="324"/>
      <c r="E25" s="324"/>
      <c r="F25" s="324"/>
      <c r="G25" s="324"/>
      <c r="H25" s="324"/>
      <c r="I25" s="324"/>
      <c r="J25" s="324"/>
      <c r="K25" s="324"/>
      <c r="L25" s="324"/>
      <c r="M25" s="325"/>
      <c r="O25" s="347"/>
      <c r="P25" s="347"/>
      <c r="Q25" s="347"/>
      <c r="R25" s="362" t="s">
        <v>51</v>
      </c>
      <c r="S25" s="362"/>
      <c r="T25" s="362"/>
      <c r="U25" s="362"/>
      <c r="V25" s="362"/>
      <c r="W25" s="356">
        <f>(T20/V20)+V21+T23/V23</f>
        <v>11.989177489177489</v>
      </c>
      <c r="X25" s="348"/>
      <c r="Y25" s="348"/>
      <c r="Z25" s="348"/>
    </row>
    <row r="26" spans="2:26" x14ac:dyDescent="0.3">
      <c r="O26" s="347"/>
      <c r="P26" s="347"/>
      <c r="Q26" s="347"/>
      <c r="R26" s="362" t="s">
        <v>52</v>
      </c>
      <c r="S26" s="362"/>
      <c r="T26" s="362"/>
      <c r="U26" s="362"/>
      <c r="V26" s="362"/>
      <c r="W26" s="357">
        <f>C13/W25</f>
        <v>17276.914966600471</v>
      </c>
      <c r="X26" s="348"/>
      <c r="Y26" s="348"/>
      <c r="Z26" s="348"/>
    </row>
    <row r="27" spans="2:26" x14ac:dyDescent="0.3">
      <c r="O27" s="347"/>
      <c r="P27" s="347"/>
      <c r="Q27" s="347"/>
      <c r="R27" s="348"/>
      <c r="S27" s="348"/>
      <c r="T27" s="348"/>
      <c r="U27" s="348"/>
      <c r="V27" s="348"/>
      <c r="W27" s="348"/>
      <c r="X27" s="348"/>
      <c r="Y27" s="348"/>
      <c r="Z27" s="348"/>
    </row>
    <row r="28" spans="2:26" x14ac:dyDescent="0.3">
      <c r="O28" s="347"/>
      <c r="P28" s="347"/>
      <c r="Q28" s="347"/>
      <c r="R28" s="355" t="s">
        <v>49</v>
      </c>
      <c r="S28" s="360" t="s">
        <v>38</v>
      </c>
      <c r="T28" s="360"/>
      <c r="U28" s="361">
        <f>T20</f>
        <v>16</v>
      </c>
      <c r="V28" s="362" t="s">
        <v>39</v>
      </c>
      <c r="W28" s="362"/>
      <c r="X28" s="363">
        <f>W26*T20/V20</f>
        <v>13163.36378407655</v>
      </c>
      <c r="Y28" s="348"/>
      <c r="Z28" s="348"/>
    </row>
    <row r="29" spans="2:26" x14ac:dyDescent="0.3">
      <c r="O29" s="347"/>
      <c r="P29" s="347"/>
      <c r="Q29" s="347"/>
      <c r="R29" s="355" t="s">
        <v>49</v>
      </c>
      <c r="S29" s="360" t="s">
        <v>42</v>
      </c>
      <c r="T29" s="360"/>
      <c r="U29" s="352">
        <f>V21</f>
        <v>11</v>
      </c>
      <c r="V29" s="362" t="s">
        <v>43</v>
      </c>
      <c r="W29" s="362"/>
      <c r="X29" s="363">
        <f>W26</f>
        <v>17276.914966600471</v>
      </c>
      <c r="Y29" s="348"/>
      <c r="Z29" s="348"/>
    </row>
    <row r="30" spans="2:26" x14ac:dyDescent="0.3">
      <c r="O30" s="347"/>
      <c r="P30" s="347"/>
      <c r="Q30" s="347"/>
      <c r="R30" s="355" t="s">
        <v>49</v>
      </c>
      <c r="S30" s="360" t="s">
        <v>45</v>
      </c>
      <c r="T30" s="360"/>
      <c r="U30" s="361">
        <f>T23</f>
        <v>5</v>
      </c>
      <c r="V30" s="362" t="s">
        <v>39</v>
      </c>
      <c r="W30" s="362"/>
      <c r="X30" s="363">
        <f>W26*T23/V23</f>
        <v>3926.5715833182885</v>
      </c>
      <c r="Y30" s="348"/>
      <c r="Z30" s="348"/>
    </row>
    <row r="31" spans="2:26" x14ac:dyDescent="0.3">
      <c r="Y31" s="179"/>
      <c r="Z31" s="113"/>
    </row>
  </sheetData>
  <sheetProtection selectLockedCells="1"/>
  <mergeCells count="24">
    <mergeCell ref="V17:W17"/>
    <mergeCell ref="S30:T30"/>
    <mergeCell ref="V30:W30"/>
    <mergeCell ref="S29:T29"/>
    <mergeCell ref="V29:W29"/>
    <mergeCell ref="R26:V26"/>
    <mergeCell ref="S28:T28"/>
    <mergeCell ref="V28:W28"/>
    <mergeCell ref="B2:F2"/>
    <mergeCell ref="R19:Y19"/>
    <mergeCell ref="R25:V25"/>
    <mergeCell ref="S15:T15"/>
    <mergeCell ref="V15:W15"/>
    <mergeCell ref="S16:T16"/>
    <mergeCell ref="V16:W16"/>
    <mergeCell ref="I2:M2"/>
    <mergeCell ref="B3:F6"/>
    <mergeCell ref="C16:F16"/>
    <mergeCell ref="D10:E10"/>
    <mergeCell ref="D11:E11"/>
    <mergeCell ref="D15:E15"/>
    <mergeCell ref="B20:M25"/>
    <mergeCell ref="O3:P18"/>
    <mergeCell ref="S17:T17"/>
  </mergeCells>
  <conditionalFormatting sqref="C16">
    <cfRule type="expression" dxfId="9" priority="3">
      <formula>$C$16="9/12 Option Available"</formula>
    </cfRule>
    <cfRule type="expression" dxfId="8" priority="4">
      <formula>$C$16="9/12 Option Not Available"</formula>
    </cfRule>
  </conditionalFormatting>
  <conditionalFormatting sqref="F13">
    <cfRule type="expression" dxfId="7" priority="1">
      <formula>F13&lt;2025</formula>
    </cfRule>
  </conditionalFormatting>
  <conditionalFormatting sqref="O3:P18">
    <cfRule type="expression" dxfId="6" priority="2">
      <formula>F13&lt;2025</formula>
    </cfRule>
  </conditionalFormatting>
  <pageMargins left="0.7" right="0.7" top="0.75" bottom="0.75" header="0.3" footer="0.3"/>
  <pageSetup scale="8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'School Calendars'!$A$2:$A$4</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P29"/>
  <sheetViews>
    <sheetView zoomScaleNormal="100" workbookViewId="0">
      <selection activeCell="M5" sqref="M5"/>
    </sheetView>
  </sheetViews>
  <sheetFormatPr defaultColWidth="9.109375" defaultRowHeight="14.4" x14ac:dyDescent="0.3"/>
  <cols>
    <col min="1" max="1" width="28.6640625" bestFit="1" customWidth="1"/>
    <col min="2" max="2" width="14.6640625" bestFit="1" customWidth="1"/>
    <col min="3" max="3" width="6.33203125" bestFit="1" customWidth="1"/>
    <col min="4" max="4" width="23" bestFit="1" customWidth="1"/>
    <col min="5" max="5" width="13" bestFit="1" customWidth="1"/>
    <col min="6" max="6" width="17" bestFit="1" customWidth="1"/>
    <col min="7" max="8" width="3" customWidth="1"/>
    <col min="9" max="9" width="10.44140625" bestFit="1" customWidth="1"/>
    <col min="10" max="10" width="16.5546875" bestFit="1" customWidth="1"/>
    <col min="11" max="11" width="4.44140625" bestFit="1" customWidth="1"/>
    <col min="12" max="13" width="7.109375" bestFit="1" customWidth="1"/>
    <col min="14" max="14" width="15.5546875" bestFit="1" customWidth="1"/>
    <col min="15" max="15" width="11.33203125" bestFit="1" customWidth="1"/>
    <col min="16" max="16" width="6.33203125" bestFit="1" customWidth="1"/>
    <col min="17" max="17" width="10.109375" bestFit="1" customWidth="1"/>
    <col min="18" max="18" width="8.6640625" bestFit="1" customWidth="1"/>
  </cols>
  <sheetData>
    <row r="1" spans="1:16" ht="15" thickBot="1" x14ac:dyDescent="0.35">
      <c r="A1" s="3"/>
      <c r="B1" s="4"/>
      <c r="C1" s="4"/>
      <c r="D1" s="4"/>
      <c r="E1" s="4"/>
      <c r="F1" s="4"/>
      <c r="G1" s="5"/>
    </row>
    <row r="2" spans="1:16" ht="15" thickBot="1" x14ac:dyDescent="0.35">
      <c r="A2" s="6" t="s">
        <v>13</v>
      </c>
      <c r="B2" s="73" t="s">
        <v>53</v>
      </c>
      <c r="C2" s="7"/>
      <c r="D2" s="8" t="s">
        <v>15</v>
      </c>
      <c r="E2" s="73" t="s">
        <v>16</v>
      </c>
      <c r="F2" s="9"/>
      <c r="G2" s="5"/>
      <c r="I2" s="328" t="s">
        <v>54</v>
      </c>
      <c r="J2" s="328"/>
      <c r="K2" s="328"/>
      <c r="L2" s="328"/>
      <c r="M2" s="328"/>
      <c r="N2" s="328"/>
      <c r="O2" s="328"/>
      <c r="P2" s="328"/>
    </row>
    <row r="3" spans="1:16" x14ac:dyDescent="0.3">
      <c r="A3" s="6" t="s">
        <v>20</v>
      </c>
      <c r="B3" s="10" t="str">
        <f t="array" ref="B3">IFERROR(INDEX(School_Calendar[#All],MATCH(1,(School_Calendar[[#All],[Business Unit]]=B2)*(School_Calendar[[#All],[Employee Group]]='Deferred Comp Calculator'!E2),0),3),"")</f>
        <v>Fclt 9/12</v>
      </c>
      <c r="C3" s="9"/>
      <c r="D3" s="9"/>
      <c r="E3" s="9"/>
      <c r="F3" s="9"/>
      <c r="G3" s="5"/>
      <c r="I3" s="11" t="s">
        <v>37</v>
      </c>
      <c r="J3" s="12" t="s">
        <v>50</v>
      </c>
      <c r="K3" s="13">
        <f>IF(ISBLANK(B4)," ",IF(NETWORKDAYS(B4,EOMONTH(B4,0))&gt;=M3,0,NETWORKDAYS(B4,EOMONTH(B4,0))))</f>
        <v>15</v>
      </c>
      <c r="L3" s="14" t="s">
        <v>11</v>
      </c>
      <c r="M3" s="15">
        <f>IF(ISBLANK(B4)," ",NETWORKDAYS(DATE(YEAR(B4),MONTH(B4),1),DATE(YEAR(B4),MONTH(B4),DAY(EOMONTH(B4,0)))))</f>
        <v>21</v>
      </c>
      <c r="N3" s="14" t="s">
        <v>12</v>
      </c>
      <c r="O3" s="14" t="str">
        <f>TEXT(DATE(YEAR(B4),MONTH(B4),DAY(B4)),"mmmm")</f>
        <v>August</v>
      </c>
      <c r="P3" s="16">
        <f>YEAR(B4)</f>
        <v>2025</v>
      </c>
    </row>
    <row r="4" spans="1:16" x14ac:dyDescent="0.3">
      <c r="A4" s="6" t="s">
        <v>22</v>
      </c>
      <c r="B4" s="17" cm="1">
        <f t="array" ref="B4">IFERROR(INDEX(School_Calendar[#All],MATCH(1,(School_Calendar[[#All],[Business Unit]]=B2)*(School_Calendar[[#All],[Employee Group]]='Deferred Comp Calculator'!E2)*(School_Calendar[[#All],[Contract Pay Type]]='Deferred Comp Calculator'!B3)*(School_Calendar[[#All],[Tax Year]]='Deferred Comp Calculator'!E7),0),6),"")</f>
        <v>45880</v>
      </c>
      <c r="C4" s="326" t="s">
        <v>23</v>
      </c>
      <c r="D4" s="326"/>
      <c r="E4" s="17">
        <f t="array" ref="E4">IFERROR(INDEX(School_Calendar[#All],MATCH(1,(School_Calendar[[#All],[Business Unit]]=B2)*(School_Calendar[[#All],[Employee Group]]='Deferred Comp Calculator'!E2)*(School_Calendar[[#All],[Contract Pay Type]]='Deferred Comp Calculator'!B3)*(School_Calendar[[#All],[Tax Year]]='Deferred Comp Calculator'!E7),0),7),"")</f>
        <v>46157</v>
      </c>
      <c r="F4" s="9"/>
      <c r="G4" s="5"/>
      <c r="I4" s="18" t="s">
        <v>37</v>
      </c>
      <c r="J4" s="19" t="s">
        <v>43</v>
      </c>
      <c r="K4" s="20">
        <f>DATEDIF(B4,DATE(YEAR(B4),12,31)+1,"m")</f>
        <v>4</v>
      </c>
      <c r="L4" s="1" t="s">
        <v>11</v>
      </c>
      <c r="M4" s="21">
        <f>IF(DAY(B4)=1,DATEDIF(B4,E4+1,"m"),DATEDIF(B4,E4,"m")-IF(AND(B2="Denver",E7=2024),1,0)-IF(AND(B2="Denver",E7=2025),1,0)-IF(AND(B2="Denver",E7=2026),1,0))</f>
        <v>8</v>
      </c>
      <c r="N4" s="1" t="s">
        <v>18</v>
      </c>
      <c r="O4" s="1" t="s">
        <v>19</v>
      </c>
      <c r="P4" s="22">
        <f>YEAR(B4)</f>
        <v>2025</v>
      </c>
    </row>
    <row r="5" spans="1:16" x14ac:dyDescent="0.3">
      <c r="A5" s="6" t="s">
        <v>25</v>
      </c>
      <c r="B5" s="17">
        <f t="array" ref="B5">IFERROR(INDEX(School_Calendar[#All],MATCH(1,(School_Calendar[[#All],[Business Unit]]=B2)*(School_Calendar[[#All],[Employee Group]]='Deferred Comp Calculator'!E2)*(School_Calendar[[#All],[Contract Pay Type]]='Deferred Comp Calculator'!B3)*(School_Calendar[[#All],[Tax Year]]='Deferred Comp Calculator'!E7),0),8),"")</f>
        <v>45880</v>
      </c>
      <c r="C5" s="326" t="s">
        <v>26</v>
      </c>
      <c r="D5" s="326"/>
      <c r="E5" s="17">
        <f t="array" ref="E5">IFERROR(INDEX(School_Calendar[#All],MATCH(1,(School_Calendar[[#All],[Business Unit]]=B2)*(School_Calendar[[#All],[Employee Group]]='Deferred Comp Calculator'!E2)*(School_Calendar[[#All],[Contract Pay Type]]='Deferred Comp Calculator'!B3)*(School_Calendar[[#All],[Tax Year]]='Deferred Comp Calculator'!E7),0),9),"")</f>
        <v>46241</v>
      </c>
      <c r="F5" s="9"/>
      <c r="G5" s="5"/>
      <c r="I5" s="18" t="s">
        <v>37</v>
      </c>
      <c r="J5" s="19" t="s">
        <v>43</v>
      </c>
      <c r="K5" s="20">
        <f>DATEDIF(DATE(YEAR(E4),1,1),E4+1,"m")</f>
        <v>4</v>
      </c>
      <c r="L5" s="1" t="s">
        <v>11</v>
      </c>
      <c r="M5" s="21">
        <f>IF(DAY(B4)=1,DATEDIF(B4,E4+1,"m"),DATEDIF(B4,E4,"m")-IF(AND(B2="Denver",E7=2024),1,0)-IF(AND(B2="Denver",E7=2025),1,0)-IF(AND(B2="Denver",E7=2026),1,0))</f>
        <v>8</v>
      </c>
      <c r="N5" s="1" t="s">
        <v>18</v>
      </c>
      <c r="O5" s="1" t="s">
        <v>19</v>
      </c>
      <c r="P5" s="22">
        <f>YEAR(E4)</f>
        <v>2026</v>
      </c>
    </row>
    <row r="6" spans="1:16" ht="15" thickBot="1" x14ac:dyDescent="0.35">
      <c r="A6" s="23"/>
      <c r="B6" s="9"/>
      <c r="C6" s="9"/>
      <c r="D6" s="9"/>
      <c r="E6" s="9"/>
      <c r="F6" s="9"/>
      <c r="G6" s="5"/>
      <c r="I6" s="18" t="s">
        <v>37</v>
      </c>
      <c r="J6" s="19" t="s">
        <v>50</v>
      </c>
      <c r="K6" s="20">
        <f>IF(ISBLANK(E4)," ",IF(NETWORKDAYS(DATE(YEAR(E4),MONTH(E4),1),E4)&gt;=M6,0,NETWORKDAYS(DATE(YEAR(E4),MONTH(E4),1),E4)))</f>
        <v>11</v>
      </c>
      <c r="L6" s="1" t="s">
        <v>11</v>
      </c>
      <c r="M6" s="21">
        <f>IF(ISBLANK(E4)," ",NETWORKDAYS(DATE(YEAR(E4),MONTH(E4),1),DATE(YEAR(E4),MONTH(E4),DAY(EOMONTH(E4,0)))))</f>
        <v>21</v>
      </c>
      <c r="N6" s="1" t="s">
        <v>12</v>
      </c>
      <c r="O6" s="1" t="str">
        <f>TEXT(DATE(YEAR(E4),MONTH(E4),DAY(E4)),"mmmm")</f>
        <v>May</v>
      </c>
      <c r="P6" s="22">
        <f>YEAR(E4)</f>
        <v>2026</v>
      </c>
    </row>
    <row r="7" spans="1:16" ht="15" thickBot="1" x14ac:dyDescent="0.35">
      <c r="A7" s="6" t="s">
        <v>29</v>
      </c>
      <c r="B7" s="75">
        <v>207136</v>
      </c>
      <c r="C7" s="24"/>
      <c r="D7" s="25" t="s">
        <v>30</v>
      </c>
      <c r="E7" s="74">
        <v>2025</v>
      </c>
      <c r="F7" s="9"/>
      <c r="G7" s="5"/>
      <c r="I7" s="26"/>
      <c r="P7" s="27"/>
    </row>
    <row r="8" spans="1:16" x14ac:dyDescent="0.3">
      <c r="A8" s="28"/>
      <c r="B8" s="9"/>
      <c r="C8" s="24"/>
      <c r="D8" s="29"/>
      <c r="E8" s="9"/>
      <c r="F8" s="9"/>
      <c r="G8" s="5"/>
      <c r="I8" s="329" t="s">
        <v>55</v>
      </c>
      <c r="J8" s="330"/>
      <c r="K8" s="330"/>
      <c r="L8" s="330"/>
      <c r="M8" s="330"/>
      <c r="N8" s="30">
        <f>(K3/M3)+M4+K6/M6</f>
        <v>9.2380952380952372</v>
      </c>
      <c r="P8" s="27"/>
    </row>
    <row r="9" spans="1:16" x14ac:dyDescent="0.3">
      <c r="A9" s="25" t="s">
        <v>34</v>
      </c>
      <c r="B9" s="31">
        <f>ROUNDUP(N9*((K3/M3)+K4)-N22*((K16/M16)+K17),2)</f>
        <v>24004.37</v>
      </c>
      <c r="C9" s="326" t="s">
        <v>35</v>
      </c>
      <c r="D9" s="326"/>
      <c r="E9" s="32">
        <f t="array" ref="E9">IFERROR(INDEX(School_Calendar[#All],MATCH(1,(School_Calendar[[#All],[Business Unit]]=B2)*(School_Calendar[[#All],[Employee Group]]='Deferred Comp Calculator'!E2)*(School_Calendar[[#All],[Contract Pay Type]]='Deferred Comp Calculator'!B3)*(School_Calendar[[#All],[Tax Year]]='Deferred Comp Calculator'!E7),0),5),"")</f>
        <v>23500</v>
      </c>
      <c r="F9" s="9"/>
      <c r="G9" s="5"/>
      <c r="I9" s="329" t="s">
        <v>56</v>
      </c>
      <c r="J9" s="330"/>
      <c r="K9" s="330"/>
      <c r="L9" s="330"/>
      <c r="M9" s="330"/>
      <c r="N9" s="33">
        <f>B7/N8</f>
        <v>22421.938144329899</v>
      </c>
      <c r="P9" s="27"/>
    </row>
    <row r="10" spans="1:16" x14ac:dyDescent="0.3">
      <c r="A10" s="25" t="s">
        <v>40</v>
      </c>
      <c r="B10" s="71" t="str">
        <f>IFERROR(IF(B9&lt;=E9,"Available","Not Available"),"")</f>
        <v>Not Available</v>
      </c>
      <c r="C10" s="9"/>
      <c r="D10" s="9"/>
      <c r="E10" s="9"/>
      <c r="F10" s="9"/>
      <c r="G10" s="5"/>
      <c r="I10" s="34"/>
      <c r="J10" s="35"/>
      <c r="K10" s="35"/>
      <c r="L10" s="35"/>
      <c r="M10" s="36"/>
      <c r="N10" s="36"/>
      <c r="P10" s="27"/>
    </row>
    <row r="11" spans="1:16" x14ac:dyDescent="0.3">
      <c r="A11" s="39"/>
      <c r="B11" s="40"/>
      <c r="C11" s="40"/>
      <c r="D11" s="40"/>
      <c r="E11" s="40"/>
      <c r="F11" s="40"/>
      <c r="G11" s="5"/>
      <c r="I11" s="18" t="s">
        <v>37</v>
      </c>
      <c r="J11" s="327" t="s">
        <v>38</v>
      </c>
      <c r="K11" s="327"/>
      <c r="L11" s="37">
        <f>K3</f>
        <v>15</v>
      </c>
      <c r="M11" s="330" t="s">
        <v>39</v>
      </c>
      <c r="N11" s="330"/>
      <c r="O11" s="38">
        <f>N9*K3/M3</f>
        <v>16015.670103092785</v>
      </c>
      <c r="P11" s="22"/>
    </row>
    <row r="12" spans="1:16" x14ac:dyDescent="0.3">
      <c r="A12" s="41"/>
      <c r="B12" s="41"/>
      <c r="C12" s="41"/>
      <c r="D12" s="41"/>
      <c r="E12" s="41"/>
      <c r="F12" s="41"/>
      <c r="G12" s="72"/>
      <c r="I12" s="18" t="s">
        <v>37</v>
      </c>
      <c r="J12" s="327" t="s">
        <v>42</v>
      </c>
      <c r="K12" s="327"/>
      <c r="L12" s="1">
        <f>M4</f>
        <v>8</v>
      </c>
      <c r="M12" s="330" t="s">
        <v>43</v>
      </c>
      <c r="N12" s="330"/>
      <c r="O12" s="38">
        <f>N9</f>
        <v>22421.938144329899</v>
      </c>
      <c r="P12" s="22"/>
    </row>
    <row r="13" spans="1:16" x14ac:dyDescent="0.3">
      <c r="A13" s="328" t="s">
        <v>57</v>
      </c>
      <c r="B13" s="328"/>
      <c r="C13" s="328"/>
      <c r="D13" s="328"/>
      <c r="E13" s="328"/>
      <c r="F13" s="328"/>
      <c r="I13" s="42" t="s">
        <v>37</v>
      </c>
      <c r="J13" s="328" t="s">
        <v>45</v>
      </c>
      <c r="K13" s="328"/>
      <c r="L13" s="43">
        <f>K6</f>
        <v>11</v>
      </c>
      <c r="M13" s="331" t="s">
        <v>39</v>
      </c>
      <c r="N13" s="331"/>
      <c r="O13" s="44">
        <f>N9*K6/M6</f>
        <v>11744.824742268042</v>
      </c>
      <c r="P13" s="45"/>
    </row>
    <row r="14" spans="1:16" x14ac:dyDescent="0.3">
      <c r="A14" s="47" t="s">
        <v>3</v>
      </c>
      <c r="B14" s="15" t="s">
        <v>4</v>
      </c>
      <c r="C14" s="15" t="s">
        <v>58</v>
      </c>
      <c r="D14" s="15" t="s">
        <v>5</v>
      </c>
      <c r="E14" s="15" t="s">
        <v>6</v>
      </c>
      <c r="F14" s="48" t="s">
        <v>59</v>
      </c>
      <c r="I14" s="19"/>
      <c r="J14" s="19"/>
      <c r="K14" s="46"/>
    </row>
    <row r="15" spans="1:16" x14ac:dyDescent="0.3">
      <c r="A15" s="49"/>
      <c r="B15" s="21"/>
      <c r="C15" s="21"/>
      <c r="D15" s="21"/>
      <c r="E15" s="21"/>
      <c r="F15" s="50"/>
      <c r="I15" s="328" t="s">
        <v>47</v>
      </c>
      <c r="J15" s="328"/>
      <c r="K15" s="328"/>
      <c r="L15" s="328"/>
      <c r="M15" s="328"/>
      <c r="N15" s="328"/>
      <c r="O15" s="328"/>
      <c r="P15" s="328"/>
    </row>
    <row r="16" spans="1:16" x14ac:dyDescent="0.3">
      <c r="A16" s="51" t="s">
        <v>8</v>
      </c>
      <c r="B16" s="52" t="str">
        <f>TEXT(DATE(YEAR($B$4),MONTH($B$4),DAY($B$4)),"mmmm")</f>
        <v>August</v>
      </c>
      <c r="C16" s="53">
        <f>K16</f>
        <v>15</v>
      </c>
      <c r="D16" s="54">
        <f>IF(K3&gt;0,O11,IF($B$7-SUM($D$15:D15)-$O$12&lt;0,$B$7-SUM($D$15:D15),$O$12))</f>
        <v>16015.670103092785</v>
      </c>
      <c r="E16" s="54">
        <f t="shared" ref="E16" si="0">F16-D16</f>
        <v>-3637.024684766091</v>
      </c>
      <c r="F16" s="55">
        <f>IF(K3&gt;0,O24,IF($B$7-SUM($F$15:F15)-$O$25&lt;0,$B$7-SUM($F15:F$16),$O$25))</f>
        <v>12378.645418326694</v>
      </c>
      <c r="I16" s="11" t="s">
        <v>49</v>
      </c>
      <c r="J16" s="12" t="s">
        <v>50</v>
      </c>
      <c r="K16" s="13">
        <f>IF(ISBLANK(B5)," ",IF(NETWORKDAYS(B5,EOMONTH(B5,0))&gt;=M16,0,NETWORKDAYS(B5,EOMONTH(B5,0))))</f>
        <v>15</v>
      </c>
      <c r="L16" s="14" t="s">
        <v>11</v>
      </c>
      <c r="M16" s="15">
        <f>IF(ISBLANK(B5)," ",NETWORKDAYS(DATE(YEAR(B5),MONTH(B5),1),DATE(YEAR(B5),MONTH(B5),DAY(EOMONTH(B5,0)))))</f>
        <v>21</v>
      </c>
      <c r="N16" s="14" t="s">
        <v>12</v>
      </c>
      <c r="O16" s="14" t="str">
        <f>TEXT(DATE(YEAR(B5),MONTH(B5),DAY(B5)),"mmmm")</f>
        <v>August</v>
      </c>
      <c r="P16" s="16">
        <f>YEAR(B5)</f>
        <v>2025</v>
      </c>
    </row>
    <row r="17" spans="1:16" x14ac:dyDescent="0.3">
      <c r="A17" s="18" t="s">
        <v>9</v>
      </c>
      <c r="B17" s="1" t="str">
        <f>TEXT(DATE(YEAR($B$4),MONTH($B$4)+1,DAY($B$4)),"mmmm")</f>
        <v>September</v>
      </c>
      <c r="C17" s="1"/>
      <c r="D17" s="56">
        <f>IF($B$7-SUM($D$15:D16)-$O$12&lt;0,$B$7-SUM($D$15:D16),$O$12)</f>
        <v>22421.938144329899</v>
      </c>
      <c r="E17" s="56">
        <f t="shared" ref="E17:E27" si="1">F17-D17</f>
        <v>-5091.8345586725263</v>
      </c>
      <c r="F17" s="57">
        <f>IF($B$7-SUM($F$15:F16)-$O$25&lt;0,$B$7-SUM($F$16:F16),$O$25)</f>
        <v>17330.103585657373</v>
      </c>
      <c r="I17" s="18" t="s">
        <v>49</v>
      </c>
      <c r="J17" s="19" t="s">
        <v>43</v>
      </c>
      <c r="K17" s="20">
        <f>DATEDIF(B5,DATE(YEAR(B5),12,31)+1,"m")</f>
        <v>4</v>
      </c>
      <c r="L17" s="1" t="s">
        <v>11</v>
      </c>
      <c r="M17" s="21">
        <f>IF(DAY(B5)=1,DATEDIF(B5,E5+1,"m"),DATEDIF(B5,E5,"m"))</f>
        <v>11</v>
      </c>
      <c r="N17" s="1" t="s">
        <v>18</v>
      </c>
      <c r="O17" s="1" t="s">
        <v>19</v>
      </c>
      <c r="P17" s="22">
        <f>YEAR(B5)</f>
        <v>2025</v>
      </c>
    </row>
    <row r="18" spans="1:16" x14ac:dyDescent="0.3">
      <c r="A18" s="18" t="s">
        <v>10</v>
      </c>
      <c r="B18" s="1" t="str">
        <f>TEXT(DATE(YEAR($B$4),MONTH($B$4)+2,DAY($B$4)),"mmmm")</f>
        <v>October</v>
      </c>
      <c r="C18" s="1"/>
      <c r="D18" s="56">
        <f>IF($B$7-SUM($D$15:D17)-$O$12&lt;0,$B$7-SUM($D$15:D17),$O$12)</f>
        <v>22421.938144329899</v>
      </c>
      <c r="E18" s="56">
        <f t="shared" si="1"/>
        <v>-5091.8345586725263</v>
      </c>
      <c r="F18" s="57">
        <f>IF($B$7-SUM($F$15:F17)-$O$25&lt;0,$B$7-SUM($F$16:F17),$O$25)</f>
        <v>17330.103585657373</v>
      </c>
      <c r="I18" s="18" t="s">
        <v>49</v>
      </c>
      <c r="J18" s="19" t="s">
        <v>43</v>
      </c>
      <c r="K18" s="20">
        <f>DATEDIF(DATE(YEAR(E5),1,1),E5+1,"m")</f>
        <v>7</v>
      </c>
      <c r="L18" s="1" t="s">
        <v>11</v>
      </c>
      <c r="M18" s="21">
        <f>IF(DAY(B5)=1,DATEDIF(B5,E5+1,"m"),DATEDIF(B5,E5,"m"))</f>
        <v>11</v>
      </c>
      <c r="N18" s="1" t="s">
        <v>18</v>
      </c>
      <c r="O18" s="1" t="s">
        <v>19</v>
      </c>
      <c r="P18" s="22">
        <f>YEAR(E5)</f>
        <v>2026</v>
      </c>
    </row>
    <row r="19" spans="1:16" x14ac:dyDescent="0.3">
      <c r="A19" s="18" t="s">
        <v>17</v>
      </c>
      <c r="B19" s="1" t="str">
        <f>TEXT(DATE(YEAR($B$4),MONTH($B$4)+3,DAY($B$4)),"mmmm")</f>
        <v>November</v>
      </c>
      <c r="C19" s="1"/>
      <c r="D19" s="56">
        <f>IF($B$7-SUM($D$15:D18)-$O$12&lt;0,$B$7-SUM($D$15:D18),$O$12)</f>
        <v>22421.938144329899</v>
      </c>
      <c r="E19" s="56">
        <f t="shared" si="1"/>
        <v>-5091.8345586725263</v>
      </c>
      <c r="F19" s="57">
        <f>IF($B$7-SUM($F$15:F18)-$O$25&lt;0,$B$7-SUM($F$16:F18),$O$25)</f>
        <v>17330.103585657373</v>
      </c>
      <c r="I19" s="18" t="s">
        <v>49</v>
      </c>
      <c r="J19" s="19" t="s">
        <v>50</v>
      </c>
      <c r="K19" s="20">
        <f>IF(ISBLANK(E5)," ",IF(NETWORKDAYS(DATE(YEAR(E5),MONTH(E5),1),E5)&gt;=M19,0,NETWORKDAYS(DATE(YEAR(E5),MONTH(E5),1),E5)))</f>
        <v>5</v>
      </c>
      <c r="L19" s="1" t="s">
        <v>11</v>
      </c>
      <c r="M19" s="21">
        <f>IF(ISBLANK(E5)," ",NETWORKDAYS(DATE(YEAR(E5),MONTH(E5),1),DATE(YEAR(E5),MONTH(E5),DAY(EOMONTH(E5,0)))))</f>
        <v>21</v>
      </c>
      <c r="N19" s="1" t="s">
        <v>12</v>
      </c>
      <c r="O19" s="1" t="str">
        <f>TEXT(DATE(YEAR(E5),MONTH(E5),DAY(E5)),"mmmm")</f>
        <v>August</v>
      </c>
      <c r="P19" s="22">
        <f>YEAR(E5)</f>
        <v>2026</v>
      </c>
    </row>
    <row r="20" spans="1:16" x14ac:dyDescent="0.3">
      <c r="A20" s="18" t="s">
        <v>21</v>
      </c>
      <c r="B20" s="1" t="str">
        <f>TEXT(DATE(YEAR($B$4),MONTH($B$4)+4,DAY($B$4)),"mmmm")</f>
        <v>December</v>
      </c>
      <c r="C20" s="1"/>
      <c r="D20" s="56">
        <f>IF($B$7-SUM($D$15:D19)-$O$12&lt;0,$B$7-SUM($D$15:D19),$O$12)</f>
        <v>22421.938144329899</v>
      </c>
      <c r="E20" s="56">
        <f t="shared" si="1"/>
        <v>-5091.8345586725263</v>
      </c>
      <c r="F20" s="57">
        <f>IF($B$7-SUM($F$15:F19)-$O$25&lt;0,$B$7-SUM($F$16:F19),$O$25)</f>
        <v>17330.103585657373</v>
      </c>
      <c r="I20" s="26"/>
      <c r="P20" s="27"/>
    </row>
    <row r="21" spans="1:16" x14ac:dyDescent="0.3">
      <c r="A21" s="18" t="s">
        <v>24</v>
      </c>
      <c r="B21" s="1" t="str">
        <f>TEXT(DATE(YEAR($B$4),MONTH($B$4)+5,DAY($B$4)),"mmmm")</f>
        <v>January</v>
      </c>
      <c r="C21" s="1"/>
      <c r="D21" s="56">
        <f>IF($B$7-SUM($D$15:D20)-$O$12&lt;0,$B$7-SUM($D$15:D20),$O$12)</f>
        <v>22421.938144329899</v>
      </c>
      <c r="E21" s="56">
        <f t="shared" si="1"/>
        <v>-5091.8345586725263</v>
      </c>
      <c r="F21" s="57">
        <f>IF($B$7-SUM($F$15:F20)-$O$25&lt;0,$B$7-SUM($F$16:F20),$O$25)</f>
        <v>17330.103585657373</v>
      </c>
      <c r="I21" s="329" t="s">
        <v>51</v>
      </c>
      <c r="J21" s="330"/>
      <c r="K21" s="330"/>
      <c r="L21" s="330"/>
      <c r="M21" s="330"/>
      <c r="N21" s="30">
        <f>(K16/M16)+M17+K19/M19</f>
        <v>11.952380952380951</v>
      </c>
      <c r="P21" s="27"/>
    </row>
    <row r="22" spans="1:16" x14ac:dyDescent="0.3">
      <c r="A22" s="18" t="s">
        <v>27</v>
      </c>
      <c r="B22" s="1" t="str">
        <f>TEXT(DATE(YEAR($B$4),MONTH($B$4)+6,DAY($B$4)),"mmmm")</f>
        <v>February</v>
      </c>
      <c r="C22" s="1"/>
      <c r="D22" s="56">
        <f>IF($B$7-SUM($D$15:D21)-$O$12&lt;0,$B$7-SUM($D$15:D21),$O$12)</f>
        <v>22421.938144329899</v>
      </c>
      <c r="E22" s="56">
        <f t="shared" si="1"/>
        <v>-5091.8345586725263</v>
      </c>
      <c r="F22" s="57">
        <f>IF($B$7-SUM($F$15:F21)-$O$25&lt;0,$B$7-SUM($F$16:F21),$O$25)</f>
        <v>17330.103585657373</v>
      </c>
      <c r="I22" s="329" t="s">
        <v>52</v>
      </c>
      <c r="J22" s="330"/>
      <c r="K22" s="330"/>
      <c r="L22" s="330"/>
      <c r="M22" s="330"/>
      <c r="N22" s="33">
        <f>B7/N21</f>
        <v>17330.103585657373</v>
      </c>
      <c r="P22" s="27"/>
    </row>
    <row r="23" spans="1:16" x14ac:dyDescent="0.3">
      <c r="A23" s="18" t="s">
        <v>28</v>
      </c>
      <c r="B23" s="1" t="str">
        <f>TEXT(DATE(YEAR($B$4),MONTH($B$4)+7,DAY($B$4)),"mmmm")</f>
        <v>March</v>
      </c>
      <c r="C23" s="1"/>
      <c r="D23" s="56">
        <f>IF($B$7-SUM($D$15:D22)-$O$12&lt;0,$B$7-SUM($D$15:D22),$O$12)</f>
        <v>22421.938144329899</v>
      </c>
      <c r="E23" s="56">
        <f t="shared" si="1"/>
        <v>-5091.8345586725263</v>
      </c>
      <c r="F23" s="57">
        <f>IF($B$7-SUM($F$15:F22)-$O$25&lt;0,$B$7-SUM($F$16:F22),$O$25)</f>
        <v>17330.103585657373</v>
      </c>
      <c r="I23" s="26"/>
      <c r="P23" s="27"/>
    </row>
    <row r="24" spans="1:16" x14ac:dyDescent="0.3">
      <c r="A24" s="18" t="s">
        <v>31</v>
      </c>
      <c r="B24" s="1" t="str">
        <f>TEXT(DATE(YEAR($B$4),MONTH($B$4)+8,DAY($B$4)),"mmmm")</f>
        <v>April</v>
      </c>
      <c r="D24" s="56">
        <f>IF($B$7-SUM($D$15:D23)-$O$12&lt;0,$B$7-SUM($D$15:D23),$O$12)</f>
        <v>22421.938144329899</v>
      </c>
      <c r="E24" s="161">
        <f t="shared" si="1"/>
        <v>-5091.8345586725263</v>
      </c>
      <c r="F24" s="57">
        <f>IF($B$7-SUM($F$15:F23)-$O$25&lt;0,$B$7-SUM($F$16:F23),$O$25)</f>
        <v>17330.103585657373</v>
      </c>
      <c r="I24" s="18" t="s">
        <v>49</v>
      </c>
      <c r="J24" s="327" t="s">
        <v>38</v>
      </c>
      <c r="K24" s="327"/>
      <c r="L24" s="37">
        <f>K16</f>
        <v>15</v>
      </c>
      <c r="M24" s="330" t="s">
        <v>39</v>
      </c>
      <c r="N24" s="330"/>
      <c r="O24" s="38">
        <f>N22*K16/M16</f>
        <v>12378.645418326694</v>
      </c>
      <c r="P24" s="27"/>
    </row>
    <row r="25" spans="1:16" x14ac:dyDescent="0.3">
      <c r="A25" s="58" t="s">
        <v>33</v>
      </c>
      <c r="B25" s="59" t="str">
        <f>TEXT(DATE(YEAR($B$4),MONTH($B$4)+9,DAY($B$4)),"mmmm")</f>
        <v>May</v>
      </c>
      <c r="C25" s="60" t="str">
        <f>K6&amp;" Paid"</f>
        <v>11 Paid</v>
      </c>
      <c r="D25" s="61">
        <f>IF($B$7-SUM($D$15:D24)-$O$12&lt;0,$B$7-SUM($D$15:D24),$O$12)</f>
        <v>11744.824742267985</v>
      </c>
      <c r="E25" s="62">
        <f t="shared" si="1"/>
        <v>5585.2788433893875</v>
      </c>
      <c r="F25" s="63">
        <f>IF($B$7-SUM($F$15:F24)-$O$25&lt;0,$B$7-SUM($F$16:F24),$O$25)</f>
        <v>17330.103585657373</v>
      </c>
      <c r="I25" s="18" t="s">
        <v>49</v>
      </c>
      <c r="J25" s="327" t="s">
        <v>42</v>
      </c>
      <c r="K25" s="327"/>
      <c r="L25" s="1">
        <f>M17</f>
        <v>11</v>
      </c>
      <c r="M25" s="330" t="s">
        <v>43</v>
      </c>
      <c r="N25" s="330"/>
      <c r="O25" s="38">
        <f>N22</f>
        <v>17330.103585657373</v>
      </c>
      <c r="P25" s="27"/>
    </row>
    <row r="26" spans="1:16" x14ac:dyDescent="0.3">
      <c r="A26" s="18" t="s">
        <v>36</v>
      </c>
      <c r="B26" s="1" t="str">
        <f>TEXT(DATE(YEAR($B$4),MONTH($B$4)+10,DAY($B$4)),"mmmm")</f>
        <v>June</v>
      </c>
      <c r="C26" s="1"/>
      <c r="D26" s="56">
        <f>IF($B$7-SUM($D$15:D25)-$O$12&lt;0,$B$7-SUM($D$15:D25),$O$12)</f>
        <v>0</v>
      </c>
      <c r="E26" s="56">
        <f t="shared" si="1"/>
        <v>17330.103585657373</v>
      </c>
      <c r="F26" s="57">
        <f>IF($B$7-SUM($F$15:F25)-$O$25&lt;0,$B$7-SUM($F$16:F25),$O$25)</f>
        <v>17330.103585657373</v>
      </c>
      <c r="I26" s="42" t="s">
        <v>49</v>
      </c>
      <c r="J26" s="328" t="s">
        <v>45</v>
      </c>
      <c r="K26" s="328"/>
      <c r="L26" s="43">
        <f>K19</f>
        <v>5</v>
      </c>
      <c r="M26" s="331" t="s">
        <v>39</v>
      </c>
      <c r="N26" s="331"/>
      <c r="O26" s="44">
        <f>N22*K19/M19</f>
        <v>4126.2151394422317</v>
      </c>
      <c r="P26" s="64"/>
    </row>
    <row r="27" spans="1:16" x14ac:dyDescent="0.3">
      <c r="A27" s="18" t="s">
        <v>41</v>
      </c>
      <c r="B27" s="1" t="str">
        <f>TEXT(DATE(YEAR($B$4),MONTH($B$4)+11,DAY($B$4)),"mmmm")</f>
        <v>July</v>
      </c>
      <c r="C27" s="1"/>
      <c r="D27" s="56">
        <f>IF($B$7-SUM($D$15:D26)-$O$12&lt;0,$B$7-SUM($D$15:D26),$O$12)</f>
        <v>0</v>
      </c>
      <c r="E27" s="56">
        <f t="shared" si="1"/>
        <v>17330.103585657373</v>
      </c>
      <c r="F27" s="57">
        <f>IF($B$7-SUM($F$15:F26)-$O$25&lt;0,$B$7-SUM($F$16:F26),$O$25)</f>
        <v>17330.103585657373</v>
      </c>
      <c r="P27" s="65"/>
    </row>
    <row r="28" spans="1:16" x14ac:dyDescent="0.3">
      <c r="A28" s="51" t="s">
        <v>44</v>
      </c>
      <c r="B28" s="52" t="str">
        <f>TEXT(DATE(YEAR($B$4),MONTH($B$4)+12,DAY($B$4)),"mmmm")</f>
        <v>August</v>
      </c>
      <c r="C28" s="53">
        <f>K19</f>
        <v>5</v>
      </c>
      <c r="D28" s="54">
        <f>IF($B$7-SUM($D$15:D27)-$O$12&lt;0,$B$7-SUM($D$15:D27),$O$12)</f>
        <v>0</v>
      </c>
      <c r="E28" s="54">
        <f>F28-D27</f>
        <v>4126.2151394422108</v>
      </c>
      <c r="F28" s="55">
        <f>IF($B$7-SUM($F$15:F27)-$O$25&lt;0,$B$7-SUM($F$16:F27),$O$25)</f>
        <v>4126.2151394422108</v>
      </c>
    </row>
    <row r="29" spans="1:16" x14ac:dyDescent="0.3">
      <c r="A29" s="66"/>
      <c r="B29" s="67"/>
      <c r="C29" s="67"/>
      <c r="D29" s="68">
        <f>SUM(D16:D28)</f>
        <v>207136</v>
      </c>
      <c r="E29" s="68">
        <f>ABS(SUMIF(E16:E28,"&lt;0",E16:E28))</f>
        <v>44371.7011541463</v>
      </c>
      <c r="F29" s="69">
        <f t="shared" ref="F29" si="2">SUM(F16:F28)</f>
        <v>207136</v>
      </c>
    </row>
  </sheetData>
  <mergeCells count="22">
    <mergeCell ref="I15:P15"/>
    <mergeCell ref="J25:K25"/>
    <mergeCell ref="J26:K26"/>
    <mergeCell ref="M24:N24"/>
    <mergeCell ref="M25:N25"/>
    <mergeCell ref="M26:N26"/>
    <mergeCell ref="J24:K24"/>
    <mergeCell ref="I21:M21"/>
    <mergeCell ref="I22:M22"/>
    <mergeCell ref="M12:N12"/>
    <mergeCell ref="M13:N13"/>
    <mergeCell ref="J12:K12"/>
    <mergeCell ref="J13:K13"/>
    <mergeCell ref="A13:F13"/>
    <mergeCell ref="C4:D4"/>
    <mergeCell ref="C5:D5"/>
    <mergeCell ref="J11:K11"/>
    <mergeCell ref="I2:P2"/>
    <mergeCell ref="C9:D9"/>
    <mergeCell ref="I8:M8"/>
    <mergeCell ref="I9:M9"/>
    <mergeCell ref="M11:N11"/>
  </mergeCells>
  <conditionalFormatting sqref="B10">
    <cfRule type="expression" dxfId="5" priority="3">
      <formula>$B$10="Available"</formula>
    </cfRule>
    <cfRule type="expression" dxfId="4" priority="4">
      <formula>$B$10="Not Available"</formula>
    </cfRule>
  </conditionalFormatting>
  <dataValidations count="1">
    <dataValidation type="list" allowBlank="1" showInputMessage="1" showErrorMessage="1" sqref="E2" xr:uid="{00000000-0002-0000-0100-000000000000}">
      <formula1>"Faculty"</formula1>
    </dataValidation>
  </dataValidation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'School Calendars'!$A$2:$A$4</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P31"/>
  <sheetViews>
    <sheetView zoomScaleNormal="100" workbookViewId="0">
      <selection activeCell="M5" sqref="M5"/>
    </sheetView>
  </sheetViews>
  <sheetFormatPr defaultColWidth="9.109375" defaultRowHeight="14.4" x14ac:dyDescent="0.3"/>
  <cols>
    <col min="1" max="1" width="28.6640625" bestFit="1" customWidth="1"/>
    <col min="2" max="2" width="14.6640625" bestFit="1" customWidth="1"/>
    <col min="3" max="3" width="7.33203125" bestFit="1" customWidth="1"/>
    <col min="4" max="4" width="23" bestFit="1" customWidth="1"/>
    <col min="5" max="5" width="13" bestFit="1" customWidth="1"/>
    <col min="6" max="6" width="17" bestFit="1" customWidth="1"/>
    <col min="7" max="8" width="3" customWidth="1"/>
    <col min="9" max="9" width="10.44140625" bestFit="1" customWidth="1"/>
    <col min="10" max="10" width="18.44140625" customWidth="1"/>
    <col min="11" max="11" width="4.44140625" bestFit="1" customWidth="1"/>
    <col min="12" max="12" width="4" bestFit="1" customWidth="1"/>
    <col min="13" max="13" width="4.88671875" bestFit="1" customWidth="1"/>
    <col min="14" max="14" width="15.5546875" bestFit="1" customWidth="1"/>
    <col min="15" max="15" width="11.33203125" bestFit="1" customWidth="1"/>
    <col min="16" max="16" width="6.33203125" bestFit="1" customWidth="1"/>
    <col min="17" max="17" width="10.109375" bestFit="1" customWidth="1"/>
    <col min="18" max="18" width="8.6640625" bestFit="1" customWidth="1"/>
  </cols>
  <sheetData>
    <row r="1" spans="1:16" ht="15" thickBot="1" x14ac:dyDescent="0.35">
      <c r="A1" s="3"/>
      <c r="B1" s="4"/>
      <c r="C1" s="4"/>
      <c r="D1" s="4"/>
      <c r="E1" s="4"/>
      <c r="F1" s="4"/>
      <c r="G1" s="5"/>
    </row>
    <row r="2" spans="1:16" ht="15" thickBot="1" x14ac:dyDescent="0.35">
      <c r="A2" s="6" t="s">
        <v>13</v>
      </c>
      <c r="B2" s="73" t="s">
        <v>53</v>
      </c>
      <c r="C2" s="7"/>
      <c r="D2" s="8" t="s">
        <v>15</v>
      </c>
      <c r="E2" s="73" t="s">
        <v>16</v>
      </c>
      <c r="F2" s="9"/>
      <c r="G2" s="5"/>
      <c r="I2" s="328" t="s">
        <v>54</v>
      </c>
      <c r="J2" s="328"/>
      <c r="K2" s="328"/>
      <c r="L2" s="328"/>
      <c r="M2" s="328"/>
      <c r="N2" s="328"/>
      <c r="O2" s="328"/>
      <c r="P2" s="328"/>
    </row>
    <row r="3" spans="1:16" x14ac:dyDescent="0.3">
      <c r="A3" s="6" t="s">
        <v>20</v>
      </c>
      <c r="B3" s="10" t="str">
        <f t="array" ref="B3">IFERROR(INDEX(School_Calendar[#All],MATCH(1,(School_Calendar[[#All],[Business Unit]]=B2)*(School_Calendar[[#All],[Employee Group]]='Max Deferred Comp Calculator'!E2),0),3),"")</f>
        <v>Fclt 9/12</v>
      </c>
      <c r="C3" s="9"/>
      <c r="D3" s="9"/>
      <c r="E3" s="9"/>
      <c r="F3" s="9"/>
      <c r="G3" s="5"/>
      <c r="I3" s="11" t="s">
        <v>37</v>
      </c>
      <c r="J3" s="12" t="s">
        <v>50</v>
      </c>
      <c r="K3" s="13">
        <f>IF(ISBLANK(B4)," ",IF(NETWORKDAYS(B4,EOMONTH(B4,0))&gt;=M3,0,NETWORKDAYS(B4,EOMONTH(B4,0))))</f>
        <v>16</v>
      </c>
      <c r="L3" s="14" t="s">
        <v>11</v>
      </c>
      <c r="M3" s="15">
        <f>IF(ISBLANK(B4)," ",NETWORKDAYS(DATE(YEAR(B4),MONTH(B4),1),DATE(YEAR(B4),MONTH(B4),DAY(EOMONTH(B4,0)))))</f>
        <v>21</v>
      </c>
      <c r="N3" s="14" t="s">
        <v>12</v>
      </c>
      <c r="O3" s="14" t="str">
        <f>TEXT(DATE(YEAR(B4),MONTH(B4),DAY(B4)),"mmmm")</f>
        <v>August</v>
      </c>
      <c r="P3" s="16">
        <f>YEAR(B4)</f>
        <v>2026</v>
      </c>
    </row>
    <row r="4" spans="1:16" x14ac:dyDescent="0.3">
      <c r="A4" s="6" t="s">
        <v>22</v>
      </c>
      <c r="B4" s="17" cm="1">
        <f t="array" ref="B4">IFERROR(INDEX(School_Calendar[#All],MATCH(1,(School_Calendar[[#All],[Business Unit]]=B2)*(School_Calendar[[#All],[Employee Group]]='Deferred Comp Calculator'!E2)*(School_Calendar[[#All],[Contract Pay Type]]='Deferred Comp Calculator'!B3)*(School_Calendar[[#All],[Tax Year]]='Max Deferred Comp Calculator'!E7),0),6),"")</f>
        <v>46244</v>
      </c>
      <c r="C4" s="326" t="s">
        <v>23</v>
      </c>
      <c r="D4" s="326"/>
      <c r="E4" s="17" cm="1">
        <f t="array" ref="E4">IFERROR(INDEX(School_Calendar[#All],MATCH(1,(School_Calendar[[#All],[Business Unit]]=B2)*(School_Calendar[[#All],[Employee Group]]='Deferred Comp Calculator'!E2)*(School_Calendar[[#All],[Contract Pay Type]]='Deferred Comp Calculator'!B3)*(School_Calendar[[#All],[Tax Year]]='Max Deferred Comp Calculator'!E7),0),7),"")</f>
        <v>46521</v>
      </c>
      <c r="F4" s="9"/>
      <c r="G4" s="5"/>
      <c r="I4" s="18" t="s">
        <v>37</v>
      </c>
      <c r="J4" s="19" t="s">
        <v>43</v>
      </c>
      <c r="K4" s="20">
        <f>DATEDIF(B4,DATE(YEAR(B4),12,31)+1,"m")</f>
        <v>4</v>
      </c>
      <c r="L4" s="1" t="s">
        <v>11</v>
      </c>
      <c r="M4" s="21">
        <f>IF(DAY(B4)=1,DATEDIF(B4,E4+1,"m"),DATEDIF(B4,E4,"m")-IF(AND(B2="Denver",E7=2024),1,0)-IF(AND(B2="Denver",E7=2025),1,0)-IF(AND(B2="Denver",E7=2026),1,0))</f>
        <v>8</v>
      </c>
      <c r="N4" s="1" t="s">
        <v>18</v>
      </c>
      <c r="O4" s="1" t="s">
        <v>19</v>
      </c>
      <c r="P4" s="22">
        <f>YEAR(B4)</f>
        <v>2026</v>
      </c>
    </row>
    <row r="5" spans="1:16" x14ac:dyDescent="0.3">
      <c r="A5" s="6" t="s">
        <v>25</v>
      </c>
      <c r="B5" s="17" cm="1">
        <f t="array" ref="B5">IFERROR(INDEX(School_Calendar[#All],MATCH(1,(School_Calendar[[#All],[Business Unit]]=B2)*(School_Calendar[[#All],[Employee Group]]='Deferred Comp Calculator'!E2)*(School_Calendar[[#All],[Contract Pay Type]]='Deferred Comp Calculator'!B3)*(School_Calendar[[#All],[Tax Year]]='Max Deferred Comp Calculator'!E7),0),8),"")</f>
        <v>46244</v>
      </c>
      <c r="C5" s="326" t="s">
        <v>26</v>
      </c>
      <c r="D5" s="326"/>
      <c r="E5" s="17" cm="1">
        <f t="array" ref="E5">IFERROR(INDEX(School_Calendar[#All],MATCH(1,(School_Calendar[[#All],[Business Unit]]=B2)*(School_Calendar[[#All],[Employee Group]]='Deferred Comp Calculator'!E2)*(School_Calendar[[#All],[Contract Pay Type]]='Deferred Comp Calculator'!B3)*(School_Calendar[[#All],[Tax Year]]='Max Deferred Comp Calculator'!E7),0),9),"")</f>
        <v>46605</v>
      </c>
      <c r="F5" s="9"/>
      <c r="G5" s="5"/>
      <c r="I5" s="18" t="s">
        <v>37</v>
      </c>
      <c r="J5" s="19" t="s">
        <v>43</v>
      </c>
      <c r="K5" s="20">
        <f>DATEDIF(DATE(YEAR(E4),1,1),E4+1,"m")</f>
        <v>4</v>
      </c>
      <c r="L5" s="1" t="s">
        <v>11</v>
      </c>
      <c r="M5" s="21">
        <f>IF(DAY(B4)=1,DATEDIF(B4,E4+1,"m"),DATEDIF(B4,E4,"m")-IF(AND(B2="Denver",E7=2024),1,0)-IF(AND(B2="Denver",E7=2025),1,0)-IF(AND(B2="Denver",E7=2026),1,0))</f>
        <v>8</v>
      </c>
      <c r="N5" s="1" t="s">
        <v>18</v>
      </c>
      <c r="O5" s="1" t="s">
        <v>19</v>
      </c>
      <c r="P5" s="22">
        <f>YEAR(E4)</f>
        <v>2027</v>
      </c>
    </row>
    <row r="6" spans="1:16" ht="15" thickBot="1" x14ac:dyDescent="0.35">
      <c r="A6" s="23"/>
      <c r="B6" s="9"/>
      <c r="C6" s="9"/>
      <c r="D6" s="9"/>
      <c r="E6" s="9"/>
      <c r="F6" s="9"/>
      <c r="G6" s="5"/>
      <c r="I6" s="18" t="s">
        <v>37</v>
      </c>
      <c r="J6" s="19" t="s">
        <v>50</v>
      </c>
      <c r="K6" s="20">
        <f>IF(ISBLANK(E4)," ",IF(NETWORKDAYS(DATE(YEAR(E4),MONTH(E4),1),E4)&gt;=M6,0,NETWORKDAYS(DATE(YEAR(E4),MONTH(E4),1),E4)))</f>
        <v>10</v>
      </c>
      <c r="L6" s="1" t="s">
        <v>11</v>
      </c>
      <c r="M6" s="21">
        <f>IF(ISBLANK(E4)," ",NETWORKDAYS(DATE(YEAR(E4),MONTH(E4),1),DATE(YEAR(E4),MONTH(E4),DAY(EOMONTH(E4,0)))))</f>
        <v>21</v>
      </c>
      <c r="N6" s="1" t="s">
        <v>12</v>
      </c>
      <c r="O6" s="1" t="str">
        <f>TEXT(DATE(YEAR(E4),MONTH(E4),DAY(E4)),"mmmm")</f>
        <v>May</v>
      </c>
      <c r="P6" s="22">
        <f>YEAR(E4)</f>
        <v>2027</v>
      </c>
    </row>
    <row r="7" spans="1:16" ht="15" thickBot="1" x14ac:dyDescent="0.35">
      <c r="A7" s="6" t="s">
        <v>61</v>
      </c>
      <c r="B7" s="70">
        <v>207136</v>
      </c>
      <c r="C7" s="24"/>
      <c r="D7" s="25" t="s">
        <v>30</v>
      </c>
      <c r="E7" s="74">
        <v>2026</v>
      </c>
      <c r="F7" s="9"/>
      <c r="G7" s="5"/>
      <c r="I7" s="26"/>
      <c r="P7" s="27"/>
    </row>
    <row r="8" spans="1:16" x14ac:dyDescent="0.3">
      <c r="A8" s="28"/>
      <c r="B8" s="9"/>
      <c r="C8" s="326" t="s">
        <v>35</v>
      </c>
      <c r="D8" s="326"/>
      <c r="E8" s="32">
        <f t="array" ref="E8">IFERROR(INDEX(School_Calendar[#All],MATCH(1,(School_Calendar[[#All],[Business Unit]]=B2)*(School_Calendar[[#All],[Employee Group]]='Max Deferred Comp Calculator'!E2)*(School_Calendar[[#All],[Contract Pay Type]]='Max Deferred Comp Calculator'!B3)*(School_Calendar[[#All],[Tax Year]]='Max Deferred Comp Calculator'!E7),0),5),"")</f>
        <v>24500</v>
      </c>
      <c r="F8" s="9"/>
      <c r="G8" s="5"/>
      <c r="I8" s="329" t="s">
        <v>55</v>
      </c>
      <c r="J8" s="330"/>
      <c r="K8" s="330"/>
      <c r="L8" s="330"/>
      <c r="M8" s="330"/>
      <c r="N8" s="30">
        <f>(K3/M3)+M4+K6/M6</f>
        <v>9.238095238095239</v>
      </c>
      <c r="P8" s="27"/>
    </row>
    <row r="9" spans="1:16" x14ac:dyDescent="0.3">
      <c r="A9" s="39"/>
      <c r="B9" s="40"/>
      <c r="C9" s="40"/>
      <c r="D9" s="40"/>
      <c r="E9" s="40"/>
      <c r="F9" s="40"/>
      <c r="G9" s="5"/>
      <c r="I9" s="329" t="s">
        <v>56</v>
      </c>
      <c r="J9" s="330"/>
      <c r="K9" s="330"/>
      <c r="L9" s="330"/>
      <c r="M9" s="330"/>
      <c r="N9" s="33">
        <f>B7/N8</f>
        <v>22421.938144329895</v>
      </c>
      <c r="P9" s="27"/>
    </row>
    <row r="10" spans="1:16" x14ac:dyDescent="0.3">
      <c r="A10" s="41"/>
      <c r="B10" s="41"/>
      <c r="C10" s="41"/>
      <c r="D10" s="41"/>
      <c r="E10" s="41"/>
      <c r="F10" s="41"/>
      <c r="G10" s="72"/>
      <c r="I10" s="34"/>
      <c r="J10" s="35"/>
      <c r="K10" s="35"/>
      <c r="L10" s="35"/>
      <c r="M10" s="36"/>
      <c r="N10" s="36"/>
      <c r="P10" s="27"/>
    </row>
    <row r="11" spans="1:16" x14ac:dyDescent="0.3">
      <c r="A11" s="328" t="s">
        <v>57</v>
      </c>
      <c r="B11" s="328"/>
      <c r="C11" s="328"/>
      <c r="D11" s="328"/>
      <c r="E11" s="328"/>
      <c r="F11" s="328"/>
      <c r="G11" s="72"/>
      <c r="I11" s="18" t="s">
        <v>37</v>
      </c>
      <c r="J11" s="327" t="s">
        <v>38</v>
      </c>
      <c r="K11" s="327"/>
      <c r="L11" s="37">
        <f>K3</f>
        <v>16</v>
      </c>
      <c r="M11" s="330" t="s">
        <v>39</v>
      </c>
      <c r="N11" s="330"/>
      <c r="O11" s="38">
        <f>N9*K3/M3</f>
        <v>17083.381443298967</v>
      </c>
      <c r="P11" s="22"/>
    </row>
    <row r="12" spans="1:16" x14ac:dyDescent="0.3">
      <c r="A12" s="47" t="s">
        <v>3</v>
      </c>
      <c r="B12" s="15" t="s">
        <v>4</v>
      </c>
      <c r="C12" s="15" t="s">
        <v>58</v>
      </c>
      <c r="D12" s="15" t="s">
        <v>5</v>
      </c>
      <c r="E12" s="15" t="s">
        <v>6</v>
      </c>
      <c r="F12" s="48" t="s">
        <v>59</v>
      </c>
      <c r="G12" s="5"/>
      <c r="I12" s="18" t="s">
        <v>37</v>
      </c>
      <c r="J12" s="327" t="s">
        <v>42</v>
      </c>
      <c r="K12" s="327"/>
      <c r="L12" s="1">
        <f>M4</f>
        <v>8</v>
      </c>
      <c r="M12" s="330" t="s">
        <v>43</v>
      </c>
      <c r="N12" s="330"/>
      <c r="O12" s="38">
        <f>N9</f>
        <v>22421.938144329895</v>
      </c>
      <c r="P12" s="22"/>
    </row>
    <row r="13" spans="1:16" x14ac:dyDescent="0.3">
      <c r="A13" s="49"/>
      <c r="B13" s="21"/>
      <c r="C13" s="21"/>
      <c r="D13" s="21"/>
      <c r="E13" s="21"/>
      <c r="F13" s="50"/>
      <c r="I13" s="42" t="s">
        <v>37</v>
      </c>
      <c r="J13" s="328" t="s">
        <v>45</v>
      </c>
      <c r="K13" s="328"/>
      <c r="L13" s="43">
        <f>K6</f>
        <v>10</v>
      </c>
      <c r="M13" s="331" t="s">
        <v>39</v>
      </c>
      <c r="N13" s="331"/>
      <c r="O13" s="44">
        <f>N9*K6/M6</f>
        <v>10677.113402061854</v>
      </c>
      <c r="P13" s="45"/>
    </row>
    <row r="14" spans="1:16" x14ac:dyDescent="0.3">
      <c r="A14" s="51" t="s">
        <v>8</v>
      </c>
      <c r="B14" s="52" t="str">
        <f>TEXT(DATE(YEAR($B$4),MONTH($B$4),DAY($B$4)),"mmmm")</f>
        <v>August</v>
      </c>
      <c r="C14" s="53">
        <f>K16</f>
        <v>16</v>
      </c>
      <c r="D14" s="54">
        <f>IF(K3&gt;0,$O$11,IF($B$7-SUM($D$13:D13)-$O$12&lt;0,$B$7-SUM($D$13:D13),$O$12))</f>
        <v>17083.381443298967</v>
      </c>
      <c r="E14" s="54">
        <f>F14-D14</f>
        <v>-3920.0176592224179</v>
      </c>
      <c r="F14" s="55">
        <f>IF(K3&gt;0,$O$24,IF($B$7-SUM($F$13:F13)-$O$25&lt;0,$B$7-SUM($F13:F$13),$O$25))</f>
        <v>13163.36378407655</v>
      </c>
      <c r="I14" s="19"/>
      <c r="J14" s="19"/>
      <c r="K14" s="46"/>
    </row>
    <row r="15" spans="1:16" x14ac:dyDescent="0.3">
      <c r="A15" s="18" t="s">
        <v>9</v>
      </c>
      <c r="B15" s="1" t="str">
        <f>TEXT(DATE(YEAR($B$4),MONTH($B$4)+1,DAY($B$4)),"mmmm")</f>
        <v>September</v>
      </c>
      <c r="C15" s="1"/>
      <c r="D15" s="56">
        <f>IF($B$7-SUM($D$13:D14)-$O$12&lt;0,$B$7-SUM($D$13:D14),$O$12)</f>
        <v>22421.938144329895</v>
      </c>
      <c r="E15" s="56">
        <f t="shared" ref="E15:E25" si="0">F15-D15</f>
        <v>-5145.0231777294248</v>
      </c>
      <c r="F15" s="57">
        <f>IF($B$7-SUM($F$13:F14)-$O$25&lt;0,$B$7-SUM($F$13:F14),$O$25)</f>
        <v>17276.914966600471</v>
      </c>
      <c r="I15" s="328" t="s">
        <v>47</v>
      </c>
      <c r="J15" s="328"/>
      <c r="K15" s="328"/>
      <c r="L15" s="328"/>
      <c r="M15" s="328"/>
      <c r="N15" s="328"/>
      <c r="O15" s="328"/>
      <c r="P15" s="328"/>
    </row>
    <row r="16" spans="1:16" x14ac:dyDescent="0.3">
      <c r="A16" s="18" t="s">
        <v>10</v>
      </c>
      <c r="B16" s="1" t="str">
        <f>TEXT(DATE(YEAR($B$4),MONTH($B$4)+2,DAY($B$4)),"mmmm")</f>
        <v>October</v>
      </c>
      <c r="C16" s="1"/>
      <c r="D16" s="56">
        <f>IF($B$7-SUM($D$13:D15)-$O$12&lt;0,$B$7-SUM($D$13:D15),$O$12)</f>
        <v>22421.938144329895</v>
      </c>
      <c r="E16" s="56">
        <f t="shared" si="0"/>
        <v>-5145.0231777294248</v>
      </c>
      <c r="F16" s="57">
        <f>IF($B$7-SUM($F$13:F15)-$O$25&lt;0,$B$7-SUM($F$13:F15),$O$25)</f>
        <v>17276.914966600471</v>
      </c>
      <c r="I16" s="11" t="s">
        <v>49</v>
      </c>
      <c r="J16" s="12" t="s">
        <v>50</v>
      </c>
      <c r="K16" s="13">
        <f>IF(ISBLANK(B5)," ",IF(NETWORKDAYS(B5,EOMONTH(B5,0))&gt;=M16,0,NETWORKDAYS(B5,EOMONTH(B5,0))))</f>
        <v>16</v>
      </c>
      <c r="L16" s="14" t="s">
        <v>11</v>
      </c>
      <c r="M16" s="15">
        <f>IF(ISBLANK(B5)," ",NETWORKDAYS(DATE(YEAR(B5),MONTH(B5),1),DATE(YEAR(B5),MONTH(B5),DAY(EOMONTH(B5,0)))))</f>
        <v>21</v>
      </c>
      <c r="N16" s="14" t="s">
        <v>12</v>
      </c>
      <c r="O16" s="14" t="str">
        <f>TEXT(DATE(YEAR(B5),MONTH(B5),DAY(B5)),"mmmm")</f>
        <v>August</v>
      </c>
      <c r="P16" s="16">
        <f>YEAR(B5)</f>
        <v>2026</v>
      </c>
    </row>
    <row r="17" spans="1:16" x14ac:dyDescent="0.3">
      <c r="A17" s="18" t="s">
        <v>17</v>
      </c>
      <c r="B17" s="1" t="str">
        <f>TEXT(DATE(YEAR($B$4),MONTH($B$4)+3,DAY($B$4)),"mmmm")</f>
        <v>November</v>
      </c>
      <c r="C17" s="1"/>
      <c r="D17" s="56">
        <f>IF($B$7-SUM($D$13:D16)-$O$12&lt;0,$B$7-SUM($D$13:D16),$O$12)</f>
        <v>22421.938144329895</v>
      </c>
      <c r="E17" s="56">
        <f t="shared" si="0"/>
        <v>-5145.0231777294248</v>
      </c>
      <c r="F17" s="57">
        <f>IF($B$7-SUM($F$13:F16)-$O$25&lt;0,$B$7-SUM($F$13:F16),$O$25)</f>
        <v>17276.914966600471</v>
      </c>
      <c r="I17" s="18" t="s">
        <v>49</v>
      </c>
      <c r="J17" s="19" t="s">
        <v>43</v>
      </c>
      <c r="K17" s="20">
        <f>DATEDIF(B5,DATE(YEAR(B5),12,31)+1,"m")</f>
        <v>4</v>
      </c>
      <c r="L17" s="1" t="s">
        <v>11</v>
      </c>
      <c r="M17" s="21">
        <f>IF(DAY(B5)=1,DATEDIF(B5,E5+1,"m"),DATEDIF(B5,E5,"m"))</f>
        <v>11</v>
      </c>
      <c r="N17" s="1" t="s">
        <v>18</v>
      </c>
      <c r="O17" s="1" t="s">
        <v>19</v>
      </c>
      <c r="P17" s="22">
        <f>YEAR(B5)</f>
        <v>2026</v>
      </c>
    </row>
    <row r="18" spans="1:16" x14ac:dyDescent="0.3">
      <c r="A18" s="18" t="s">
        <v>21</v>
      </c>
      <c r="B18" s="1" t="str">
        <f>TEXT(DATE(YEAR($B$4),MONTH($B$4)+4,DAY($B$4)),"mmmm")</f>
        <v>December</v>
      </c>
      <c r="C18" s="1"/>
      <c r="D18" s="56">
        <f>IF($B$7-SUM($D$13:D17)-$O$12&lt;0,$B$7-SUM($D$13:D17),$O$12)</f>
        <v>22421.938144329895</v>
      </c>
      <c r="E18" s="56">
        <f t="shared" si="0"/>
        <v>-5145.0231777294248</v>
      </c>
      <c r="F18" s="57">
        <f>IF($B$7-SUM($F$13:F17)-$O$25&lt;0,$B$7-SUM($F$13:F17),$O$25)</f>
        <v>17276.914966600471</v>
      </c>
      <c r="I18" s="18" t="s">
        <v>49</v>
      </c>
      <c r="J18" s="19" t="s">
        <v>43</v>
      </c>
      <c r="K18" s="20">
        <f>DATEDIF(DATE(YEAR(E5),1,1),E5+1,"m")</f>
        <v>7</v>
      </c>
      <c r="L18" s="1" t="s">
        <v>11</v>
      </c>
      <c r="M18" s="21">
        <f>IF(DAY(B5)=1,DATEDIF(B5,E5+1,"m"),DATEDIF(B5,E5,"m"))</f>
        <v>11</v>
      </c>
      <c r="N18" s="1" t="s">
        <v>18</v>
      </c>
      <c r="O18" s="1" t="s">
        <v>19</v>
      </c>
      <c r="P18" s="22">
        <f>YEAR(E5)</f>
        <v>2027</v>
      </c>
    </row>
    <row r="19" spans="1:16" x14ac:dyDescent="0.3">
      <c r="A19" s="18" t="s">
        <v>24</v>
      </c>
      <c r="B19" s="1" t="str">
        <f>TEXT(DATE(YEAR($B$4),MONTH($B$4)+5,DAY($B$4)),"mmmm")</f>
        <v>January</v>
      </c>
      <c r="C19" s="1"/>
      <c r="D19" s="56">
        <f>IF($B$7-SUM($D$13:D18)-$O$12&lt;0,$B$7-SUM($D$13:D18),$O$12)</f>
        <v>22421.938144329895</v>
      </c>
      <c r="E19" s="56">
        <f t="shared" si="0"/>
        <v>-5145.0231777294248</v>
      </c>
      <c r="F19" s="57">
        <f>IF($B$7-SUM($F$13:F18)-$O$25&lt;0,$B$7-SUM($F$13:F18),$O$25)</f>
        <v>17276.914966600471</v>
      </c>
      <c r="I19" s="18" t="s">
        <v>49</v>
      </c>
      <c r="J19" s="19" t="s">
        <v>50</v>
      </c>
      <c r="K19" s="20">
        <f>IF(ISBLANK(E5)," ",IF(NETWORKDAYS(DATE(YEAR(E5),MONTH(E5),1),E5)&gt;=M19,0,NETWORKDAYS(DATE(YEAR(E5),MONTH(E5),1),E5)))</f>
        <v>5</v>
      </c>
      <c r="L19" s="1" t="s">
        <v>11</v>
      </c>
      <c r="M19" s="21">
        <f>IF(ISBLANK(E5)," ",NETWORKDAYS(DATE(YEAR(E5),MONTH(E5),1),DATE(YEAR(E5),MONTH(E5),DAY(EOMONTH(E5,0)))))</f>
        <v>22</v>
      </c>
      <c r="N19" s="1" t="s">
        <v>12</v>
      </c>
      <c r="O19" s="1" t="str">
        <f>TEXT(DATE(YEAR(E5),MONTH(E5),DAY(E5)),"mmmm")</f>
        <v>August</v>
      </c>
      <c r="P19" s="22">
        <f>YEAR(E5)</f>
        <v>2027</v>
      </c>
    </row>
    <row r="20" spans="1:16" x14ac:dyDescent="0.3">
      <c r="A20" s="18" t="s">
        <v>27</v>
      </c>
      <c r="B20" s="1" t="str">
        <f>TEXT(DATE(YEAR($B$4),MONTH($B$4)+6,DAY($B$4)),"mmmm")</f>
        <v>February</v>
      </c>
      <c r="C20" s="1"/>
      <c r="D20" s="56">
        <f>IF($B$7-SUM($D$13:D19)-$O$12&lt;0,$B$7-SUM($D$13:D19),$O$12)</f>
        <v>22421.938144329895</v>
      </c>
      <c r="E20" s="56">
        <f t="shared" si="0"/>
        <v>-5145.0231777294248</v>
      </c>
      <c r="F20" s="57">
        <f>IF($B$7-SUM($F$13:F19)-$O$25&lt;0,$B$7-SUM($F$13:F19),$O$25)</f>
        <v>17276.914966600471</v>
      </c>
      <c r="I20" s="26"/>
      <c r="P20" s="27"/>
    </row>
    <row r="21" spans="1:16" x14ac:dyDescent="0.3">
      <c r="A21" s="18" t="s">
        <v>28</v>
      </c>
      <c r="B21" s="1" t="str">
        <f>TEXT(DATE(YEAR($B$4),MONTH($B$4)+7,DAY($B$4)),"mmmm")</f>
        <v>March</v>
      </c>
      <c r="C21" s="1"/>
      <c r="D21" s="56">
        <f>IF($B$7-SUM($D$13:D20)-$O$12&lt;0,$B$7-SUM($D$13:D20),$O$12)</f>
        <v>22421.938144329895</v>
      </c>
      <c r="E21" s="56">
        <f t="shared" si="0"/>
        <v>-5145.0231777294248</v>
      </c>
      <c r="F21" s="57">
        <f>IF($B$7-SUM($F$13:F20)-$O$25&lt;0,$B$7-SUM($F$13:F20),$O$25)</f>
        <v>17276.914966600471</v>
      </c>
      <c r="I21" s="329" t="s">
        <v>51</v>
      </c>
      <c r="J21" s="330"/>
      <c r="K21" s="330"/>
      <c r="L21" s="330"/>
      <c r="M21" s="330"/>
      <c r="N21" s="30">
        <f>(K16/M16)+M17+K19/M19</f>
        <v>11.989177489177489</v>
      </c>
      <c r="P21" s="27"/>
    </row>
    <row r="22" spans="1:16" x14ac:dyDescent="0.3">
      <c r="A22" s="18" t="s">
        <v>31</v>
      </c>
      <c r="B22" s="1" t="str">
        <f>TEXT(DATE(YEAR($B$4),MONTH($B$4)+8,DAY($B$4)),"mmmm")</f>
        <v>April</v>
      </c>
      <c r="D22" s="56">
        <f>IF($B$7-SUM($D$13:D21)-$O$12&lt;0,$B$7-SUM($D$13:D21),$O$12)</f>
        <v>22421.938144329895</v>
      </c>
      <c r="E22" s="56">
        <f t="shared" si="0"/>
        <v>-5145.0231777294248</v>
      </c>
      <c r="F22" s="57">
        <f>IF($B$7-SUM($F$13:F21)-$O$25&lt;0,$B$7-SUM($F$13:F21),$O$25)</f>
        <v>17276.914966600471</v>
      </c>
      <c r="I22" s="329" t="s">
        <v>52</v>
      </c>
      <c r="J22" s="330"/>
      <c r="K22" s="330"/>
      <c r="L22" s="330"/>
      <c r="M22" s="330"/>
      <c r="N22" s="33">
        <f>B7/N21</f>
        <v>17276.914966600471</v>
      </c>
      <c r="P22" s="27"/>
    </row>
    <row r="23" spans="1:16" x14ac:dyDescent="0.3">
      <c r="A23" s="58" t="s">
        <v>33</v>
      </c>
      <c r="B23" s="59" t="str">
        <f>TEXT(DATE(YEAR($B$4),MONTH($B$4)+9,DAY($B$4)),"mmmm")</f>
        <v>May</v>
      </c>
      <c r="C23" s="60" t="str">
        <f>K6&amp;" Paid"</f>
        <v>10 Paid</v>
      </c>
      <c r="D23" s="61">
        <f>IF($B$7-SUM($D$13:D22)-$O$12&lt;0,$B$7-SUM($D$13:D22),$O$12)</f>
        <v>10677.113402061863</v>
      </c>
      <c r="E23" s="61">
        <f t="shared" si="0"/>
        <v>6599.8015645386076</v>
      </c>
      <c r="F23" s="63">
        <f>IF($B$7-SUM($F$13:F22)-$O$25&lt;0,$B$7-SUM($F$13:F22),$O$25)</f>
        <v>17276.914966600471</v>
      </c>
      <c r="I23" s="26"/>
      <c r="P23" s="27"/>
    </row>
    <row r="24" spans="1:16" x14ac:dyDescent="0.3">
      <c r="A24" s="18" t="s">
        <v>36</v>
      </c>
      <c r="B24" s="1" t="str">
        <f>TEXT(DATE(YEAR($B$4),MONTH($B$4)+10,DAY($B$4)),"mmmm")</f>
        <v>June</v>
      </c>
      <c r="C24" s="1"/>
      <c r="D24" s="56">
        <f>IF($B$7-SUM($D$13:D23)-$O$12&lt;0,$B$7-SUM($D$13:D23),$O$12)</f>
        <v>0</v>
      </c>
      <c r="E24" s="56">
        <f t="shared" si="0"/>
        <v>17276.914966600471</v>
      </c>
      <c r="F24" s="57">
        <f>IF($B$7-SUM($F$13:F23)-$O$25&lt;0,$B$7-SUM($F$13:F23),$O$25)</f>
        <v>17276.914966600471</v>
      </c>
      <c r="I24" s="18" t="s">
        <v>49</v>
      </c>
      <c r="J24" s="327" t="s">
        <v>38</v>
      </c>
      <c r="K24" s="327"/>
      <c r="L24" s="37">
        <f>K16</f>
        <v>16</v>
      </c>
      <c r="M24" s="330" t="s">
        <v>39</v>
      </c>
      <c r="N24" s="330"/>
      <c r="O24" s="38">
        <f>N22*K16/M16</f>
        <v>13163.36378407655</v>
      </c>
      <c r="P24" s="27"/>
    </row>
    <row r="25" spans="1:16" x14ac:dyDescent="0.3">
      <c r="A25" s="18" t="s">
        <v>41</v>
      </c>
      <c r="B25" s="1" t="str">
        <f>TEXT(DATE(YEAR($B$4),MONTH($B$4)+11,DAY($B$4)),"mmmm")</f>
        <v>July</v>
      </c>
      <c r="C25" s="1"/>
      <c r="D25" s="56">
        <f>IF($B$7-SUM($D$13:D24)-$O$12&lt;0,$B$7-SUM($D$13:D24),$O$12)</f>
        <v>0</v>
      </c>
      <c r="E25" s="56">
        <f t="shared" si="0"/>
        <v>17276.914966600471</v>
      </c>
      <c r="F25" s="57">
        <f>IF($B$7-SUM($F$13:F24)-$O$25&lt;0,$B$7-SUM($F$13:F24),$O$25)</f>
        <v>17276.914966600471</v>
      </c>
      <c r="I25" s="18" t="s">
        <v>49</v>
      </c>
      <c r="J25" s="327" t="s">
        <v>42</v>
      </c>
      <c r="K25" s="327"/>
      <c r="L25" s="1">
        <f>M17</f>
        <v>11</v>
      </c>
      <c r="M25" s="330" t="s">
        <v>43</v>
      </c>
      <c r="N25" s="330"/>
      <c r="O25" s="38">
        <f>N22</f>
        <v>17276.914966600471</v>
      </c>
      <c r="P25" s="27"/>
    </row>
    <row r="26" spans="1:16" x14ac:dyDescent="0.3">
      <c r="A26" s="51" t="s">
        <v>44</v>
      </c>
      <c r="B26" s="52" t="str">
        <f>TEXT(DATE(YEAR($B$4),MONTH($B$4)+12,DAY($B$4)),"mmmm")</f>
        <v>August</v>
      </c>
      <c r="C26" s="53">
        <f>K19</f>
        <v>5</v>
      </c>
      <c r="D26" s="54">
        <f>IF($B$7-SUM($D$13:D25)-$O$12&lt;0,$B$7-SUM($D$13:D25),$O$12)</f>
        <v>0</v>
      </c>
      <c r="E26" s="54">
        <f>F26-D25</f>
        <v>3926.571583318233</v>
      </c>
      <c r="F26" s="55">
        <f>IF($B$7-SUM($F$13:F25)-$O$25&lt;0,$B$7-SUM($F$13:F25),$O$25)</f>
        <v>3926.571583318233</v>
      </c>
      <c r="I26" s="42" t="s">
        <v>49</v>
      </c>
      <c r="J26" s="328" t="s">
        <v>45</v>
      </c>
      <c r="K26" s="328"/>
      <c r="L26" s="43">
        <f>K19</f>
        <v>5</v>
      </c>
      <c r="M26" s="331" t="s">
        <v>39</v>
      </c>
      <c r="N26" s="331"/>
      <c r="O26" s="44">
        <f>N22*K19/M19</f>
        <v>3926.5715833182885</v>
      </c>
      <c r="P26" s="64"/>
    </row>
    <row r="27" spans="1:16" x14ac:dyDescent="0.3">
      <c r="A27" s="66"/>
      <c r="B27" s="67"/>
      <c r="C27" s="67"/>
      <c r="D27" s="68">
        <f>SUM(D14:D26)</f>
        <v>207136</v>
      </c>
      <c r="E27" s="68">
        <f>ABS(SUMIF(E14:E26,"&lt;0",E14:E26))</f>
        <v>45080.203081057814</v>
      </c>
      <c r="F27" s="69">
        <f t="shared" ref="F27" si="1">SUM(F14:F26)</f>
        <v>207136</v>
      </c>
      <c r="P27" s="65"/>
    </row>
    <row r="30" spans="1:16" x14ac:dyDescent="0.3">
      <c r="D30" s="65"/>
      <c r="E30" s="65"/>
      <c r="J30" s="38"/>
    </row>
    <row r="31" spans="1:16" x14ac:dyDescent="0.3">
      <c r="D31" s="65"/>
      <c r="E31" s="65"/>
    </row>
  </sheetData>
  <mergeCells count="22">
    <mergeCell ref="M24:N24"/>
    <mergeCell ref="J25:K25"/>
    <mergeCell ref="M25:N25"/>
    <mergeCell ref="J26:K26"/>
    <mergeCell ref="M26:N26"/>
    <mergeCell ref="J24:K24"/>
    <mergeCell ref="I2:P2"/>
    <mergeCell ref="C4:D4"/>
    <mergeCell ref="C5:D5"/>
    <mergeCell ref="I8:M8"/>
    <mergeCell ref="I9:M9"/>
    <mergeCell ref="C8:D8"/>
    <mergeCell ref="A11:F11"/>
    <mergeCell ref="I15:P15"/>
    <mergeCell ref="I21:M21"/>
    <mergeCell ref="I22:M22"/>
    <mergeCell ref="J11:K11"/>
    <mergeCell ref="M11:N11"/>
    <mergeCell ref="J12:K12"/>
    <mergeCell ref="M12:N12"/>
    <mergeCell ref="J13:K13"/>
    <mergeCell ref="M13:N13"/>
  </mergeCells>
  <dataValidations count="1">
    <dataValidation type="list" allowBlank="1" showInputMessage="1" showErrorMessage="1" sqref="E2" xr:uid="{00000000-0002-0000-0200-000000000000}">
      <formula1>"Faculty"</formula1>
    </dataValidation>
  </dataValidation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'School Calendars'!$A$2:$A$4</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P29"/>
  <sheetViews>
    <sheetView zoomScaleNormal="100" workbookViewId="0">
      <selection activeCell="B8" sqref="B8"/>
    </sheetView>
  </sheetViews>
  <sheetFormatPr defaultColWidth="9.109375" defaultRowHeight="14.4" x14ac:dyDescent="0.3"/>
  <cols>
    <col min="1" max="1" width="28.6640625" bestFit="1" customWidth="1"/>
    <col min="2" max="2" width="14.6640625" bestFit="1" customWidth="1"/>
    <col min="3" max="3" width="6.33203125" bestFit="1" customWidth="1"/>
    <col min="4" max="4" width="23" bestFit="1" customWidth="1"/>
    <col min="5" max="5" width="13" bestFit="1" customWidth="1"/>
    <col min="6" max="6" width="17" bestFit="1" customWidth="1"/>
    <col min="7" max="8" width="3" customWidth="1"/>
    <col min="9" max="9" width="10.44140625" bestFit="1" customWidth="1"/>
    <col min="10" max="10" width="16.5546875" bestFit="1" customWidth="1"/>
    <col min="11" max="11" width="4.44140625" bestFit="1" customWidth="1"/>
    <col min="12" max="12" width="4" bestFit="1" customWidth="1"/>
    <col min="13" max="13" width="4.88671875" bestFit="1" customWidth="1"/>
    <col min="14" max="14" width="15.5546875" bestFit="1" customWidth="1"/>
    <col min="15" max="15" width="11.33203125" bestFit="1" customWidth="1"/>
    <col min="16" max="16" width="6.33203125" bestFit="1" customWidth="1"/>
    <col min="17" max="17" width="10.109375" bestFit="1" customWidth="1"/>
    <col min="18" max="18" width="8.6640625" bestFit="1" customWidth="1"/>
  </cols>
  <sheetData>
    <row r="1" spans="1:16" ht="15" thickBot="1" x14ac:dyDescent="0.35">
      <c r="A1" s="3"/>
      <c r="B1" s="4"/>
      <c r="C1" s="4"/>
      <c r="D1" s="4"/>
      <c r="E1" s="4"/>
      <c r="F1" s="4"/>
      <c r="G1" s="5"/>
    </row>
    <row r="2" spans="1:16" ht="15" thickBot="1" x14ac:dyDescent="0.35">
      <c r="A2" s="6" t="s">
        <v>13</v>
      </c>
      <c r="B2" s="76" t="s">
        <v>53</v>
      </c>
      <c r="C2" s="7"/>
      <c r="D2" s="8" t="s">
        <v>15</v>
      </c>
      <c r="E2" s="76" t="s">
        <v>16</v>
      </c>
      <c r="F2" s="9"/>
      <c r="G2" s="5"/>
      <c r="I2" s="328" t="s">
        <v>54</v>
      </c>
      <c r="J2" s="328"/>
      <c r="K2" s="328"/>
      <c r="L2" s="328"/>
      <c r="M2" s="328"/>
      <c r="N2" s="328"/>
      <c r="O2" s="328"/>
      <c r="P2" s="328"/>
    </row>
    <row r="3" spans="1:16" ht="15" thickBot="1" x14ac:dyDescent="0.35">
      <c r="A3" s="6" t="s">
        <v>20</v>
      </c>
      <c r="B3" s="10" t="str">
        <f t="array" ref="B3">IFERROR(INDEX(School_Calendar[#All],MATCH(1,(School_Calendar[[#All],[Business Unit]]=B2)*(School_Calendar[[#All],[Employee Group]]='Calculator - Custom Dates'!E2),0),3),"")</f>
        <v>Fclt 9/12</v>
      </c>
      <c r="C3" s="9"/>
      <c r="D3" s="9"/>
      <c r="E3" s="9"/>
      <c r="F3" s="9"/>
      <c r="G3" s="5"/>
      <c r="I3" s="11" t="s">
        <v>37</v>
      </c>
      <c r="J3" s="12" t="s">
        <v>50</v>
      </c>
      <c r="K3" s="13">
        <f>IF(ISBLANK(B4)," ",IF(NETWORKDAYS(B4,EOMONTH(B4,0))&gt;=M3,0,NETWORKDAYS(B4,EOMONTH(B4,0))))</f>
        <v>15</v>
      </c>
      <c r="L3" s="14" t="s">
        <v>11</v>
      </c>
      <c r="M3" s="15">
        <f>IF(ISBLANK(B4)," ",NETWORKDAYS(DATE(YEAR(B4),MONTH(B4),1),DATE(YEAR(B4),MONTH(B4),DAY(EOMONTH(B4,0)))))</f>
        <v>22</v>
      </c>
      <c r="N3" s="14" t="s">
        <v>12</v>
      </c>
      <c r="O3" s="14" t="str">
        <f>TEXT(DATE(YEAR(B4),MONTH(B4),DAY(B4)),"mmmm")</f>
        <v>August</v>
      </c>
      <c r="P3" s="16">
        <f>YEAR(B4)</f>
        <v>2024</v>
      </c>
    </row>
    <row r="4" spans="1:16" ht="15" thickBot="1" x14ac:dyDescent="0.35">
      <c r="A4" s="6" t="s">
        <v>22</v>
      </c>
      <c r="B4" s="77">
        <v>45516</v>
      </c>
      <c r="C4" s="326" t="s">
        <v>23</v>
      </c>
      <c r="D4" s="326"/>
      <c r="E4" s="77">
        <v>45793</v>
      </c>
      <c r="F4" s="9"/>
      <c r="G4" s="5"/>
      <c r="I4" s="18" t="s">
        <v>37</v>
      </c>
      <c r="J4" s="19" t="s">
        <v>43</v>
      </c>
      <c r="K4" s="20">
        <f>DATEDIF(B4,DATE(YEAR(B4),12,31)+1,"m")</f>
        <v>4</v>
      </c>
      <c r="L4" s="1" t="s">
        <v>11</v>
      </c>
      <c r="M4" s="21">
        <f>IF(DAY(B4)=1,DATEDIF(B4,E4+1,"m"),DATEDIF(B4,E4,"m")-IF(AND(B2="Denver",E7=2024),1,0)-IF(AND(B2="Denver",E7=2025),1,0)-IF(AND(B2="Denver",E7=2026),1,0))</f>
        <v>8</v>
      </c>
      <c r="N4" s="1" t="s">
        <v>18</v>
      </c>
      <c r="O4" s="1" t="s">
        <v>19</v>
      </c>
      <c r="P4" s="22">
        <f>YEAR(B4)</f>
        <v>2024</v>
      </c>
    </row>
    <row r="5" spans="1:16" ht="15" thickBot="1" x14ac:dyDescent="0.35">
      <c r="A5" s="6" t="s">
        <v>25</v>
      </c>
      <c r="B5" s="77">
        <v>45516</v>
      </c>
      <c r="C5" s="326" t="s">
        <v>26</v>
      </c>
      <c r="D5" s="326"/>
      <c r="E5" s="77">
        <v>45877</v>
      </c>
      <c r="F5" s="9"/>
      <c r="G5" s="5"/>
      <c r="I5" s="18" t="s">
        <v>37</v>
      </c>
      <c r="J5" s="19" t="s">
        <v>43</v>
      </c>
      <c r="K5" s="20">
        <f>DATEDIF(DATE(YEAR(E4),1,1),E4+1,"m")</f>
        <v>4</v>
      </c>
      <c r="L5" s="1" t="s">
        <v>11</v>
      </c>
      <c r="M5" s="21">
        <f>IF(DAY(B4)=1,DATEDIF(B4,E4+1,"m"),DATEDIF(B4,E4,"m")-IF(AND(B2="Denver",E7=2024),1,0)-IF(AND(B2="Denver",E7=2025),1,0)-IF(AND(B2="Denver",E7=2026),1,0))</f>
        <v>8</v>
      </c>
      <c r="N5" s="1" t="s">
        <v>18</v>
      </c>
      <c r="O5" s="1" t="s">
        <v>19</v>
      </c>
      <c r="P5" s="22">
        <f>YEAR(E4)</f>
        <v>2025</v>
      </c>
    </row>
    <row r="6" spans="1:16" ht="15" thickBot="1" x14ac:dyDescent="0.35">
      <c r="A6" s="23"/>
      <c r="B6" s="9"/>
      <c r="C6" s="9"/>
      <c r="D6" s="9"/>
      <c r="E6" s="9"/>
      <c r="F6" s="9"/>
      <c r="G6" s="5"/>
      <c r="I6" s="18" t="s">
        <v>37</v>
      </c>
      <c r="J6" s="19" t="s">
        <v>50</v>
      </c>
      <c r="K6" s="20">
        <f>IF(ISBLANK(E4)," ",IF(NETWORKDAYS(DATE(YEAR(E4),MONTH(E4),1),E4)&gt;=M6,0,NETWORKDAYS(DATE(YEAR(E4),MONTH(E4),1),E4)))</f>
        <v>12</v>
      </c>
      <c r="L6" s="1" t="s">
        <v>11</v>
      </c>
      <c r="M6" s="21">
        <f>IF(ISBLANK(E4)," ",NETWORKDAYS(DATE(YEAR(E4),MONTH(E4),1),DATE(YEAR(E4),MONTH(E4),DAY(EOMONTH(E4,0)))))</f>
        <v>22</v>
      </c>
      <c r="N6" s="1" t="s">
        <v>12</v>
      </c>
      <c r="O6" s="1" t="str">
        <f>TEXT(DATE(YEAR(E4),MONTH(E4),DAY(E4)),"mmmm")</f>
        <v>May</v>
      </c>
      <c r="P6" s="22">
        <f>YEAR(E4)</f>
        <v>2025</v>
      </c>
    </row>
    <row r="7" spans="1:16" ht="15" thickBot="1" x14ac:dyDescent="0.35">
      <c r="A7" s="6" t="s">
        <v>29</v>
      </c>
      <c r="B7" s="79">
        <v>207135</v>
      </c>
      <c r="C7" s="24"/>
      <c r="D7" s="25" t="s">
        <v>30</v>
      </c>
      <c r="E7" s="78">
        <f>'Contract Def Comp Calculator'!F13</f>
        <v>2026</v>
      </c>
      <c r="F7" s="9"/>
      <c r="G7" s="5"/>
      <c r="I7" s="26"/>
      <c r="P7" s="27"/>
    </row>
    <row r="8" spans="1:16" x14ac:dyDescent="0.3">
      <c r="A8" s="28"/>
      <c r="B8" s="9"/>
      <c r="C8" s="24"/>
      <c r="D8" s="29"/>
      <c r="E8" s="9"/>
      <c r="F8" s="9"/>
      <c r="G8" s="5"/>
      <c r="I8" s="329" t="s">
        <v>55</v>
      </c>
      <c r="J8" s="330"/>
      <c r="K8" s="330"/>
      <c r="L8" s="330"/>
      <c r="M8" s="330"/>
      <c r="N8" s="30">
        <f>(K3/M3)+M4+K6/M6</f>
        <v>9.2272727272727266</v>
      </c>
      <c r="P8" s="27"/>
    </row>
    <row r="9" spans="1:16" ht="15" thickBot="1" x14ac:dyDescent="0.35">
      <c r="A9" s="25" t="s">
        <v>34</v>
      </c>
      <c r="B9" s="31">
        <f>IFERROR(ROUNDUP(N9*((K3/M3)+K4)-N22*((K16/M16)+K17),2),"")</f>
        <v>24064.78</v>
      </c>
      <c r="C9" s="326" t="s">
        <v>35</v>
      </c>
      <c r="D9" s="326"/>
      <c r="E9" s="32">
        <f t="array" ref="E9">IFERROR(INDEX(School_Calendar[#All],MATCH(1,(School_Calendar[[#All],[Business Unit]]=B2)*(School_Calendar[[#All],[Employee Group]]='Calculator - Custom Dates'!E2)*(School_Calendar[[#All],[Contract Pay Type]]='Calculator - Custom Dates'!B3)*(School_Calendar[[#All],[Tax Year]]='Calculator - Custom Dates'!E7),0),5),"")</f>
        <v>24500</v>
      </c>
      <c r="F9" s="9"/>
      <c r="G9" s="5"/>
      <c r="I9" s="329" t="s">
        <v>56</v>
      </c>
      <c r="J9" s="330"/>
      <c r="K9" s="330"/>
      <c r="L9" s="330"/>
      <c r="M9" s="330"/>
      <c r="N9" s="33">
        <f>B7/N8</f>
        <v>22448.128078817736</v>
      </c>
      <c r="P9" s="27"/>
    </row>
    <row r="10" spans="1:16" ht="15" thickBot="1" x14ac:dyDescent="0.35">
      <c r="A10" s="25" t="s">
        <v>40</v>
      </c>
      <c r="B10" s="71" t="str">
        <f>IF(B9="","",IF(B9&lt;=E9,"Available","Not Available"))</f>
        <v>Available</v>
      </c>
      <c r="C10" s="9"/>
      <c r="D10" s="6" t="s">
        <v>61</v>
      </c>
      <c r="E10" s="70">
        <f>IFERROR(((N21*N8*E9)/(N21-N8))/(K3/M3+K4),"")</f>
        <v>210881.15998711626</v>
      </c>
      <c r="F10" s="9"/>
      <c r="G10" s="5"/>
      <c r="I10" s="34"/>
      <c r="J10" s="35"/>
      <c r="K10" s="35"/>
      <c r="L10" s="35"/>
      <c r="M10" s="36"/>
      <c r="N10" s="36"/>
      <c r="P10" s="27"/>
    </row>
    <row r="11" spans="1:16" x14ac:dyDescent="0.3">
      <c r="A11" s="39"/>
      <c r="B11" s="40"/>
      <c r="C11" s="40"/>
      <c r="D11" s="40"/>
      <c r="E11" s="40"/>
      <c r="F11" s="40"/>
      <c r="G11" s="5"/>
      <c r="I11" s="18" t="s">
        <v>37</v>
      </c>
      <c r="J11" s="327" t="s">
        <v>38</v>
      </c>
      <c r="K11" s="327"/>
      <c r="L11" s="37">
        <f>K3</f>
        <v>15</v>
      </c>
      <c r="M11" s="330" t="s">
        <v>39</v>
      </c>
      <c r="N11" s="330"/>
      <c r="O11" s="38">
        <f>N9*K3/M3</f>
        <v>15305.541871921183</v>
      </c>
      <c r="P11" s="22"/>
    </row>
    <row r="12" spans="1:16" x14ac:dyDescent="0.3">
      <c r="A12" s="41"/>
      <c r="B12" s="41"/>
      <c r="C12" s="41"/>
      <c r="D12" s="41"/>
      <c r="E12" s="41"/>
      <c r="F12" s="41"/>
      <c r="G12" s="72"/>
      <c r="I12" s="18" t="s">
        <v>37</v>
      </c>
      <c r="J12" s="327" t="s">
        <v>42</v>
      </c>
      <c r="K12" s="327"/>
      <c r="L12" s="1">
        <f>M4</f>
        <v>8</v>
      </c>
      <c r="M12" s="330" t="s">
        <v>43</v>
      </c>
      <c r="N12" s="330"/>
      <c r="O12" s="38">
        <f>N9</f>
        <v>22448.128078817736</v>
      </c>
      <c r="P12" s="22"/>
    </row>
    <row r="13" spans="1:16" x14ac:dyDescent="0.3">
      <c r="A13" s="328" t="s">
        <v>57</v>
      </c>
      <c r="B13" s="328"/>
      <c r="C13" s="328"/>
      <c r="D13" s="328"/>
      <c r="E13" s="328"/>
      <c r="F13" s="328"/>
      <c r="I13" s="42" t="s">
        <v>37</v>
      </c>
      <c r="J13" s="328" t="s">
        <v>45</v>
      </c>
      <c r="K13" s="328"/>
      <c r="L13" s="43">
        <f>K6</f>
        <v>12</v>
      </c>
      <c r="M13" s="331" t="s">
        <v>39</v>
      </c>
      <c r="N13" s="331"/>
      <c r="O13" s="44">
        <f>N9*K6/M6</f>
        <v>12244.433497536946</v>
      </c>
      <c r="P13" s="45"/>
    </row>
    <row r="14" spans="1:16" x14ac:dyDescent="0.3">
      <c r="A14" s="47" t="s">
        <v>3</v>
      </c>
      <c r="B14" s="15" t="s">
        <v>4</v>
      </c>
      <c r="C14" s="15" t="s">
        <v>58</v>
      </c>
      <c r="D14" s="15" t="s">
        <v>5</v>
      </c>
      <c r="E14" s="15" t="s">
        <v>6</v>
      </c>
      <c r="F14" s="48" t="s">
        <v>59</v>
      </c>
      <c r="I14" s="19"/>
      <c r="J14" s="19"/>
      <c r="K14" s="46"/>
    </row>
    <row r="15" spans="1:16" x14ac:dyDescent="0.3">
      <c r="A15" s="49"/>
      <c r="B15" s="21"/>
      <c r="C15" s="21"/>
      <c r="D15" s="21"/>
      <c r="E15" s="21"/>
      <c r="F15" s="50"/>
      <c r="I15" s="328" t="s">
        <v>47</v>
      </c>
      <c r="J15" s="328"/>
      <c r="K15" s="328"/>
      <c r="L15" s="328"/>
      <c r="M15" s="328"/>
      <c r="N15" s="328"/>
      <c r="O15" s="328"/>
      <c r="P15" s="328"/>
    </row>
    <row r="16" spans="1:16" x14ac:dyDescent="0.3">
      <c r="A16" s="51" t="s">
        <v>8</v>
      </c>
      <c r="B16" s="52" t="str">
        <f>TEXT(DATE(YEAR($B$4),MONTH($B$4),DAY($B$4)),"mmmm")</f>
        <v>August</v>
      </c>
      <c r="C16" s="53">
        <f>K16</f>
        <v>15</v>
      </c>
      <c r="D16" s="54">
        <f>IF(K3&gt;0,O11,IF($B$7-SUM($D$15:D15)-$O$12&lt;0,$B$7-SUM($D$15:D15),$O$12))</f>
        <v>15305.541871921183</v>
      </c>
      <c r="E16" s="54">
        <f t="shared" ref="E16:E27" si="0">F16-D16</f>
        <v>-3504.5787682858081</v>
      </c>
      <c r="F16" s="55">
        <f>IF(K3&gt;0,O24,IF($B$7-SUM($F$15:F15)-$O$25&lt;0,$B$7-SUM($F15:F$16),$O$25))</f>
        <v>11800.963103635375</v>
      </c>
      <c r="I16" s="11" t="s">
        <v>49</v>
      </c>
      <c r="J16" s="12" t="s">
        <v>50</v>
      </c>
      <c r="K16" s="13">
        <f>IF(ISBLANK(B5)," ",IF(NETWORKDAYS(B5,EOMONTH(B5,0))&gt;=M16,0,NETWORKDAYS(B5,EOMONTH(B5,0))))</f>
        <v>15</v>
      </c>
      <c r="L16" s="14" t="s">
        <v>11</v>
      </c>
      <c r="M16" s="15">
        <f>IF(ISBLANK(B5)," ",NETWORKDAYS(DATE(YEAR(B5),MONTH(B5),1),DATE(YEAR(B5),MONTH(B5),DAY(EOMONTH(B5,0)))))</f>
        <v>22</v>
      </c>
      <c r="N16" s="14" t="s">
        <v>12</v>
      </c>
      <c r="O16" s="14" t="str">
        <f>TEXT(DATE(YEAR(B5),MONTH(B5),DAY(B5)),"mmmm")</f>
        <v>August</v>
      </c>
      <c r="P16" s="16">
        <f>YEAR(B5)</f>
        <v>2024</v>
      </c>
    </row>
    <row r="17" spans="1:16" x14ac:dyDescent="0.3">
      <c r="A17" s="18" t="s">
        <v>9</v>
      </c>
      <c r="B17" s="1" t="str">
        <f>TEXT(DATE(YEAR($B$4),MONTH($B$4)+1,DAY($B$4)),"mmmm")</f>
        <v>September</v>
      </c>
      <c r="C17" s="1">
        <v>21</v>
      </c>
      <c r="D17" s="56">
        <f>IF($B$7-SUM($D$15:D16)-$O$12&lt;0,$B$7-SUM($D$15:D16),$O$12)</f>
        <v>22448.128078817736</v>
      </c>
      <c r="E17" s="56">
        <f t="shared" si="0"/>
        <v>-5140.0488601525176</v>
      </c>
      <c r="F17" s="57">
        <f>IF($B$7-SUM($F$15:F16)-$O$25&lt;0,$B$7-SUM($F$16:F16),$O$25)</f>
        <v>17308.079218665218</v>
      </c>
      <c r="I17" s="18" t="s">
        <v>49</v>
      </c>
      <c r="J17" s="19" t="s">
        <v>43</v>
      </c>
      <c r="K17" s="20">
        <f>DATEDIF(B5,DATE(YEAR(B5),12,31)+1,"m")</f>
        <v>4</v>
      </c>
      <c r="L17" s="1" t="s">
        <v>11</v>
      </c>
      <c r="M17" s="21">
        <f>IF(DAY(B5)=1,DATEDIF(B5,E5+1,"m"),DATEDIF(B5,E5,"m"))</f>
        <v>11</v>
      </c>
      <c r="N17" s="1" t="s">
        <v>18</v>
      </c>
      <c r="O17" s="1" t="s">
        <v>19</v>
      </c>
      <c r="P17" s="22">
        <f>YEAR(B5)</f>
        <v>2024</v>
      </c>
    </row>
    <row r="18" spans="1:16" x14ac:dyDescent="0.3">
      <c r="A18" s="18" t="s">
        <v>10</v>
      </c>
      <c r="B18" s="1" t="str">
        <f>TEXT(DATE(YEAR($B$4),MONTH($B$4)+2,DAY($B$4)),"mmmm")</f>
        <v>October</v>
      </c>
      <c r="C18" s="1">
        <v>23</v>
      </c>
      <c r="D18" s="56">
        <f>IF($B$7-SUM($D$15:D17)-$O$12&lt;0,$B$7-SUM($D$15:D17),$O$12)</f>
        <v>22448.128078817736</v>
      </c>
      <c r="E18" s="56">
        <f t="shared" si="0"/>
        <v>-5140.0488601525176</v>
      </c>
      <c r="F18" s="57">
        <f>IF($B$7-SUM($F$15:F17)-$O$25&lt;0,$B$7-SUM($F$16:F17),$O$25)</f>
        <v>17308.079218665218</v>
      </c>
      <c r="I18" s="18" t="s">
        <v>49</v>
      </c>
      <c r="J18" s="19" t="s">
        <v>43</v>
      </c>
      <c r="K18" s="20">
        <f>DATEDIF(DATE(YEAR(E5),1,1),E5+1,"m")</f>
        <v>7</v>
      </c>
      <c r="L18" s="1" t="s">
        <v>11</v>
      </c>
      <c r="M18" s="21">
        <f>IF(DAY(B5)=1,DATEDIF(B5,E5+1,"m"),DATEDIF(B5,E5,"m"))</f>
        <v>11</v>
      </c>
      <c r="N18" s="1" t="s">
        <v>18</v>
      </c>
      <c r="O18" s="1" t="s">
        <v>19</v>
      </c>
      <c r="P18" s="22">
        <f>YEAR(E5)</f>
        <v>2025</v>
      </c>
    </row>
    <row r="19" spans="1:16" x14ac:dyDescent="0.3">
      <c r="A19" s="18" t="s">
        <v>17</v>
      </c>
      <c r="B19" s="1" t="str">
        <f>TEXT(DATE(YEAR($B$4),MONTH($B$4)+3,DAY($B$4)),"mmmm")</f>
        <v>November</v>
      </c>
      <c r="C19" s="1">
        <v>21</v>
      </c>
      <c r="D19" s="56">
        <f>IF($B$7-SUM($D$15:D18)-$O$12&lt;0,$B$7-SUM($D$15:D18),$O$12)</f>
        <v>22448.128078817736</v>
      </c>
      <c r="E19" s="56">
        <f t="shared" si="0"/>
        <v>-5140.0488601525176</v>
      </c>
      <c r="F19" s="57">
        <f>IF($B$7-SUM($F$15:F18)-$O$25&lt;0,$B$7-SUM($F$16:F18),$O$25)</f>
        <v>17308.079218665218</v>
      </c>
      <c r="I19" s="18" t="s">
        <v>49</v>
      </c>
      <c r="J19" s="19" t="s">
        <v>50</v>
      </c>
      <c r="K19" s="20">
        <f>IF(ISBLANK(E5)," ",IF(NETWORKDAYS(DATE(YEAR(E5),MONTH(E5),1),E5)&gt;=M19,0,NETWORKDAYS(DATE(YEAR(E5),MONTH(E5),1),E5)))</f>
        <v>6</v>
      </c>
      <c r="L19" s="1" t="s">
        <v>11</v>
      </c>
      <c r="M19" s="21">
        <f>IF(ISBLANK(E5)," ",NETWORKDAYS(DATE(YEAR(E5),MONTH(E5),1),DATE(YEAR(E5),MONTH(E5),DAY(EOMONTH(E5,0)))))</f>
        <v>21</v>
      </c>
      <c r="N19" s="1" t="s">
        <v>12</v>
      </c>
      <c r="O19" s="1" t="str">
        <f>TEXT(DATE(YEAR(E5),MONTH(E5),DAY(E5)),"mmmm")</f>
        <v>August</v>
      </c>
      <c r="P19" s="22">
        <f>YEAR(E5)</f>
        <v>2025</v>
      </c>
    </row>
    <row r="20" spans="1:16" x14ac:dyDescent="0.3">
      <c r="A20" s="18" t="s">
        <v>21</v>
      </c>
      <c r="B20" s="1" t="str">
        <f>TEXT(DATE(YEAR($B$4),MONTH($B$4)+4,DAY($B$4)),"mmmm")</f>
        <v>December</v>
      </c>
      <c r="C20" s="1">
        <v>22</v>
      </c>
      <c r="D20" s="56">
        <f>IF($B$7-SUM($D$15:D19)-$O$12&lt;0,$B$7-SUM($D$15:D19),$O$12)</f>
        <v>22448.128078817736</v>
      </c>
      <c r="E20" s="56">
        <f t="shared" si="0"/>
        <v>-5140.0488601525176</v>
      </c>
      <c r="F20" s="57">
        <f>IF($B$7-SUM($F$15:F19)-$O$25&lt;0,$B$7-SUM($F$16:F19),$O$25)</f>
        <v>17308.079218665218</v>
      </c>
      <c r="I20" s="26"/>
      <c r="P20" s="27"/>
    </row>
    <row r="21" spans="1:16" x14ac:dyDescent="0.3">
      <c r="A21" s="18" t="s">
        <v>24</v>
      </c>
      <c r="B21" s="1" t="str">
        <f>TEXT(DATE(YEAR($B$4),MONTH($B$4)+5,DAY($B$4)),"mmmm")</f>
        <v>January</v>
      </c>
      <c r="C21" s="1">
        <v>23</v>
      </c>
      <c r="D21" s="56">
        <f>IF($B$7-SUM($D$15:D20)-$O$12&lt;0,$B$7-SUM($D$15:D20),$O$12)</f>
        <v>22448.128078817736</v>
      </c>
      <c r="E21" s="56">
        <f t="shared" si="0"/>
        <v>-5140.0488601525176</v>
      </c>
      <c r="F21" s="57">
        <f>IF($B$7-SUM($F$15:F20)-$O$25&lt;0,$B$7-SUM($F$16:F20),$O$25)</f>
        <v>17308.079218665218</v>
      </c>
      <c r="I21" s="329" t="s">
        <v>51</v>
      </c>
      <c r="J21" s="330"/>
      <c r="K21" s="330"/>
      <c r="L21" s="330"/>
      <c r="M21" s="330"/>
      <c r="N21" s="30">
        <f>(K16/M16)+M17+K19/M19</f>
        <v>11.967532467532468</v>
      </c>
      <c r="P21" s="27"/>
    </row>
    <row r="22" spans="1:16" x14ac:dyDescent="0.3">
      <c r="A22" s="18" t="s">
        <v>27</v>
      </c>
      <c r="B22" s="1" t="str">
        <f>TEXT(DATE(YEAR($B$4),MONTH($B$4)+6,DAY($B$4)),"mmmm")</f>
        <v>February</v>
      </c>
      <c r="C22" s="1">
        <v>20</v>
      </c>
      <c r="D22" s="56">
        <f>IF($B$7-SUM($D$15:D21)-$O$12&lt;0,$B$7-SUM($D$15:D21),$O$12)</f>
        <v>22448.128078817736</v>
      </c>
      <c r="E22" s="56">
        <f t="shared" si="0"/>
        <v>-5140.0488601525176</v>
      </c>
      <c r="F22" s="57">
        <f>IF($B$7-SUM($F$15:F21)-$O$25&lt;0,$B$7-SUM($F$16:F21),$O$25)</f>
        <v>17308.079218665218</v>
      </c>
      <c r="I22" s="329" t="s">
        <v>52</v>
      </c>
      <c r="J22" s="330"/>
      <c r="K22" s="330"/>
      <c r="L22" s="330"/>
      <c r="M22" s="330"/>
      <c r="N22" s="33">
        <f>B7/N21</f>
        <v>17308.079218665218</v>
      </c>
      <c r="P22" s="27"/>
    </row>
    <row r="23" spans="1:16" x14ac:dyDescent="0.3">
      <c r="A23" s="18" t="s">
        <v>28</v>
      </c>
      <c r="B23" s="1" t="str">
        <f>TEXT(DATE(YEAR($B$4),MONTH($B$4)+7,DAY($B$4)),"mmmm")</f>
        <v>March</v>
      </c>
      <c r="C23" s="1">
        <v>21</v>
      </c>
      <c r="D23" s="56">
        <f>IF($B$7-SUM($D$15:D22)-$O$12&lt;0,$B$7-SUM($D$15:D22),$O$12)</f>
        <v>22448.128078817736</v>
      </c>
      <c r="E23" s="56">
        <f t="shared" si="0"/>
        <v>-5140.0488601525176</v>
      </c>
      <c r="F23" s="57">
        <f>IF($B$7-SUM($F$15:F22)-$O$25&lt;0,$B$7-SUM($F$16:F22),$O$25)</f>
        <v>17308.079218665218</v>
      </c>
      <c r="I23" s="26"/>
      <c r="P23" s="27"/>
    </row>
    <row r="24" spans="1:16" x14ac:dyDescent="0.3">
      <c r="A24" s="18" t="s">
        <v>31</v>
      </c>
      <c r="B24" s="1" t="str">
        <f>TEXT(DATE(YEAR($B$4),MONTH($B$4)+8,DAY($B$4)),"mmmm")</f>
        <v>April</v>
      </c>
      <c r="C24" s="1">
        <v>22</v>
      </c>
      <c r="D24" s="56">
        <f>IF($B$7-SUM($D$15:D23)-$O$12&lt;0,$B$7-SUM($D$15:D23),$O$12)</f>
        <v>22448.128078817736</v>
      </c>
      <c r="E24" s="161">
        <f t="shared" si="0"/>
        <v>-5140.0488601525176</v>
      </c>
      <c r="F24" s="57">
        <f>IF($B$7-SUM($F$15:F23)-$O$25&lt;0,$B$7-SUM($F$16:F23),$O$25)</f>
        <v>17308.079218665218</v>
      </c>
      <c r="I24" s="18" t="s">
        <v>49</v>
      </c>
      <c r="J24" s="327" t="s">
        <v>38</v>
      </c>
      <c r="K24" s="327"/>
      <c r="L24" s="37">
        <f>K16</f>
        <v>15</v>
      </c>
      <c r="M24" s="330" t="s">
        <v>39</v>
      </c>
      <c r="N24" s="330"/>
      <c r="O24" s="38">
        <f>N22*K16/M16</f>
        <v>11800.963103635375</v>
      </c>
      <c r="P24" s="27"/>
    </row>
    <row r="25" spans="1:16" x14ac:dyDescent="0.3">
      <c r="A25" s="58" t="s">
        <v>33</v>
      </c>
      <c r="B25" s="59" t="str">
        <f>TEXT(DATE(YEAR($B$4),MONTH($B$4)+9,DAY($B$4)),"mmmm")</f>
        <v>May</v>
      </c>
      <c r="C25" s="60" t="str">
        <f>K6&amp;" Paid"</f>
        <v>12 Paid</v>
      </c>
      <c r="D25" s="61">
        <f>IF($B$7-SUM($D$15:D24)-$O$12&lt;0,$B$7-SUM($D$15:D24),$O$12)</f>
        <v>12244.433497536927</v>
      </c>
      <c r="E25" s="62">
        <f t="shared" si="0"/>
        <v>5063.6457211282905</v>
      </c>
      <c r="F25" s="63">
        <f>IF($B$7-SUM($F$15:F24)-$O$25&lt;0,$B$7-SUM($F$16:F24),$O$25)</f>
        <v>17308.079218665218</v>
      </c>
      <c r="I25" s="18" t="s">
        <v>49</v>
      </c>
      <c r="J25" s="327" t="s">
        <v>42</v>
      </c>
      <c r="K25" s="327"/>
      <c r="L25" s="1">
        <f>M17</f>
        <v>11</v>
      </c>
      <c r="M25" s="330" t="s">
        <v>43</v>
      </c>
      <c r="N25" s="330"/>
      <c r="O25" s="38">
        <f>N22</f>
        <v>17308.079218665218</v>
      </c>
      <c r="P25" s="27"/>
    </row>
    <row r="26" spans="1:16" x14ac:dyDescent="0.3">
      <c r="A26" s="18" t="s">
        <v>36</v>
      </c>
      <c r="B26" s="1" t="str">
        <f>TEXT(DATE(YEAR($B$4),MONTH($B$4)+10,DAY($B$4)),"mmmm")</f>
        <v>June</v>
      </c>
      <c r="C26" s="1"/>
      <c r="D26" s="56">
        <f>IF($B$7-SUM($D$15:D25)-$O$12&lt;0,$B$7-SUM($D$15:D25),$O$12)</f>
        <v>0</v>
      </c>
      <c r="E26" s="56">
        <f t="shared" si="0"/>
        <v>17308.079218665218</v>
      </c>
      <c r="F26" s="57">
        <f>IF($B$7-SUM($F$15:F25)-$O$25&lt;0,$B$7-SUM($F$16:F25),$O$25)</f>
        <v>17308.079218665218</v>
      </c>
      <c r="I26" s="42" t="s">
        <v>49</v>
      </c>
      <c r="J26" s="328" t="s">
        <v>45</v>
      </c>
      <c r="K26" s="328"/>
      <c r="L26" s="43">
        <f>K19</f>
        <v>6</v>
      </c>
      <c r="M26" s="331" t="s">
        <v>39</v>
      </c>
      <c r="N26" s="331"/>
      <c r="O26" s="44">
        <f>N22*K19/M19</f>
        <v>4945.1654910472053</v>
      </c>
      <c r="P26" s="64"/>
    </row>
    <row r="27" spans="1:16" x14ac:dyDescent="0.3">
      <c r="A27" s="18" t="s">
        <v>41</v>
      </c>
      <c r="B27" s="1" t="str">
        <f>TEXT(DATE(YEAR($B$4),MONTH($B$4)+11,DAY($B$4)),"mmmm")</f>
        <v>July</v>
      </c>
      <c r="C27" s="1"/>
      <c r="D27" s="56">
        <f>IF($B$7-SUM($D$15:D26)-$O$12&lt;0,$B$7-SUM($D$15:D26),$O$12)</f>
        <v>0</v>
      </c>
      <c r="E27" s="56">
        <f t="shared" si="0"/>
        <v>17308.079218665218</v>
      </c>
      <c r="F27" s="57">
        <f>IF($B$7-SUM($F$15:F26)-$O$25&lt;0,$B$7-SUM($F$16:F26),$O$25)</f>
        <v>17308.079218665218</v>
      </c>
      <c r="P27" s="65"/>
    </row>
    <row r="28" spans="1:16" x14ac:dyDescent="0.3">
      <c r="A28" s="51" t="s">
        <v>44</v>
      </c>
      <c r="B28" s="52" t="str">
        <f>TEXT(DATE(YEAR($B$4),MONTH($B$4)+12,DAY($B$4)),"mmmm")</f>
        <v>August</v>
      </c>
      <c r="C28" s="53">
        <f>K19</f>
        <v>6</v>
      </c>
      <c r="D28" s="54">
        <f>IF($B$7-SUM($D$15:D27)-$O$12&lt;0,$B$7-SUM($D$15:D27),$O$12)</f>
        <v>0</v>
      </c>
      <c r="E28" s="54">
        <f>F28-D27</f>
        <v>4945.1654910471698</v>
      </c>
      <c r="F28" s="55">
        <f>IF($B$7-SUM($F$15:F27)-$O$25&lt;0,$B$7-SUM($F$16:F27),$O$25)</f>
        <v>4945.1654910471698</v>
      </c>
    </row>
    <row r="29" spans="1:16" x14ac:dyDescent="0.3">
      <c r="A29" s="66"/>
      <c r="B29" s="67"/>
      <c r="C29" s="67"/>
      <c r="D29" s="68">
        <f>SUM(D16:D28)</f>
        <v>207135</v>
      </c>
      <c r="E29" s="68">
        <f>ABS(SUMIF(E16:E28,"&lt;0",E16:E28))</f>
        <v>44624.969649505947</v>
      </c>
      <c r="F29" s="69">
        <f t="shared" ref="F29" si="1">SUM(F16:F28)</f>
        <v>207135</v>
      </c>
    </row>
  </sheetData>
  <mergeCells count="22">
    <mergeCell ref="I2:P2"/>
    <mergeCell ref="C4:D4"/>
    <mergeCell ref="C5:D5"/>
    <mergeCell ref="I8:M8"/>
    <mergeCell ref="C9:D9"/>
    <mergeCell ref="I9:M9"/>
    <mergeCell ref="J11:K11"/>
    <mergeCell ref="M11:N11"/>
    <mergeCell ref="J12:K12"/>
    <mergeCell ref="M12:N12"/>
    <mergeCell ref="J13:K13"/>
    <mergeCell ref="M13:N13"/>
    <mergeCell ref="J25:K25"/>
    <mergeCell ref="M25:N25"/>
    <mergeCell ref="J26:K26"/>
    <mergeCell ref="M26:N26"/>
    <mergeCell ref="A13:F13"/>
    <mergeCell ref="I15:P15"/>
    <mergeCell ref="I21:M21"/>
    <mergeCell ref="I22:M22"/>
    <mergeCell ref="J24:K24"/>
    <mergeCell ref="M24:N24"/>
  </mergeCells>
  <conditionalFormatting sqref="B10">
    <cfRule type="expression" dxfId="3" priority="1">
      <formula>$B$10="Available"</formula>
    </cfRule>
    <cfRule type="expression" dxfId="2" priority="2">
      <formula>$B$10="Not Available"</formula>
    </cfRule>
  </conditionalFormatting>
  <dataValidations count="1">
    <dataValidation type="list" allowBlank="1" showInputMessage="1" showErrorMessage="1" sqref="E2" xr:uid="{00000000-0002-0000-0300-000000000000}">
      <formula1>"Faculty"</formula1>
    </dataValidation>
  </dataValidations>
  <pageMargins left="0.7" right="0.7" top="0.75" bottom="0.75" header="0.3" footer="0.3"/>
  <pageSetup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'School Calendars'!$A$2:$A$4</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28"/>
  <sheetViews>
    <sheetView workbookViewId="0">
      <pane ySplit="1" topLeftCell="A9" activePane="bottomLeft" state="frozen"/>
      <selection activeCell="B1" sqref="B1"/>
      <selection pane="bottomLeft" activeCell="O28" sqref="O28"/>
    </sheetView>
  </sheetViews>
  <sheetFormatPr defaultColWidth="9.109375" defaultRowHeight="14.4" x14ac:dyDescent="0.3"/>
  <cols>
    <col min="1" max="1" width="14" style="1" customWidth="1"/>
    <col min="2" max="2" width="16.77734375" style="1" customWidth="1"/>
    <col min="3" max="3" width="17.21875" style="1" customWidth="1"/>
    <col min="4" max="4" width="10.5546875" style="1" customWidth="1"/>
    <col min="5" max="5" width="24.88671875" style="2" customWidth="1"/>
    <col min="6" max="6" width="19.21875" style="1" customWidth="1"/>
    <col min="7" max="8" width="18.44140625" style="1" customWidth="1"/>
    <col min="9" max="9" width="17.88671875" style="1" customWidth="1"/>
    <col min="10" max="10" width="8.6640625" style="1" bestFit="1" customWidth="1"/>
    <col min="11" max="11" width="15.88671875" style="1" bestFit="1" customWidth="1"/>
    <col min="12" max="12" width="12.21875" style="1" bestFit="1" customWidth="1"/>
    <col min="13" max="13" width="10.44140625" style="1" bestFit="1" customWidth="1"/>
    <col min="14" max="14" width="9.109375" style="1"/>
    <col min="15" max="15" width="12.33203125" style="1" bestFit="1" customWidth="1"/>
    <col min="16" max="16384" width="9.109375" style="1"/>
  </cols>
  <sheetData>
    <row r="1" spans="1:14" x14ac:dyDescent="0.3">
      <c r="A1" s="1" t="s">
        <v>62</v>
      </c>
      <c r="B1" s="1" t="s">
        <v>63</v>
      </c>
      <c r="C1" s="1" t="s">
        <v>64</v>
      </c>
      <c r="D1" s="1" t="s">
        <v>65</v>
      </c>
      <c r="E1" s="2" t="s">
        <v>66</v>
      </c>
      <c r="F1" s="1" t="s">
        <v>67</v>
      </c>
      <c r="G1" s="1" t="s">
        <v>68</v>
      </c>
      <c r="H1" s="1" t="s">
        <v>69</v>
      </c>
      <c r="I1" s="1" t="s">
        <v>70</v>
      </c>
      <c r="J1" s="287" t="s">
        <v>134</v>
      </c>
      <c r="K1" s="287" t="s">
        <v>133</v>
      </c>
      <c r="L1" s="287" t="s">
        <v>138</v>
      </c>
      <c r="M1" s="1" t="s">
        <v>86</v>
      </c>
      <c r="N1" s="1" t="s">
        <v>139</v>
      </c>
    </row>
    <row r="2" spans="1:14" x14ac:dyDescent="0.3">
      <c r="A2" s="52" t="s">
        <v>60</v>
      </c>
      <c r="B2" s="52" t="s">
        <v>16</v>
      </c>
      <c r="C2" s="52" t="s">
        <v>71</v>
      </c>
      <c r="D2" s="52">
        <v>2018</v>
      </c>
      <c r="E2" s="126">
        <v>19000</v>
      </c>
      <c r="F2" s="127">
        <v>43332</v>
      </c>
      <c r="G2" s="127">
        <v>43595</v>
      </c>
      <c r="H2" s="127">
        <v>43332</v>
      </c>
      <c r="I2" s="127">
        <v>43693</v>
      </c>
    </row>
    <row r="3" spans="1:14" x14ac:dyDescent="0.3">
      <c r="A3" s="52" t="s">
        <v>53</v>
      </c>
      <c r="B3" s="52" t="s">
        <v>16</v>
      </c>
      <c r="C3" s="52" t="s">
        <v>71</v>
      </c>
      <c r="D3" s="52">
        <v>2018</v>
      </c>
      <c r="E3" s="126">
        <v>19000</v>
      </c>
      <c r="F3" s="127">
        <v>43344</v>
      </c>
      <c r="G3" s="127">
        <v>43616</v>
      </c>
      <c r="H3" s="127">
        <v>43344</v>
      </c>
      <c r="I3" s="127">
        <v>43708</v>
      </c>
    </row>
    <row r="4" spans="1:14" x14ac:dyDescent="0.3">
      <c r="A4" s="52" t="s">
        <v>14</v>
      </c>
      <c r="B4" s="52" t="s">
        <v>16</v>
      </c>
      <c r="C4" s="52" t="s">
        <v>71</v>
      </c>
      <c r="D4" s="52">
        <v>2018</v>
      </c>
      <c r="E4" s="126">
        <v>19000</v>
      </c>
      <c r="F4" s="127">
        <v>43325</v>
      </c>
      <c r="G4" s="127">
        <v>43603</v>
      </c>
      <c r="H4" s="127">
        <v>43325</v>
      </c>
      <c r="I4" s="127">
        <v>43687</v>
      </c>
    </row>
    <row r="5" spans="1:14" x14ac:dyDescent="0.3">
      <c r="A5" s="128" t="s">
        <v>60</v>
      </c>
      <c r="B5" s="128" t="s">
        <v>16</v>
      </c>
      <c r="C5" s="128" t="s">
        <v>71</v>
      </c>
      <c r="D5" s="128">
        <v>2019</v>
      </c>
      <c r="E5" s="129">
        <v>19000</v>
      </c>
      <c r="F5" s="130">
        <v>43696</v>
      </c>
      <c r="G5" s="130">
        <v>43959</v>
      </c>
      <c r="H5" s="130">
        <v>43696</v>
      </c>
      <c r="I5" s="130">
        <v>44057</v>
      </c>
    </row>
    <row r="6" spans="1:14" x14ac:dyDescent="0.3">
      <c r="A6" s="128" t="s">
        <v>53</v>
      </c>
      <c r="B6" s="128" t="s">
        <v>16</v>
      </c>
      <c r="C6" s="128" t="s">
        <v>71</v>
      </c>
      <c r="D6" s="128">
        <v>2019</v>
      </c>
      <c r="E6" s="129">
        <v>19000</v>
      </c>
      <c r="F6" s="130">
        <v>43709</v>
      </c>
      <c r="G6" s="130">
        <v>43982</v>
      </c>
      <c r="H6" s="130">
        <v>43709</v>
      </c>
      <c r="I6" s="130">
        <v>44074</v>
      </c>
    </row>
    <row r="7" spans="1:14" x14ac:dyDescent="0.3">
      <c r="A7" s="128" t="s">
        <v>14</v>
      </c>
      <c r="B7" s="128" t="s">
        <v>16</v>
      </c>
      <c r="C7" s="128" t="s">
        <v>71</v>
      </c>
      <c r="D7" s="128">
        <v>2019</v>
      </c>
      <c r="E7" s="129">
        <v>19000</v>
      </c>
      <c r="F7" s="130">
        <v>43696</v>
      </c>
      <c r="G7" s="130">
        <v>43967</v>
      </c>
      <c r="H7" s="130">
        <v>43696</v>
      </c>
      <c r="I7" s="130">
        <v>44059</v>
      </c>
    </row>
    <row r="8" spans="1:14" x14ac:dyDescent="0.3">
      <c r="A8" s="131" t="s">
        <v>60</v>
      </c>
      <c r="B8" s="131" t="s">
        <v>16</v>
      </c>
      <c r="C8" s="131" t="s">
        <v>71</v>
      </c>
      <c r="D8" s="131">
        <v>2020</v>
      </c>
      <c r="E8" s="132">
        <v>19500</v>
      </c>
      <c r="F8" s="133">
        <v>44060</v>
      </c>
      <c r="G8" s="133">
        <v>44323</v>
      </c>
      <c r="H8" s="133">
        <v>44060</v>
      </c>
      <c r="I8" s="133">
        <v>44421</v>
      </c>
    </row>
    <row r="9" spans="1:14" x14ac:dyDescent="0.3">
      <c r="A9" s="131" t="s">
        <v>53</v>
      </c>
      <c r="B9" s="131" t="s">
        <v>16</v>
      </c>
      <c r="C9" s="131" t="s">
        <v>71</v>
      </c>
      <c r="D9" s="131">
        <v>2020</v>
      </c>
      <c r="E9" s="132">
        <v>19500</v>
      </c>
      <c r="F9" s="133">
        <v>44075</v>
      </c>
      <c r="G9" s="133">
        <v>44347</v>
      </c>
      <c r="H9" s="133">
        <v>44075</v>
      </c>
      <c r="I9" s="133">
        <v>44439</v>
      </c>
    </row>
    <row r="10" spans="1:14" x14ac:dyDescent="0.3">
      <c r="A10" s="131" t="s">
        <v>14</v>
      </c>
      <c r="B10" s="131" t="s">
        <v>16</v>
      </c>
      <c r="C10" s="131" t="s">
        <v>71</v>
      </c>
      <c r="D10" s="131">
        <v>2020</v>
      </c>
      <c r="E10" s="132">
        <v>19500</v>
      </c>
      <c r="F10" s="133">
        <v>44060</v>
      </c>
      <c r="G10" s="133">
        <v>44331</v>
      </c>
      <c r="H10" s="133">
        <v>44060</v>
      </c>
      <c r="I10" s="133">
        <v>44423</v>
      </c>
    </row>
    <row r="11" spans="1:14" x14ac:dyDescent="0.3">
      <c r="A11" s="134" t="s">
        <v>60</v>
      </c>
      <c r="B11" s="134" t="s">
        <v>16</v>
      </c>
      <c r="C11" s="134" t="s">
        <v>71</v>
      </c>
      <c r="D11" s="134">
        <v>2021</v>
      </c>
      <c r="E11" s="135">
        <v>19500</v>
      </c>
      <c r="F11" s="136">
        <v>44424</v>
      </c>
      <c r="G11" s="136">
        <v>44687</v>
      </c>
      <c r="H11" s="136">
        <v>44424</v>
      </c>
      <c r="I11" s="136">
        <v>44785</v>
      </c>
    </row>
    <row r="12" spans="1:14" x14ac:dyDescent="0.3">
      <c r="A12" s="134" t="s">
        <v>53</v>
      </c>
      <c r="B12" s="134" t="s">
        <v>16</v>
      </c>
      <c r="C12" s="134" t="s">
        <v>71</v>
      </c>
      <c r="D12" s="134">
        <v>2021</v>
      </c>
      <c r="E12" s="135">
        <v>19500</v>
      </c>
      <c r="F12" s="136">
        <v>44440</v>
      </c>
      <c r="G12" s="136">
        <v>44712</v>
      </c>
      <c r="H12" s="136">
        <v>44440</v>
      </c>
      <c r="I12" s="136">
        <v>44804</v>
      </c>
    </row>
    <row r="13" spans="1:14" x14ac:dyDescent="0.3">
      <c r="A13" s="134" t="s">
        <v>14</v>
      </c>
      <c r="B13" s="134" t="s">
        <v>16</v>
      </c>
      <c r="C13" s="134" t="s">
        <v>71</v>
      </c>
      <c r="D13" s="134">
        <v>2021</v>
      </c>
      <c r="E13" s="135">
        <v>19500</v>
      </c>
      <c r="F13" s="136">
        <v>44424</v>
      </c>
      <c r="G13" s="136">
        <v>44695</v>
      </c>
      <c r="H13" s="136">
        <v>44424</v>
      </c>
      <c r="I13" s="136">
        <v>44787</v>
      </c>
    </row>
    <row r="14" spans="1:14" x14ac:dyDescent="0.3">
      <c r="A14" s="140" t="s">
        <v>60</v>
      </c>
      <c r="B14" s="140" t="s">
        <v>16</v>
      </c>
      <c r="C14" s="140" t="s">
        <v>71</v>
      </c>
      <c r="D14" s="140">
        <v>2022</v>
      </c>
      <c r="E14" s="141">
        <v>20500</v>
      </c>
      <c r="F14" s="142">
        <v>44788</v>
      </c>
      <c r="G14" s="142">
        <v>45058</v>
      </c>
      <c r="H14" s="142">
        <v>44788</v>
      </c>
      <c r="I14" s="142">
        <v>45151</v>
      </c>
    </row>
    <row r="15" spans="1:14" x14ac:dyDescent="0.3">
      <c r="A15" s="140" t="s">
        <v>53</v>
      </c>
      <c r="B15" s="140" t="s">
        <v>16</v>
      </c>
      <c r="C15" s="140" t="s">
        <v>71</v>
      </c>
      <c r="D15" s="140">
        <v>2022</v>
      </c>
      <c r="E15" s="141">
        <v>20500</v>
      </c>
      <c r="F15" s="142">
        <v>44788</v>
      </c>
      <c r="G15" s="142">
        <v>45058</v>
      </c>
      <c r="H15" s="142">
        <v>44788</v>
      </c>
      <c r="I15" s="142">
        <v>45151</v>
      </c>
    </row>
    <row r="16" spans="1:14" x14ac:dyDescent="0.3">
      <c r="A16" s="140" t="s">
        <v>14</v>
      </c>
      <c r="B16" s="140" t="s">
        <v>16</v>
      </c>
      <c r="C16" s="140" t="s">
        <v>71</v>
      </c>
      <c r="D16" s="140">
        <v>2022</v>
      </c>
      <c r="E16" s="141">
        <v>20500</v>
      </c>
      <c r="F16" s="142">
        <v>44788</v>
      </c>
      <c r="G16" s="142">
        <v>45059</v>
      </c>
      <c r="H16" s="142">
        <v>44788</v>
      </c>
      <c r="I16" s="142">
        <v>45150</v>
      </c>
    </row>
    <row r="17" spans="1:14" x14ac:dyDescent="0.3">
      <c r="A17" s="154" t="s">
        <v>60</v>
      </c>
      <c r="B17" s="154" t="s">
        <v>16</v>
      </c>
      <c r="C17" s="154" t="s">
        <v>71</v>
      </c>
      <c r="D17" s="154">
        <v>2023</v>
      </c>
      <c r="E17" s="155">
        <v>22500</v>
      </c>
      <c r="F17" s="156">
        <v>45159</v>
      </c>
      <c r="G17" s="156">
        <v>45422</v>
      </c>
      <c r="H17" s="156">
        <v>45159</v>
      </c>
      <c r="I17" s="156">
        <v>45522</v>
      </c>
      <c r="L17" s="289">
        <v>167150</v>
      </c>
    </row>
    <row r="18" spans="1:14" x14ac:dyDescent="0.3">
      <c r="A18" s="154" t="s">
        <v>53</v>
      </c>
      <c r="B18" s="154" t="s">
        <v>16</v>
      </c>
      <c r="C18" s="154" t="s">
        <v>71</v>
      </c>
      <c r="D18" s="154">
        <v>2023</v>
      </c>
      <c r="E18" s="155">
        <v>22500</v>
      </c>
      <c r="F18" s="156">
        <v>45152</v>
      </c>
      <c r="G18" s="156">
        <v>45422</v>
      </c>
      <c r="H18" s="156">
        <v>45152</v>
      </c>
      <c r="I18" s="156">
        <v>45513</v>
      </c>
      <c r="L18" s="289">
        <v>175570</v>
      </c>
    </row>
    <row r="19" spans="1:14" x14ac:dyDescent="0.3">
      <c r="A19" s="154" t="s">
        <v>14</v>
      </c>
      <c r="B19" s="154" t="s">
        <v>16</v>
      </c>
      <c r="C19" s="154" t="s">
        <v>71</v>
      </c>
      <c r="D19" s="154">
        <v>2023</v>
      </c>
      <c r="E19" s="155">
        <v>22500</v>
      </c>
      <c r="F19" s="156">
        <v>45152</v>
      </c>
      <c r="G19" s="156">
        <v>45423</v>
      </c>
      <c r="H19" s="156">
        <v>45152</v>
      </c>
      <c r="I19" s="156">
        <v>45514</v>
      </c>
      <c r="K19" s="282"/>
      <c r="L19" s="290">
        <v>175570</v>
      </c>
    </row>
    <row r="20" spans="1:14" x14ac:dyDescent="0.3">
      <c r="A20" s="157" t="s">
        <v>60</v>
      </c>
      <c r="B20" s="157" t="s">
        <v>16</v>
      </c>
      <c r="C20" s="157" t="s">
        <v>71</v>
      </c>
      <c r="D20" s="157">
        <v>2024</v>
      </c>
      <c r="E20" s="158">
        <v>23000</v>
      </c>
      <c r="F20" s="159">
        <v>45523</v>
      </c>
      <c r="G20" s="159">
        <v>45786</v>
      </c>
      <c r="H20" s="159">
        <v>45523</v>
      </c>
      <c r="I20" s="162">
        <v>45884</v>
      </c>
      <c r="J20" s="1" t="s">
        <v>127</v>
      </c>
      <c r="L20" s="289">
        <v>169250</v>
      </c>
      <c r="N20" s="289">
        <f>L20-L17</f>
        <v>2100</v>
      </c>
    </row>
    <row r="21" spans="1:14" x14ac:dyDescent="0.3">
      <c r="A21" s="157" t="s">
        <v>53</v>
      </c>
      <c r="B21" s="157" t="s">
        <v>16</v>
      </c>
      <c r="C21" s="157" t="s">
        <v>71</v>
      </c>
      <c r="D21" s="157">
        <v>2024</v>
      </c>
      <c r="E21" s="158">
        <v>23000</v>
      </c>
      <c r="F21" s="159">
        <v>45516</v>
      </c>
      <c r="G21" s="159">
        <v>45793</v>
      </c>
      <c r="H21" s="159">
        <v>45516</v>
      </c>
      <c r="I21" s="159">
        <v>45877</v>
      </c>
      <c r="J21" s="1" t="s">
        <v>127</v>
      </c>
      <c r="L21" s="289">
        <v>197965</v>
      </c>
      <c r="N21" s="289">
        <f t="shared" ref="N21:N28" si="0">L21-L18</f>
        <v>22395</v>
      </c>
    </row>
    <row r="22" spans="1:14" x14ac:dyDescent="0.3">
      <c r="A22" s="157" t="s">
        <v>14</v>
      </c>
      <c r="B22" s="157" t="s">
        <v>16</v>
      </c>
      <c r="C22" s="157" t="s">
        <v>71</v>
      </c>
      <c r="D22" s="157">
        <v>2024</v>
      </c>
      <c r="E22" s="158">
        <v>23000</v>
      </c>
      <c r="F22" s="159">
        <v>45523</v>
      </c>
      <c r="G22" s="159">
        <v>45794</v>
      </c>
      <c r="H22" s="159">
        <v>45523</v>
      </c>
      <c r="I22" s="162">
        <v>45885</v>
      </c>
      <c r="J22" s="1" t="s">
        <v>127</v>
      </c>
      <c r="L22" s="289">
        <v>186885</v>
      </c>
      <c r="N22" s="289">
        <f t="shared" si="0"/>
        <v>11315</v>
      </c>
    </row>
    <row r="23" spans="1:14" x14ac:dyDescent="0.3">
      <c r="A23" s="163" t="s">
        <v>60</v>
      </c>
      <c r="B23" s="163" t="s">
        <v>16</v>
      </c>
      <c r="C23" s="163" t="s">
        <v>71</v>
      </c>
      <c r="D23" s="163">
        <v>2025</v>
      </c>
      <c r="E23" s="164">
        <v>23500</v>
      </c>
      <c r="F23" s="165">
        <v>45883</v>
      </c>
      <c r="G23" s="165">
        <v>46148</v>
      </c>
      <c r="H23" s="165">
        <v>45883</v>
      </c>
      <c r="I23" s="166">
        <v>46246</v>
      </c>
      <c r="J23" s="1" t="s">
        <v>127</v>
      </c>
      <c r="K23" s="1" t="s">
        <v>126</v>
      </c>
      <c r="L23" s="289">
        <v>168735</v>
      </c>
      <c r="M23" s="1" t="s">
        <v>135</v>
      </c>
      <c r="N23" s="289">
        <f t="shared" si="0"/>
        <v>-515</v>
      </c>
    </row>
    <row r="24" spans="1:14" x14ac:dyDescent="0.3">
      <c r="A24" s="163" t="s">
        <v>53</v>
      </c>
      <c r="B24" s="163" t="s">
        <v>16</v>
      </c>
      <c r="C24" s="163" t="s">
        <v>71</v>
      </c>
      <c r="D24" s="163">
        <v>2025</v>
      </c>
      <c r="E24" s="164">
        <v>23500</v>
      </c>
      <c r="F24" s="165">
        <v>45880</v>
      </c>
      <c r="G24" s="165">
        <v>46157</v>
      </c>
      <c r="H24" s="165">
        <v>45880</v>
      </c>
      <c r="I24" s="165">
        <v>46241</v>
      </c>
      <c r="J24" s="1" t="s">
        <v>127</v>
      </c>
      <c r="K24" s="1" t="s">
        <v>126</v>
      </c>
      <c r="L24" s="289">
        <v>202780</v>
      </c>
      <c r="N24" s="289">
        <f t="shared" si="0"/>
        <v>4815</v>
      </c>
    </row>
    <row r="25" spans="1:14" x14ac:dyDescent="0.3">
      <c r="A25" s="163" t="s">
        <v>14</v>
      </c>
      <c r="B25" s="163" t="s">
        <v>16</v>
      </c>
      <c r="C25" s="163" t="s">
        <v>71</v>
      </c>
      <c r="D25" s="163">
        <v>2025</v>
      </c>
      <c r="E25" s="164">
        <v>23500</v>
      </c>
      <c r="F25" s="165">
        <v>45887</v>
      </c>
      <c r="G25" s="165">
        <v>46158</v>
      </c>
      <c r="H25" s="165">
        <v>45887</v>
      </c>
      <c r="I25" s="166">
        <v>46249</v>
      </c>
      <c r="J25" s="1" t="s">
        <v>127</v>
      </c>
      <c r="K25" s="1" t="s">
        <v>126</v>
      </c>
      <c r="L25" s="289">
        <v>191280</v>
      </c>
      <c r="N25" s="289">
        <f t="shared" si="0"/>
        <v>4395</v>
      </c>
    </row>
    <row r="26" spans="1:14" x14ac:dyDescent="0.3">
      <c r="A26" s="283" t="s">
        <v>60</v>
      </c>
      <c r="B26" s="283" t="s">
        <v>16</v>
      </c>
      <c r="C26" s="283" t="s">
        <v>71</v>
      </c>
      <c r="D26" s="283">
        <v>2026</v>
      </c>
      <c r="E26" s="284">
        <v>24500</v>
      </c>
      <c r="F26" s="285">
        <v>46247</v>
      </c>
      <c r="G26" s="285">
        <v>46513</v>
      </c>
      <c r="H26" s="285">
        <v>46247</v>
      </c>
      <c r="I26" s="286">
        <v>46610</v>
      </c>
      <c r="J26" s="1" t="s">
        <v>127</v>
      </c>
      <c r="K26" s="1" t="s">
        <v>126</v>
      </c>
      <c r="L26" s="289">
        <v>176450</v>
      </c>
      <c r="N26" s="289">
        <f t="shared" si="0"/>
        <v>7715</v>
      </c>
    </row>
    <row r="27" spans="1:14" x14ac:dyDescent="0.3">
      <c r="A27" s="283" t="s">
        <v>53</v>
      </c>
      <c r="B27" s="283" t="s">
        <v>16</v>
      </c>
      <c r="C27" s="283" t="s">
        <v>71</v>
      </c>
      <c r="D27" s="283">
        <v>2026</v>
      </c>
      <c r="E27" s="284">
        <v>24500</v>
      </c>
      <c r="F27" s="285">
        <v>46244</v>
      </c>
      <c r="G27" s="285">
        <v>46521</v>
      </c>
      <c r="H27" s="285">
        <v>46244</v>
      </c>
      <c r="I27" s="285">
        <v>46605</v>
      </c>
      <c r="J27" s="1" t="s">
        <v>127</v>
      </c>
      <c r="K27" s="1" t="s">
        <v>126</v>
      </c>
      <c r="L27" s="289">
        <v>207130</v>
      </c>
      <c r="N27" s="289">
        <f t="shared" si="0"/>
        <v>4350</v>
      </c>
    </row>
    <row r="28" spans="1:14" x14ac:dyDescent="0.3">
      <c r="A28" s="283" t="s">
        <v>14</v>
      </c>
      <c r="B28" s="283" t="s">
        <v>16</v>
      </c>
      <c r="C28" s="283" t="s">
        <v>71</v>
      </c>
      <c r="D28" s="283">
        <v>2026</v>
      </c>
      <c r="E28" s="284">
        <v>24500</v>
      </c>
      <c r="F28" s="285">
        <v>46251</v>
      </c>
      <c r="G28" s="285">
        <v>46522</v>
      </c>
      <c r="H28" s="285">
        <v>46251</v>
      </c>
      <c r="I28" s="286">
        <v>46613</v>
      </c>
      <c r="J28" s="1" t="s">
        <v>127</v>
      </c>
      <c r="K28" s="1" t="s">
        <v>126</v>
      </c>
      <c r="L28" s="289">
        <v>196025</v>
      </c>
      <c r="N28" s="289">
        <f t="shared" si="0"/>
        <v>4745</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CFE99-DF2A-41F8-A167-768A15659D40}">
  <sheetPr codeName="Sheet9"/>
  <dimension ref="A1:K13"/>
  <sheetViews>
    <sheetView workbookViewId="0">
      <selection activeCell="F19" sqref="F19"/>
    </sheetView>
  </sheetViews>
  <sheetFormatPr defaultRowHeight="14.4" x14ac:dyDescent="0.3"/>
  <cols>
    <col min="1" max="1" width="12.109375" bestFit="1" customWidth="1"/>
    <col min="2" max="2" width="15.109375" bestFit="1" customWidth="1"/>
    <col min="3" max="3" width="16.44140625" bestFit="1" customWidth="1"/>
    <col min="4" max="4" width="8" bestFit="1" customWidth="1"/>
    <col min="5" max="5" width="18.21875" bestFit="1" customWidth="1"/>
    <col min="6" max="6" width="22.33203125" bestFit="1" customWidth="1"/>
    <col min="7" max="7" width="17.88671875" bestFit="1" customWidth="1"/>
    <col min="8" max="8" width="16.33203125" bestFit="1" customWidth="1"/>
    <col min="9" max="9" width="18.21875" bestFit="1" customWidth="1"/>
    <col min="10" max="10" width="16.6640625" bestFit="1" customWidth="1"/>
    <col min="11" max="11" width="18.33203125" bestFit="1" customWidth="1"/>
  </cols>
  <sheetData>
    <row r="1" spans="1:11" x14ac:dyDescent="0.3">
      <c r="A1" s="266" t="s">
        <v>62</v>
      </c>
      <c r="B1" s="267" t="s">
        <v>63</v>
      </c>
      <c r="C1" s="267" t="s">
        <v>64</v>
      </c>
      <c r="D1" s="267" t="s">
        <v>65</v>
      </c>
      <c r="E1" s="268" t="s">
        <v>125</v>
      </c>
      <c r="F1" s="268" t="s">
        <v>132</v>
      </c>
      <c r="G1" s="267" t="s">
        <v>67</v>
      </c>
      <c r="H1" s="267" t="s">
        <v>68</v>
      </c>
      <c r="I1" s="267" t="s">
        <v>69</v>
      </c>
      <c r="J1" s="269" t="s">
        <v>70</v>
      </c>
      <c r="K1" s="288" t="s">
        <v>137</v>
      </c>
    </row>
    <row r="2" spans="1:11" x14ac:dyDescent="0.3">
      <c r="A2" s="270" t="s">
        <v>129</v>
      </c>
      <c r="B2" s="271" t="s">
        <v>16</v>
      </c>
      <c r="C2" s="271" t="s">
        <v>124</v>
      </c>
      <c r="D2" s="271">
        <v>2025</v>
      </c>
      <c r="E2" s="272" t="s">
        <v>126</v>
      </c>
      <c r="F2" s="272">
        <v>168735</v>
      </c>
      <c r="G2" s="273">
        <v>45883</v>
      </c>
      <c r="H2" s="273">
        <v>46148</v>
      </c>
      <c r="I2" s="273">
        <v>45883</v>
      </c>
      <c r="J2" s="274">
        <v>46148</v>
      </c>
    </row>
    <row r="3" spans="1:11" x14ac:dyDescent="0.3">
      <c r="A3" s="276" t="s">
        <v>129</v>
      </c>
      <c r="B3" s="277" t="s">
        <v>16</v>
      </c>
      <c r="C3" s="277" t="s">
        <v>71</v>
      </c>
      <c r="D3" s="277">
        <v>2025</v>
      </c>
      <c r="E3" s="272" t="s">
        <v>128</v>
      </c>
      <c r="F3" s="278">
        <v>168735</v>
      </c>
      <c r="G3" s="279">
        <v>45883</v>
      </c>
      <c r="H3" s="279">
        <v>46148</v>
      </c>
      <c r="I3" s="279">
        <v>45883</v>
      </c>
      <c r="J3" s="280">
        <v>46246</v>
      </c>
    </row>
    <row r="4" spans="1:11" x14ac:dyDescent="0.3">
      <c r="A4" s="270" t="s">
        <v>130</v>
      </c>
      <c r="B4" s="271" t="s">
        <v>16</v>
      </c>
      <c r="C4" s="271" t="s">
        <v>124</v>
      </c>
      <c r="D4" s="271">
        <v>2025</v>
      </c>
      <c r="E4" s="272" t="s">
        <v>126</v>
      </c>
      <c r="F4" s="272">
        <v>202780</v>
      </c>
      <c r="G4" s="273">
        <v>45880</v>
      </c>
      <c r="H4" s="273">
        <v>46157</v>
      </c>
      <c r="I4" s="273">
        <v>45880</v>
      </c>
      <c r="J4" s="275">
        <v>46157</v>
      </c>
    </row>
    <row r="5" spans="1:11" x14ac:dyDescent="0.3">
      <c r="A5" s="276" t="s">
        <v>130</v>
      </c>
      <c r="B5" s="277" t="s">
        <v>16</v>
      </c>
      <c r="C5" s="277" t="s">
        <v>71</v>
      </c>
      <c r="D5" s="277">
        <v>2025</v>
      </c>
      <c r="E5" s="278" t="s">
        <v>127</v>
      </c>
      <c r="F5" s="278">
        <v>202780</v>
      </c>
      <c r="G5" s="279">
        <v>45880</v>
      </c>
      <c r="H5" s="279">
        <v>46157</v>
      </c>
      <c r="I5" s="279">
        <v>45880</v>
      </c>
      <c r="J5" s="281">
        <v>46241</v>
      </c>
    </row>
    <row r="6" spans="1:11" x14ac:dyDescent="0.3">
      <c r="A6" s="270" t="s">
        <v>131</v>
      </c>
      <c r="B6" s="271" t="s">
        <v>16</v>
      </c>
      <c r="C6" s="271" t="s">
        <v>124</v>
      </c>
      <c r="D6" s="271">
        <v>2025</v>
      </c>
      <c r="E6" s="272" t="s">
        <v>126</v>
      </c>
      <c r="F6" s="272">
        <v>191280</v>
      </c>
      <c r="G6" s="273">
        <v>45887</v>
      </c>
      <c r="H6" s="273">
        <v>46158</v>
      </c>
      <c r="I6" s="273">
        <v>45887</v>
      </c>
      <c r="J6" s="274">
        <v>46158</v>
      </c>
    </row>
    <row r="7" spans="1:11" x14ac:dyDescent="0.3">
      <c r="A7" s="276" t="s">
        <v>131</v>
      </c>
      <c r="B7" s="277" t="s">
        <v>16</v>
      </c>
      <c r="C7" s="277" t="s">
        <v>71</v>
      </c>
      <c r="D7" s="277">
        <v>2025</v>
      </c>
      <c r="E7" s="278" t="s">
        <v>127</v>
      </c>
      <c r="F7" s="278">
        <v>191280</v>
      </c>
      <c r="G7" s="279">
        <v>45887</v>
      </c>
      <c r="H7" s="279">
        <v>46158</v>
      </c>
      <c r="I7" s="279">
        <v>45887</v>
      </c>
      <c r="J7" s="280">
        <v>46249</v>
      </c>
    </row>
    <row r="8" spans="1:11" x14ac:dyDescent="0.3">
      <c r="A8" s="291" t="s">
        <v>129</v>
      </c>
      <c r="B8" s="292" t="s">
        <v>16</v>
      </c>
      <c r="C8" s="292" t="s">
        <v>124</v>
      </c>
      <c r="D8" s="292">
        <v>2026</v>
      </c>
      <c r="E8" s="293" t="s">
        <v>126</v>
      </c>
      <c r="F8" s="293">
        <v>176450</v>
      </c>
      <c r="G8" s="294">
        <v>46247</v>
      </c>
      <c r="H8" s="294">
        <v>46513</v>
      </c>
      <c r="I8" s="294">
        <v>46247</v>
      </c>
      <c r="J8" s="295">
        <v>46513</v>
      </c>
      <c r="K8" s="296" t="s">
        <v>136</v>
      </c>
    </row>
    <row r="9" spans="1:11" x14ac:dyDescent="0.3">
      <c r="A9" s="297" t="s">
        <v>129</v>
      </c>
      <c r="B9" s="298" t="s">
        <v>16</v>
      </c>
      <c r="C9" s="298" t="s">
        <v>71</v>
      </c>
      <c r="D9" s="298">
        <v>2026</v>
      </c>
      <c r="E9" s="293" t="s">
        <v>128</v>
      </c>
      <c r="F9" s="299">
        <v>176450</v>
      </c>
      <c r="G9" s="300">
        <v>46247</v>
      </c>
      <c r="H9" s="300">
        <v>46513</v>
      </c>
      <c r="I9" s="300">
        <v>46247</v>
      </c>
      <c r="J9" s="301">
        <v>46610</v>
      </c>
      <c r="K9" s="302" t="s">
        <v>136</v>
      </c>
    </row>
    <row r="10" spans="1:11" x14ac:dyDescent="0.3">
      <c r="A10" s="291" t="s">
        <v>130</v>
      </c>
      <c r="B10" s="292" t="s">
        <v>16</v>
      </c>
      <c r="C10" s="292" t="s">
        <v>124</v>
      </c>
      <c r="D10" s="292">
        <v>2026</v>
      </c>
      <c r="E10" s="293" t="s">
        <v>126</v>
      </c>
      <c r="F10" s="293">
        <v>202780</v>
      </c>
      <c r="G10" s="294">
        <v>46245</v>
      </c>
      <c r="H10" s="294">
        <v>46522</v>
      </c>
      <c r="I10" s="294">
        <v>46245</v>
      </c>
      <c r="J10" s="303">
        <v>46522</v>
      </c>
      <c r="K10" s="296" t="s">
        <v>140</v>
      </c>
    </row>
    <row r="11" spans="1:11" x14ac:dyDescent="0.3">
      <c r="A11" s="297" t="s">
        <v>130</v>
      </c>
      <c r="B11" s="298" t="s">
        <v>16</v>
      </c>
      <c r="C11" s="298" t="s">
        <v>71</v>
      </c>
      <c r="D11" s="298">
        <v>2026</v>
      </c>
      <c r="E11" s="299" t="s">
        <v>127</v>
      </c>
      <c r="F11" s="299">
        <v>202780</v>
      </c>
      <c r="G11" s="300">
        <v>46245</v>
      </c>
      <c r="H11" s="300">
        <v>46522</v>
      </c>
      <c r="I11" s="300">
        <v>46245</v>
      </c>
      <c r="J11" s="304">
        <v>46606</v>
      </c>
      <c r="K11" s="302" t="s">
        <v>140</v>
      </c>
    </row>
    <row r="12" spans="1:11" x14ac:dyDescent="0.3">
      <c r="A12" s="291" t="s">
        <v>131</v>
      </c>
      <c r="B12" s="292" t="s">
        <v>16</v>
      </c>
      <c r="C12" s="292" t="s">
        <v>124</v>
      </c>
      <c r="D12" s="292">
        <v>2026</v>
      </c>
      <c r="E12" s="293" t="s">
        <v>126</v>
      </c>
      <c r="F12" s="293">
        <v>191280</v>
      </c>
      <c r="G12" s="294">
        <v>46252</v>
      </c>
      <c r="H12" s="294">
        <v>46523</v>
      </c>
      <c r="I12" s="294">
        <v>46252</v>
      </c>
      <c r="J12" s="295">
        <v>46523</v>
      </c>
      <c r="K12" s="296" t="s">
        <v>141</v>
      </c>
    </row>
    <row r="13" spans="1:11" x14ac:dyDescent="0.3">
      <c r="A13" s="297" t="s">
        <v>131</v>
      </c>
      <c r="B13" s="298" t="s">
        <v>16</v>
      </c>
      <c r="C13" s="298" t="s">
        <v>71</v>
      </c>
      <c r="D13" s="298">
        <v>2026</v>
      </c>
      <c r="E13" s="299" t="s">
        <v>127</v>
      </c>
      <c r="F13" s="299">
        <v>191280</v>
      </c>
      <c r="G13" s="300">
        <v>46252</v>
      </c>
      <c r="H13" s="300">
        <v>46523</v>
      </c>
      <c r="I13" s="300">
        <v>46252</v>
      </c>
      <c r="J13" s="301">
        <v>46614</v>
      </c>
      <c r="K13" s="302" t="s">
        <v>141</v>
      </c>
    </row>
  </sheetData>
  <autoFilter ref="A1:K13" xr:uid="{6A3CFE99-DF2A-41F8-A167-768A15659D4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73B9-9589-40EB-995B-C41BF715E524}">
  <sheetPr codeName="Sheet2">
    <pageSetUpPr fitToPage="1"/>
  </sheetPr>
  <dimension ref="B1:AC31"/>
  <sheetViews>
    <sheetView showGridLines="0" zoomScale="80" zoomScaleNormal="80" zoomScaleSheetLayoutView="100" workbookViewId="0">
      <selection activeCell="C15" sqref="C15"/>
    </sheetView>
  </sheetViews>
  <sheetFormatPr defaultColWidth="9.109375" defaultRowHeight="15.6" x14ac:dyDescent="0.3"/>
  <cols>
    <col min="1" max="1" width="3.44140625" style="81" customWidth="1"/>
    <col min="2" max="2" width="34.88671875" style="81" customWidth="1"/>
    <col min="3" max="3" width="16.44140625" style="81" bestFit="1" customWidth="1"/>
    <col min="4" max="4" width="11.5546875" style="81" customWidth="1"/>
    <col min="5" max="5" width="19.5546875" style="81" bestFit="1" customWidth="1"/>
    <col min="6" max="6" width="17.6640625" style="81" customWidth="1"/>
    <col min="7" max="7" width="2.5546875" style="81" customWidth="1"/>
    <col min="8" max="8" width="3.44140625" style="81" customWidth="1"/>
    <col min="9" max="13" width="19.88671875" style="81" customWidth="1"/>
    <col min="14" max="17" width="3.44140625" style="152" customWidth="1"/>
    <col min="18" max="19" width="9" style="152" customWidth="1"/>
    <col min="20" max="20" width="10.109375" style="152" bestFit="1" customWidth="1"/>
    <col min="21" max="21" width="9.109375" style="113" bestFit="1" customWidth="1"/>
    <col min="22" max="22" width="7" style="113" customWidth="1"/>
    <col min="23" max="23" width="3.6640625" style="113" customWidth="1"/>
    <col min="24" max="24" width="14.5546875" style="113" bestFit="1" customWidth="1"/>
    <col min="25" max="25" width="7.44140625" style="113" bestFit="1" customWidth="1"/>
    <col min="26" max="26" width="15.88671875" style="113" bestFit="1" customWidth="1"/>
    <col min="27" max="27" width="14.44140625" style="113" bestFit="1" customWidth="1"/>
    <col min="28" max="28" width="6.33203125" style="113" bestFit="1" customWidth="1"/>
    <col min="29" max="29" width="10.109375" style="81" bestFit="1" customWidth="1"/>
    <col min="30" max="30" width="8.6640625" style="81" bestFit="1" customWidth="1"/>
    <col min="31" max="32" width="9.109375" style="81"/>
    <col min="33" max="33" width="9.109375" style="81" customWidth="1"/>
    <col min="34" max="16384" width="9.109375" style="81"/>
  </cols>
  <sheetData>
    <row r="1" spans="2:29" x14ac:dyDescent="0.3">
      <c r="B1" s="261" t="s">
        <v>118</v>
      </c>
      <c r="C1" s="261"/>
      <c r="D1" s="264"/>
      <c r="E1" s="264"/>
      <c r="F1" s="264"/>
      <c r="G1" s="264"/>
    </row>
    <row r="2" spans="2:29" ht="21" x14ac:dyDescent="0.4">
      <c r="B2" s="305" t="s">
        <v>120</v>
      </c>
      <c r="C2" s="305"/>
      <c r="D2" s="305"/>
      <c r="E2" s="305"/>
      <c r="F2" s="305"/>
      <c r="G2" s="139"/>
      <c r="H2" s="110"/>
      <c r="I2" s="308" t="s">
        <v>1</v>
      </c>
      <c r="J2" s="308"/>
      <c r="K2" s="308"/>
      <c r="L2" s="308"/>
      <c r="M2" s="308"/>
    </row>
    <row r="3" spans="2:29" ht="18" customHeight="1" x14ac:dyDescent="0.35">
      <c r="B3" s="343" t="s">
        <v>121</v>
      </c>
      <c r="C3" s="344"/>
      <c r="D3" s="344"/>
      <c r="E3" s="344"/>
      <c r="F3" s="344"/>
      <c r="G3" s="220"/>
      <c r="H3" s="83"/>
      <c r="I3" s="246" t="s">
        <v>3</v>
      </c>
      <c r="J3" s="247" t="s">
        <v>4</v>
      </c>
      <c r="K3" s="247" t="s">
        <v>5</v>
      </c>
      <c r="L3" s="247" t="s">
        <v>6</v>
      </c>
      <c r="M3" s="248" t="s">
        <v>7</v>
      </c>
    </row>
    <row r="4" spans="2:29" ht="18" x14ac:dyDescent="0.35">
      <c r="B4" s="345"/>
      <c r="C4" s="346"/>
      <c r="D4" s="346"/>
      <c r="E4" s="346"/>
      <c r="F4" s="346"/>
      <c r="G4" s="219"/>
      <c r="H4" s="83"/>
      <c r="I4" s="249"/>
      <c r="J4" s="250"/>
      <c r="K4" s="250"/>
      <c r="L4" s="250"/>
      <c r="M4" s="251"/>
    </row>
    <row r="5" spans="2:29" ht="18" x14ac:dyDescent="0.35">
      <c r="B5" s="345"/>
      <c r="C5" s="346"/>
      <c r="D5" s="346"/>
      <c r="E5" s="346"/>
      <c r="F5" s="346"/>
      <c r="G5" s="219"/>
      <c r="H5" s="99"/>
      <c r="I5" s="213" t="s">
        <v>8</v>
      </c>
      <c r="J5" s="214" t="str">
        <f>TEXT(DATE(YEAR($C$10),MONTH($C$10),DAY($C$10)),"mmmm")</f>
        <v>January</v>
      </c>
      <c r="K5" s="215">
        <f>IF(U7&gt;0,AA15,IF($C$13-SUM($K$4:K4)-$AA$16&lt;0,$C$13-SUM($K$4:K4),$AA$16))</f>
        <v>174.89659987476517</v>
      </c>
      <c r="L5" s="215">
        <f t="shared" ref="L5:L16" si="0">M5-K5</f>
        <v>0</v>
      </c>
      <c r="M5" s="216">
        <f>IF(U7&gt;0,AA28,IF($C$14-SUM($M$4:M4)-$AA$29&lt;0,$C$14-SUM($M4:M$5),$AA$29))</f>
        <v>174.89659987476517</v>
      </c>
      <c r="N5" s="153"/>
      <c r="O5" s="153"/>
      <c r="P5" s="153"/>
      <c r="Q5" s="153"/>
      <c r="S5" s="160"/>
      <c r="T5" s="160"/>
    </row>
    <row r="6" spans="2:29" ht="18" x14ac:dyDescent="0.35">
      <c r="B6" s="345"/>
      <c r="C6" s="346"/>
      <c r="D6" s="346"/>
      <c r="E6" s="346"/>
      <c r="F6" s="346"/>
      <c r="G6" s="219"/>
      <c r="H6" s="99"/>
      <c r="I6" s="252" t="s">
        <v>9</v>
      </c>
      <c r="J6" s="253" t="str">
        <f>TEXT(DATE(YEAR($C$10),MONTH($C$10)+1,DAY($C$10)),"mmmm")</f>
        <v>February</v>
      </c>
      <c r="K6" s="254">
        <f>IF($C$13-SUM($K$4:K5)-$AA$16&lt;0,$C$13-SUM($K$4:K5),$AA$16)</f>
        <v>427.52502191609267</v>
      </c>
      <c r="L6" s="254">
        <f t="shared" si="0"/>
        <v>0</v>
      </c>
      <c r="M6" s="255">
        <f>IF($C$14-SUM($M$4:M5)-$AA$29&lt;0,$C$14-SUM($M$5:M5),$AA$29)</f>
        <v>427.52502191609267</v>
      </c>
      <c r="N6" s="153"/>
      <c r="O6" s="153"/>
      <c r="P6" s="153"/>
      <c r="Q6" s="153"/>
      <c r="S6" s="160"/>
      <c r="T6" s="160"/>
      <c r="U6" s="168"/>
      <c r="V6" s="168"/>
      <c r="W6" s="168"/>
      <c r="X6" s="168"/>
      <c r="Y6" s="168"/>
      <c r="Z6" s="168"/>
    </row>
    <row r="7" spans="2:29" ht="18.600000000000001" thickBot="1" x14ac:dyDescent="0.4">
      <c r="B7" s="244"/>
      <c r="C7" s="222"/>
      <c r="D7" s="222"/>
      <c r="E7" s="222"/>
      <c r="F7" s="222"/>
      <c r="G7" s="221"/>
      <c r="H7" s="99"/>
      <c r="I7" s="213" t="s">
        <v>10</v>
      </c>
      <c r="J7" s="214" t="str">
        <f>TEXT(DATE(YEAR($C$10),MONTH($C$10)+2,DAY($C$10)),"mmmm")</f>
        <v>March</v>
      </c>
      <c r="K7" s="215">
        <f>IF($C$13-SUM($K$4:K6)-$AA$16&lt;0,$C$13-SUM($K$4:K6),$AA$16)</f>
        <v>427.52502191609267</v>
      </c>
      <c r="L7" s="215">
        <f t="shared" si="0"/>
        <v>0</v>
      </c>
      <c r="M7" s="216">
        <f>IF($C$14-SUM($M$4:M6)-$AA$29&lt;0,$C$14-SUM($M$5:M6),$AA$29)</f>
        <v>427.52502191609267</v>
      </c>
      <c r="N7" s="153"/>
      <c r="O7" s="153"/>
      <c r="P7" s="153"/>
      <c r="Q7" s="153"/>
      <c r="S7" s="160"/>
      <c r="T7" s="160"/>
      <c r="U7" s="169">
        <f>IF(ISBLANK(C10)," ",IF(NETWORKDAYS(C10,EOMONTH(C10,0))&gt;=W7,0,NETWORKDAYS(C10,EOMONTH(C10,0))))</f>
        <v>9</v>
      </c>
      <c r="V7" s="168" t="s">
        <v>11</v>
      </c>
      <c r="W7" s="170">
        <f>IF(ISBLANK(C10)," ",NETWORKDAYS(DATE(YEAR(C10),MONTH(C10),1),DATE(YEAR(C10),MONTH(C10),DAY(EOMONTH(C10,0)))))</f>
        <v>22</v>
      </c>
      <c r="X7" s="168" t="s">
        <v>12</v>
      </c>
      <c r="Y7" s="168" t="str">
        <f>TEXT(DATE(YEAR(C10),MONTH(C10),DAY(C10)),"mmmm")</f>
        <v>January</v>
      </c>
      <c r="Z7" s="168">
        <f>YEAR(C10)</f>
        <v>2026</v>
      </c>
    </row>
    <row r="8" spans="2:29" ht="18.600000000000001" thickBot="1" x14ac:dyDescent="0.4">
      <c r="B8" s="239" t="s">
        <v>13</v>
      </c>
      <c r="C8" s="205" t="s">
        <v>60</v>
      </c>
      <c r="D8" s="223"/>
      <c r="E8" s="224" t="s">
        <v>15</v>
      </c>
      <c r="F8" s="225" t="s">
        <v>16</v>
      </c>
      <c r="G8" s="226"/>
      <c r="H8" s="99"/>
      <c r="I8" s="252" t="s">
        <v>17</v>
      </c>
      <c r="J8" s="253" t="str">
        <f>TEXT(DATE(YEAR($C$10),MONTH($C$10)+3,DAY($C$10)),"mmmm")</f>
        <v>April</v>
      </c>
      <c r="K8" s="254">
        <f>IF($C$13-SUM($K$4:K7)-$AA$16&lt;0,$C$13-SUM($K$4:K7),$AA$16)</f>
        <v>427.52502191609267</v>
      </c>
      <c r="L8" s="254">
        <f t="shared" si="0"/>
        <v>0</v>
      </c>
      <c r="M8" s="255">
        <f>IF($C$14-SUM($M$4:M7)-$AA$29&lt;0,$C$14-SUM($M$5:M7),$AA$29)</f>
        <v>427.52502191609267</v>
      </c>
      <c r="N8" s="153"/>
      <c r="O8" s="153"/>
      <c r="P8" s="153"/>
      <c r="Q8" s="153"/>
      <c r="S8" s="160"/>
      <c r="T8" s="160"/>
      <c r="U8" s="169">
        <f>DATEDIF(C10,DATE(YEAR(C10),12,31)+1,"m")</f>
        <v>11</v>
      </c>
      <c r="V8" s="168" t="s">
        <v>11</v>
      </c>
      <c r="W8" s="170">
        <f>IF(DAY(C10)=1,DATEDIF(C10,F10+1,"m"),DATEDIF(C10,F10,"m")-IF(AND(C8="Denver",F13=2024),1,0)-IF(AND(C8="Denver",F13=2025),1,0))</f>
        <v>3</v>
      </c>
      <c r="X8" s="168" t="s">
        <v>18</v>
      </c>
      <c r="Y8" s="168" t="s">
        <v>19</v>
      </c>
      <c r="Z8" s="168">
        <f>YEAR(C10)</f>
        <v>2026</v>
      </c>
    </row>
    <row r="9" spans="2:29" ht="18.600000000000001" thickBot="1" x14ac:dyDescent="0.4">
      <c r="B9" s="239"/>
      <c r="C9" s="245"/>
      <c r="D9" s="237"/>
      <c r="E9" s="237"/>
      <c r="F9" s="237"/>
      <c r="G9" s="227"/>
      <c r="H9" s="99"/>
      <c r="I9" s="213" t="s">
        <v>21</v>
      </c>
      <c r="J9" s="214" t="str">
        <f>TEXT(DATE(YEAR($C$10),MONTH($C$10)+4,DAY($C$10)),"mmmm")</f>
        <v>May</v>
      </c>
      <c r="K9" s="215">
        <f>IF($C$13-SUM($K$4:K8)-$AA$16&lt;0,$C$13-SUM($K$4:K8),$AA$16)</f>
        <v>20.358334376956918</v>
      </c>
      <c r="L9" s="215">
        <f t="shared" si="0"/>
        <v>0</v>
      </c>
      <c r="M9" s="216">
        <f>IF($C$14-SUM($M$4:M8)-$AA$29&lt;0,$C$14-SUM($M$5:M8),$AA$29)</f>
        <v>20.358334376956918</v>
      </c>
      <c r="N9" s="153"/>
      <c r="O9" s="153"/>
      <c r="P9" s="153"/>
      <c r="Q9" s="153"/>
      <c r="S9" s="160"/>
      <c r="T9" s="160"/>
      <c r="U9" s="169">
        <f>DATEDIF(DATE(YEAR(F10),1,1),F10+1,"m")</f>
        <v>4</v>
      </c>
      <c r="V9" s="168" t="s">
        <v>11</v>
      </c>
      <c r="W9" s="170">
        <f>IF(DAY(C10)=1,DATEDIF(C10,F10+1,"m"),DATEDIF(C10,F10,"m")-IF(AND(C8="Denver",F13=2024),1,0)-IF(AND(C8="Denver",F13=2025),1,0))</f>
        <v>3</v>
      </c>
      <c r="X9" s="168" t="s">
        <v>18</v>
      </c>
      <c r="Y9" s="168" t="s">
        <v>19</v>
      </c>
      <c r="Z9" s="168">
        <f>YEAR(F10)</f>
        <v>2026</v>
      </c>
    </row>
    <row r="10" spans="2:29" ht="18.600000000000001" thickBot="1" x14ac:dyDescent="0.4">
      <c r="B10" s="239" t="s">
        <v>22</v>
      </c>
      <c r="C10" s="206">
        <v>46042</v>
      </c>
      <c r="D10" s="342" t="s">
        <v>23</v>
      </c>
      <c r="E10" s="342"/>
      <c r="F10" s="206">
        <v>46143</v>
      </c>
      <c r="G10" s="228"/>
      <c r="H10" s="99"/>
      <c r="I10" s="252" t="s">
        <v>24</v>
      </c>
      <c r="J10" s="253" t="str">
        <f>TEXT(DATE(YEAR($C$10),MONTH($C$10)+5,DAY($C$10)),"mmmm")</f>
        <v>June</v>
      </c>
      <c r="K10" s="254">
        <f>IF($C$13-SUM($K$4:K9)-$AA$16&lt;0,$C$13-SUM($K$4:K9),$AA$16)</f>
        <v>0</v>
      </c>
      <c r="L10" s="254">
        <f t="shared" si="0"/>
        <v>0</v>
      </c>
      <c r="M10" s="255">
        <f>IF($C$14-SUM($M$4:M9)-$AA$29&lt;0,$C$14-SUM($M$5:M9),$AA$29)</f>
        <v>0</v>
      </c>
      <c r="N10" s="153"/>
      <c r="O10" s="218"/>
      <c r="P10" s="218"/>
      <c r="Q10" s="153"/>
      <c r="S10" s="160"/>
      <c r="T10" s="160"/>
      <c r="U10" s="169">
        <f>IF(ISBLANK(F10)," ",IF(NETWORKDAYS(DATE(YEAR(F10),MONTH(F10),1),F10)&gt;=W10,0,NETWORKDAYS(DATE(YEAR(F10),MONTH(F10),1),F10)))</f>
        <v>1</v>
      </c>
      <c r="V10" s="168" t="s">
        <v>11</v>
      </c>
      <c r="W10" s="170">
        <f>IF(ISBLANK(F10)," ",NETWORKDAYS(DATE(YEAR(F10),MONTH(F10),1),DATE(YEAR(F10),MONTH(F10),DAY(EOMONTH(F10,0)))))</f>
        <v>21</v>
      </c>
      <c r="X10" s="168" t="s">
        <v>12</v>
      </c>
      <c r="Y10" s="168" t="str">
        <f>TEXT(DATE(YEAR(F10),MONTH(F10),DAY(F10)),"mmmm")</f>
        <v>May</v>
      </c>
      <c r="Z10" s="168">
        <f>YEAR(F10)</f>
        <v>2026</v>
      </c>
    </row>
    <row r="11" spans="2:29" ht="18.600000000000001" thickBot="1" x14ac:dyDescent="0.4">
      <c r="B11" s="239" t="s">
        <v>25</v>
      </c>
      <c r="C11" s="206">
        <v>46042</v>
      </c>
      <c r="D11" s="342" t="s">
        <v>26</v>
      </c>
      <c r="E11" s="342"/>
      <c r="F11" s="206">
        <v>46143</v>
      </c>
      <c r="G11" s="228"/>
      <c r="H11" s="99"/>
      <c r="I11" s="213" t="s">
        <v>27</v>
      </c>
      <c r="J11" s="214" t="str">
        <f>TEXT(DATE(YEAR($C$10),MONTH($C$10)+6,DAY($C$10)),"mmmm")</f>
        <v>July</v>
      </c>
      <c r="K11" s="215">
        <f>IF($C$13-SUM($K$4:K10)-$AA$16&lt;0,$C$13-SUM($K$4:K10),$AA$16)</f>
        <v>0</v>
      </c>
      <c r="L11" s="215">
        <f t="shared" si="0"/>
        <v>0</v>
      </c>
      <c r="M11" s="216">
        <f>IF($C$14-SUM($M$4:M10)-$AA$29&lt;0,$C$14-SUM($M$5:M10),$AA$29)</f>
        <v>0</v>
      </c>
      <c r="N11" s="153"/>
      <c r="O11" s="153"/>
      <c r="P11" s="153"/>
      <c r="Q11" s="153"/>
      <c r="S11" s="160"/>
      <c r="T11" s="160"/>
    </row>
    <row r="12" spans="2:29" ht="18.600000000000001" thickBot="1" x14ac:dyDescent="0.4">
      <c r="B12" s="243"/>
      <c r="C12" s="237"/>
      <c r="D12" s="237"/>
      <c r="E12" s="237"/>
      <c r="F12" s="237"/>
      <c r="G12" s="227"/>
      <c r="H12" s="99"/>
      <c r="I12" s="252" t="s">
        <v>28</v>
      </c>
      <c r="J12" s="253" t="str">
        <f>TEXT(DATE(YEAR($C$10),MONTH($C$10)+7,DAY($C$10)),"mmmm")</f>
        <v>August</v>
      </c>
      <c r="K12" s="254">
        <f>IF($C$13-SUM($K$4:K11)-$AA$16&lt;0,$C$13-SUM($K$4:K11),$AA$16)</f>
        <v>0</v>
      </c>
      <c r="L12" s="254">
        <f t="shared" si="0"/>
        <v>0</v>
      </c>
      <c r="M12" s="255">
        <f>IF($C$14-SUM($M$4:M11)-$AA$29&lt;0,$C$14-SUM($M$5:M11),$AA$29)</f>
        <v>0</v>
      </c>
      <c r="N12" s="153"/>
      <c r="O12" s="153"/>
      <c r="P12" s="153"/>
      <c r="Q12" s="153"/>
      <c r="S12" s="160"/>
      <c r="T12" s="160"/>
      <c r="U12" s="171"/>
      <c r="V12" s="171"/>
      <c r="W12" s="171"/>
      <c r="X12" s="172">
        <f>(U7/W7)+W8+U10/W10</f>
        <v>3.4567099567099566</v>
      </c>
    </row>
    <row r="13" spans="2:29" ht="18.600000000000001" thickBot="1" x14ac:dyDescent="0.4">
      <c r="B13" s="239" t="s">
        <v>74</v>
      </c>
      <c r="C13" s="212">
        <v>1477.83</v>
      </c>
      <c r="D13" s="236"/>
      <c r="E13" s="224" t="s">
        <v>30</v>
      </c>
      <c r="F13" s="207">
        <v>2025</v>
      </c>
      <c r="G13" s="229"/>
      <c r="H13" s="99"/>
      <c r="I13" s="213" t="s">
        <v>31</v>
      </c>
      <c r="J13" s="214" t="str">
        <f>TEXT(DATE(YEAR($C$10),MONTH($C$10)+8,DAY($C$10)),"mmmm")</f>
        <v>September</v>
      </c>
      <c r="K13" s="215">
        <f>IF($C$13-SUM($K$4:K12)-$AA$16&lt;0,$C$13-SUM($K$4:K12),$AA$16)</f>
        <v>0</v>
      </c>
      <c r="L13" s="217">
        <f t="shared" si="0"/>
        <v>0</v>
      </c>
      <c r="M13" s="216">
        <f>IF($C$14-SUM($M$4:M12)-$AA$29&lt;0,$C$14-SUM($M$5:M12),$AA$29)</f>
        <v>0</v>
      </c>
      <c r="N13" s="153"/>
      <c r="O13" s="153"/>
      <c r="P13" s="153"/>
      <c r="Q13" s="153"/>
      <c r="S13" s="160"/>
      <c r="U13" s="171"/>
      <c r="V13" s="171"/>
      <c r="W13" s="171"/>
      <c r="X13" s="173">
        <f>C13/X12</f>
        <v>427.52502191609267</v>
      </c>
    </row>
    <row r="14" spans="2:29" ht="18.600000000000001" thickBot="1" x14ac:dyDescent="0.4">
      <c r="B14" s="239" t="s">
        <v>73</v>
      </c>
      <c r="C14" s="211">
        <v>1477.83</v>
      </c>
      <c r="D14" s="236"/>
      <c r="E14" s="224" t="s">
        <v>32</v>
      </c>
      <c r="F14" s="225" t="str">
        <f>CONCATENATE(F13,"-",SUM(F13+1))</f>
        <v>2025-2026</v>
      </c>
      <c r="G14" s="226"/>
      <c r="H14" s="99"/>
      <c r="I14" s="252" t="s">
        <v>33</v>
      </c>
      <c r="J14" s="253" t="str">
        <f>TEXT(DATE(YEAR($C$10),MONTH($C$10)+9,DAY($C$10)),"mmmm")</f>
        <v>October</v>
      </c>
      <c r="K14" s="254">
        <f>IF($C$13-SUM($K$4:K13)-$AA$16&lt;0,$C$13-SUM($K$4:K13),$AA$16)</f>
        <v>0</v>
      </c>
      <c r="L14" s="256">
        <f t="shared" si="0"/>
        <v>0</v>
      </c>
      <c r="M14" s="255">
        <f>IF($C$14-SUM($M$4:M13)-$AA$29&lt;0,$C$14-SUM($M$5:M13),$AA$29)</f>
        <v>0</v>
      </c>
      <c r="N14" s="153"/>
      <c r="O14" s="153"/>
      <c r="P14" s="153"/>
      <c r="Q14" s="153"/>
      <c r="R14" s="153"/>
      <c r="T14" s="160"/>
      <c r="U14" s="174"/>
      <c r="V14" s="174"/>
      <c r="W14" s="175"/>
      <c r="X14" s="175"/>
    </row>
    <row r="15" spans="2:29" ht="18" x14ac:dyDescent="0.35">
      <c r="B15" s="240"/>
      <c r="C15" s="237"/>
      <c r="D15" s="236"/>
      <c r="E15" s="224"/>
      <c r="F15" s="225"/>
      <c r="G15" s="226"/>
      <c r="H15" s="99"/>
      <c r="I15" s="213" t="s">
        <v>36</v>
      </c>
      <c r="J15" s="214" t="str">
        <f>TEXT(DATE(YEAR($C$10),MONTH($C$10)+10,DAY($C$10)),"mmmm")</f>
        <v>November</v>
      </c>
      <c r="K15" s="215">
        <f>IF($C$13-SUM($K$4:K14)-$AA$16&lt;0,$C$13-SUM($K$4:K14),$AA$16)</f>
        <v>0</v>
      </c>
      <c r="L15" s="215">
        <f t="shared" si="0"/>
        <v>0</v>
      </c>
      <c r="M15" s="216">
        <f>IF($C$14-SUM($M$4:M14)-$AA$29&lt;0,$C$14-SUM($M$5:M14),$AA$29)</f>
        <v>0</v>
      </c>
      <c r="N15" s="153"/>
      <c r="O15" s="153"/>
      <c r="P15" s="153"/>
      <c r="Q15" s="153"/>
      <c r="R15" s="153"/>
      <c r="U15" s="171" t="s">
        <v>37</v>
      </c>
      <c r="V15" s="306" t="s">
        <v>38</v>
      </c>
      <c r="W15" s="306"/>
      <c r="X15" s="176">
        <f>U7</f>
        <v>9</v>
      </c>
      <c r="Y15" s="307" t="s">
        <v>39</v>
      </c>
      <c r="Z15" s="307"/>
      <c r="AA15" s="177">
        <f>X13*U7/W7</f>
        <v>174.89659987476517</v>
      </c>
      <c r="AB15" s="168"/>
      <c r="AC15" s="113"/>
    </row>
    <row r="16" spans="2:29" ht="18" x14ac:dyDescent="0.35">
      <c r="B16" s="239"/>
      <c r="C16" s="241"/>
      <c r="D16" s="342"/>
      <c r="E16" s="342"/>
      <c r="F16" s="235"/>
      <c r="G16" s="230"/>
      <c r="H16" s="99"/>
      <c r="I16" s="252" t="s">
        <v>41</v>
      </c>
      <c r="J16" s="253" t="str">
        <f>TEXT(DATE(YEAR($C$10),MONTH($C$10)+11,DAY($C$10)),"mmmm")</f>
        <v>December</v>
      </c>
      <c r="K16" s="254">
        <f>IF($C$13-SUM($K$4:K15)-$AA$16&lt;0,$C$13-SUM($K$4:K15),$AA$16)</f>
        <v>0</v>
      </c>
      <c r="L16" s="254">
        <f t="shared" si="0"/>
        <v>0</v>
      </c>
      <c r="M16" s="255">
        <f>IF($C$14-SUM($M$4:M15)-$AA$29&lt;0,$C$14-SUM($M$5:M15),$AA$29)</f>
        <v>0</v>
      </c>
      <c r="N16" s="153"/>
      <c r="O16" s="153"/>
      <c r="P16" s="153"/>
      <c r="Q16" s="153"/>
      <c r="R16" s="153"/>
      <c r="U16" s="171" t="s">
        <v>37</v>
      </c>
      <c r="V16" s="306" t="s">
        <v>42</v>
      </c>
      <c r="W16" s="306"/>
      <c r="X16" s="168">
        <f>W8</f>
        <v>3</v>
      </c>
      <c r="Y16" s="307" t="s">
        <v>43</v>
      </c>
      <c r="Z16" s="307"/>
      <c r="AA16" s="177">
        <f>X13</f>
        <v>427.52502191609267</v>
      </c>
      <c r="AB16" s="168"/>
      <c r="AC16" s="113"/>
    </row>
    <row r="17" spans="2:29" ht="18" x14ac:dyDescent="0.35">
      <c r="B17" s="239"/>
      <c r="C17" s="341"/>
      <c r="D17" s="341"/>
      <c r="E17" s="341"/>
      <c r="F17" s="341"/>
      <c r="G17" s="230"/>
      <c r="H17" s="99"/>
      <c r="I17" s="213" t="s">
        <v>44</v>
      </c>
      <c r="J17" s="214" t="str">
        <f>TEXT(DATE(YEAR($C$10),MONTH($C$10)+12,DAY($C$10)),"mmmm")</f>
        <v>January</v>
      </c>
      <c r="K17" s="215">
        <f>IF($C$13-SUM($K$4:K16)-$AA$16&lt;0,$C$13-SUM($K$4:K16),$AA$16)</f>
        <v>0</v>
      </c>
      <c r="L17" s="215">
        <f>M17-K16</f>
        <v>0</v>
      </c>
      <c r="M17" s="216">
        <f>IF($C$14-SUM($M$4:M16)-$AA$29&lt;0,$C$14-SUM($M$5:M16),$AA$29)</f>
        <v>0</v>
      </c>
      <c r="U17" s="171" t="s">
        <v>37</v>
      </c>
      <c r="V17" s="306" t="s">
        <v>45</v>
      </c>
      <c r="W17" s="306"/>
      <c r="X17" s="176">
        <f>U10</f>
        <v>1</v>
      </c>
      <c r="Y17" s="307" t="s">
        <v>39</v>
      </c>
      <c r="Z17" s="307"/>
      <c r="AA17" s="177">
        <f>X13*U10/W10</f>
        <v>20.358334376956794</v>
      </c>
      <c r="AB17" s="168"/>
      <c r="AC17" s="113"/>
    </row>
    <row r="18" spans="2:29" ht="30" customHeight="1" x14ac:dyDescent="0.35">
      <c r="B18" s="239"/>
      <c r="C18" s="225"/>
      <c r="D18" s="224"/>
      <c r="E18" s="238"/>
      <c r="F18" s="234"/>
      <c r="G18" s="231"/>
      <c r="H18" s="83"/>
      <c r="I18" s="257"/>
      <c r="J18" s="258" t="s">
        <v>46</v>
      </c>
      <c r="K18" s="259">
        <f>SUM(K5:K17)</f>
        <v>1477.83</v>
      </c>
      <c r="L18" s="259">
        <f>ABS(SUMIF(L5:L17,"&lt;0",L5:L17))</f>
        <v>0</v>
      </c>
      <c r="M18" s="260">
        <f>SUM(M5:M17)</f>
        <v>1477.83</v>
      </c>
      <c r="U18" s="171"/>
      <c r="V18" s="171"/>
      <c r="W18" s="178"/>
      <c r="AC18" s="113"/>
    </row>
    <row r="19" spans="2:29" ht="18" x14ac:dyDescent="0.35">
      <c r="B19" s="242"/>
      <c r="C19" s="233"/>
      <c r="D19" s="233"/>
      <c r="E19" s="233"/>
      <c r="F19" s="233"/>
      <c r="G19" s="232"/>
      <c r="H19" s="83"/>
      <c r="I19" s="182"/>
      <c r="J19" s="181"/>
      <c r="K19" s="180"/>
      <c r="L19" s="180"/>
      <c r="M19" s="180"/>
      <c r="U19" s="306" t="s">
        <v>47</v>
      </c>
      <c r="V19" s="306"/>
      <c r="W19" s="306"/>
      <c r="X19" s="306"/>
      <c r="Y19" s="306"/>
      <c r="Z19" s="306"/>
      <c r="AA19" s="306"/>
      <c r="AB19" s="306"/>
      <c r="AC19" s="113"/>
    </row>
    <row r="20" spans="2:29" ht="15.75" customHeight="1" x14ac:dyDescent="0.3">
      <c r="B20" s="80"/>
      <c r="C20" s="80"/>
      <c r="D20" s="80"/>
      <c r="E20" s="80"/>
      <c r="F20" s="80"/>
      <c r="G20" s="82"/>
      <c r="U20" s="171" t="s">
        <v>49</v>
      </c>
      <c r="V20" s="171" t="s">
        <v>50</v>
      </c>
      <c r="W20" s="169">
        <f>IF(ISBLANK(C11)," ",IF(NETWORKDAYS(C11,EOMONTH(C11,0))&gt;=Y20,0,NETWORKDAYS(C11,EOMONTH(C11,0))))</f>
        <v>9</v>
      </c>
      <c r="X20" s="168" t="s">
        <v>11</v>
      </c>
      <c r="Y20" s="170">
        <f>IF(ISBLANK(C11)," ",NETWORKDAYS(DATE(YEAR(C11),MONTH(C11),1),DATE(YEAR(C11),MONTH(C11),DAY(EOMONTH(C11,0)))))</f>
        <v>22</v>
      </c>
      <c r="Z20" s="168" t="s">
        <v>12</v>
      </c>
      <c r="AA20" s="168" t="str">
        <f>TEXT(DATE(YEAR(C11),MONTH(C11),DAY(C11)),"mmmm")</f>
        <v>January</v>
      </c>
      <c r="AB20" s="168">
        <f>YEAR(C11)</f>
        <v>2026</v>
      </c>
      <c r="AC20" s="113"/>
    </row>
    <row r="21" spans="2:29" ht="15.6" customHeight="1" x14ac:dyDescent="0.3">
      <c r="B21" s="332" t="s">
        <v>119</v>
      </c>
      <c r="C21" s="333"/>
      <c r="D21" s="333"/>
      <c r="E21" s="333"/>
      <c r="F21" s="333"/>
      <c r="G21" s="333"/>
      <c r="H21" s="333"/>
      <c r="I21" s="333"/>
      <c r="J21" s="333"/>
      <c r="K21" s="333"/>
      <c r="L21" s="333"/>
      <c r="M21" s="334"/>
      <c r="U21" s="171" t="s">
        <v>49</v>
      </c>
      <c r="V21" s="171" t="s">
        <v>43</v>
      </c>
      <c r="W21" s="169">
        <f>DATEDIF(C11,DATE(YEAR(C11),12,31)+1,"m")</f>
        <v>11</v>
      </c>
      <c r="X21" s="168" t="s">
        <v>11</v>
      </c>
      <c r="Y21" s="170">
        <f>IF(DAY(C11)=1,DATEDIF(C11,F11+1,"m"),DATEDIF(C11,F11,"m"))</f>
        <v>3</v>
      </c>
      <c r="Z21" s="168" t="s">
        <v>18</v>
      </c>
      <c r="AA21" s="168" t="s">
        <v>19</v>
      </c>
      <c r="AB21" s="168">
        <f>YEAR(C11)</f>
        <v>2026</v>
      </c>
      <c r="AC21" s="113"/>
    </row>
    <row r="22" spans="2:29" x14ac:dyDescent="0.3">
      <c r="B22" s="335"/>
      <c r="C22" s="336"/>
      <c r="D22" s="336"/>
      <c r="E22" s="336"/>
      <c r="F22" s="336"/>
      <c r="G22" s="336"/>
      <c r="H22" s="336"/>
      <c r="I22" s="336"/>
      <c r="J22" s="336"/>
      <c r="K22" s="336"/>
      <c r="L22" s="336"/>
      <c r="M22" s="337"/>
      <c r="N22" s="261" t="s">
        <v>118</v>
      </c>
      <c r="O22" s="261"/>
      <c r="P22" s="261"/>
      <c r="Q22" s="261"/>
      <c r="R22" s="261"/>
      <c r="S22" s="261"/>
      <c r="T22" s="261"/>
      <c r="U22" s="171" t="s">
        <v>49</v>
      </c>
      <c r="V22" s="171" t="s">
        <v>43</v>
      </c>
      <c r="W22" s="169">
        <f>DATEDIF(DATE(YEAR(F11),1,1),F11+1,"m")</f>
        <v>4</v>
      </c>
      <c r="X22" s="168" t="s">
        <v>11</v>
      </c>
      <c r="Y22" s="170">
        <f>IF(DAY(C11)=1,DATEDIF(C11,F11+1,"m"),DATEDIF(C11,F11,"m"))</f>
        <v>3</v>
      </c>
      <c r="Z22" s="168" t="s">
        <v>18</v>
      </c>
      <c r="AA22" s="168" t="s">
        <v>19</v>
      </c>
      <c r="AB22" s="168">
        <f>YEAR(F11)</f>
        <v>2026</v>
      </c>
      <c r="AC22" s="113"/>
    </row>
    <row r="23" spans="2:29" x14ac:dyDescent="0.3">
      <c r="B23" s="335"/>
      <c r="C23" s="336"/>
      <c r="D23" s="336"/>
      <c r="E23" s="336"/>
      <c r="F23" s="336"/>
      <c r="G23" s="336"/>
      <c r="H23" s="336"/>
      <c r="I23" s="336"/>
      <c r="J23" s="336"/>
      <c r="K23" s="336"/>
      <c r="L23" s="336"/>
      <c r="M23" s="337"/>
      <c r="U23" s="171" t="s">
        <v>49</v>
      </c>
      <c r="V23" s="171" t="s">
        <v>50</v>
      </c>
      <c r="W23" s="169">
        <f>IF(ISBLANK(F11)," ",IF(NETWORKDAYS(DATE(YEAR(F11),MONTH(F11),1),F11)&gt;=Y23,0,NETWORKDAYS(DATE(YEAR(F11),MONTH(F11),1),F11)))</f>
        <v>1</v>
      </c>
      <c r="X23" s="168" t="s">
        <v>11</v>
      </c>
      <c r="Y23" s="170">
        <f>IF(ISBLANK(F11)," ",NETWORKDAYS(DATE(YEAR(F11),MONTH(F11),1),DATE(YEAR(F11),MONTH(F11),DAY(EOMONTH(F11,0)))))</f>
        <v>21</v>
      </c>
      <c r="Z23" s="168" t="s">
        <v>12</v>
      </c>
      <c r="AA23" s="168" t="str">
        <f>TEXT(DATE(YEAR(F11),MONTH(F11),DAY(F11)),"mmmm")</f>
        <v>May</v>
      </c>
      <c r="AB23" s="168">
        <f>YEAR(F11)</f>
        <v>2026</v>
      </c>
      <c r="AC23" s="113"/>
    </row>
    <row r="24" spans="2:29" x14ac:dyDescent="0.3">
      <c r="B24" s="335"/>
      <c r="C24" s="336"/>
      <c r="D24" s="336"/>
      <c r="E24" s="336"/>
      <c r="F24" s="336"/>
      <c r="G24" s="336"/>
      <c r="H24" s="336"/>
      <c r="I24" s="336"/>
      <c r="J24" s="336"/>
      <c r="K24" s="336"/>
      <c r="L24" s="336"/>
      <c r="M24" s="337"/>
      <c r="AC24" s="113"/>
    </row>
    <row r="25" spans="2:29" x14ac:dyDescent="0.3">
      <c r="B25" s="335"/>
      <c r="C25" s="336"/>
      <c r="D25" s="336"/>
      <c r="E25" s="336"/>
      <c r="F25" s="336"/>
      <c r="G25" s="336"/>
      <c r="H25" s="336"/>
      <c r="I25" s="336"/>
      <c r="J25" s="336"/>
      <c r="K25" s="336"/>
      <c r="L25" s="336"/>
      <c r="M25" s="337"/>
      <c r="U25" s="307" t="s">
        <v>51</v>
      </c>
      <c r="V25" s="307"/>
      <c r="W25" s="307"/>
      <c r="X25" s="307"/>
      <c r="Y25" s="307"/>
      <c r="Z25" s="172">
        <f>(W20/Y20)+Y21+W23/Y23</f>
        <v>3.4567099567099566</v>
      </c>
      <c r="AC25" s="113"/>
    </row>
    <row r="26" spans="2:29" x14ac:dyDescent="0.3">
      <c r="B26" s="338"/>
      <c r="C26" s="339"/>
      <c r="D26" s="339"/>
      <c r="E26" s="339"/>
      <c r="F26" s="339"/>
      <c r="G26" s="339"/>
      <c r="H26" s="339"/>
      <c r="I26" s="339"/>
      <c r="J26" s="339"/>
      <c r="K26" s="339"/>
      <c r="L26" s="339"/>
      <c r="M26" s="340"/>
      <c r="U26" s="307" t="s">
        <v>52</v>
      </c>
      <c r="V26" s="307"/>
      <c r="W26" s="307"/>
      <c r="X26" s="307"/>
      <c r="Y26" s="307"/>
      <c r="Z26" s="173">
        <f>C14/Z25</f>
        <v>427.52502191609267</v>
      </c>
      <c r="AC26" s="113"/>
    </row>
    <row r="27" spans="2:29" x14ac:dyDescent="0.3">
      <c r="AC27" s="113"/>
    </row>
    <row r="28" spans="2:29" x14ac:dyDescent="0.3">
      <c r="U28" s="171" t="s">
        <v>49</v>
      </c>
      <c r="V28" s="306" t="s">
        <v>38</v>
      </c>
      <c r="W28" s="306"/>
      <c r="X28" s="176">
        <f>W20</f>
        <v>9</v>
      </c>
      <c r="Y28" s="307" t="s">
        <v>39</v>
      </c>
      <c r="Z28" s="307"/>
      <c r="AA28" s="177">
        <f>Z26*W20/Y20</f>
        <v>174.89659987476517</v>
      </c>
      <c r="AC28" s="113"/>
    </row>
    <row r="29" spans="2:29" x14ac:dyDescent="0.3">
      <c r="U29" s="171" t="s">
        <v>49</v>
      </c>
      <c r="V29" s="306" t="s">
        <v>42</v>
      </c>
      <c r="W29" s="306"/>
      <c r="X29" s="168">
        <f>Y21</f>
        <v>3</v>
      </c>
      <c r="Y29" s="307" t="s">
        <v>43</v>
      </c>
      <c r="Z29" s="307"/>
      <c r="AA29" s="177">
        <f>Z26</f>
        <v>427.52502191609267</v>
      </c>
      <c r="AC29" s="113"/>
    </row>
    <row r="30" spans="2:29" x14ac:dyDescent="0.3">
      <c r="U30" s="171" t="s">
        <v>49</v>
      </c>
      <c r="V30" s="306" t="s">
        <v>45</v>
      </c>
      <c r="W30" s="306"/>
      <c r="X30" s="176">
        <f>W23</f>
        <v>1</v>
      </c>
      <c r="Y30" s="307" t="s">
        <v>39</v>
      </c>
      <c r="Z30" s="307"/>
      <c r="AA30" s="177">
        <f>Z26*W23/Y23</f>
        <v>20.358334376956794</v>
      </c>
      <c r="AC30" s="113"/>
    </row>
    <row r="31" spans="2:29" x14ac:dyDescent="0.3">
      <c r="AB31" s="179"/>
      <c r="AC31" s="113"/>
    </row>
  </sheetData>
  <sheetProtection selectLockedCells="1"/>
  <mergeCells count="23">
    <mergeCell ref="Y15:Z15"/>
    <mergeCell ref="V15:W15"/>
    <mergeCell ref="B2:F2"/>
    <mergeCell ref="I2:M2"/>
    <mergeCell ref="B3:F6"/>
    <mergeCell ref="D10:E10"/>
    <mergeCell ref="D11:E11"/>
    <mergeCell ref="C17:F17"/>
    <mergeCell ref="V16:W16"/>
    <mergeCell ref="Y16:Z16"/>
    <mergeCell ref="V17:W17"/>
    <mergeCell ref="Y17:Z17"/>
    <mergeCell ref="D16:E16"/>
    <mergeCell ref="V30:W30"/>
    <mergeCell ref="Y30:Z30"/>
    <mergeCell ref="B21:M26"/>
    <mergeCell ref="U19:AB19"/>
    <mergeCell ref="U25:Y25"/>
    <mergeCell ref="U26:Y26"/>
    <mergeCell ref="V28:W28"/>
    <mergeCell ref="Y28:Z28"/>
    <mergeCell ref="V29:W29"/>
    <mergeCell ref="Y29:Z29"/>
  </mergeCells>
  <conditionalFormatting sqref="C17">
    <cfRule type="expression" dxfId="1" priority="1">
      <formula>$C$17="9/12 Option Available"</formula>
    </cfRule>
    <cfRule type="expression" dxfId="0" priority="2">
      <formula>$C$17="9/12 Option Not Available"</formula>
    </cfRule>
  </conditionalFormatting>
  <dataValidations count="1">
    <dataValidation type="list" allowBlank="1" showInputMessage="1" showErrorMessage="1" sqref="C8" xr:uid="{83109C01-0FC7-4A49-A468-D3D706937146}">
      <formula1>"Boulder,Denver,UCCS"</formula1>
    </dataValidation>
  </dataValidations>
  <pageMargins left="0.7" right="0.7" top="0.75" bottom="0.75" header="0.3" footer="0.3"/>
  <pageSetup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F8C0-711D-44E7-8A5D-3909AD8F3EA4}">
  <sheetPr codeName="Sheet3"/>
  <dimension ref="A1:D16"/>
  <sheetViews>
    <sheetView workbookViewId="0">
      <selection activeCell="C15" sqref="C15"/>
    </sheetView>
  </sheetViews>
  <sheetFormatPr defaultRowHeight="14.4" x14ac:dyDescent="0.3"/>
  <cols>
    <col min="1" max="1" width="4.77734375" bestFit="1" customWidth="1"/>
    <col min="2" max="2" width="95" bestFit="1" customWidth="1"/>
    <col min="3" max="3" width="29.6640625" bestFit="1" customWidth="1"/>
    <col min="4" max="4" width="53" bestFit="1" customWidth="1"/>
  </cols>
  <sheetData>
    <row r="1" spans="1:4" x14ac:dyDescent="0.3">
      <c r="A1" s="183" t="s">
        <v>88</v>
      </c>
      <c r="B1" s="183" t="s">
        <v>87</v>
      </c>
      <c r="C1" s="183" t="s">
        <v>86</v>
      </c>
      <c r="D1" s="183" t="s">
        <v>109</v>
      </c>
    </row>
    <row r="2" spans="1:4" ht="57.6" x14ac:dyDescent="0.3">
      <c r="A2" s="183">
        <v>1</v>
      </c>
      <c r="B2" s="188" t="s">
        <v>85</v>
      </c>
      <c r="C2" s="188"/>
      <c r="D2" s="188" t="s">
        <v>122</v>
      </c>
    </row>
    <row r="3" spans="1:4" x14ac:dyDescent="0.3">
      <c r="A3" s="183">
        <v>2</v>
      </c>
      <c r="B3" t="s">
        <v>84</v>
      </c>
      <c r="C3" t="s">
        <v>78</v>
      </c>
    </row>
    <row r="4" spans="1:4" ht="15" thickBot="1" x14ac:dyDescent="0.35">
      <c r="A4" s="183">
        <v>3</v>
      </c>
      <c r="B4" s="187" t="s">
        <v>83</v>
      </c>
      <c r="C4" t="s">
        <v>78</v>
      </c>
    </row>
    <row r="5" spans="1:4" ht="15" thickBot="1" x14ac:dyDescent="0.35">
      <c r="A5" s="183">
        <v>4</v>
      </c>
      <c r="B5" s="186" t="s">
        <v>82</v>
      </c>
      <c r="C5" t="s">
        <v>78</v>
      </c>
    </row>
    <row r="6" spans="1:4" x14ac:dyDescent="0.3">
      <c r="A6" s="183">
        <v>5</v>
      </c>
      <c r="B6" s="185" t="s">
        <v>81</v>
      </c>
      <c r="C6" t="s">
        <v>78</v>
      </c>
    </row>
    <row r="7" spans="1:4" ht="28.8" x14ac:dyDescent="0.3">
      <c r="A7" s="183">
        <v>6</v>
      </c>
      <c r="B7" s="265" t="s">
        <v>123</v>
      </c>
      <c r="C7" t="s">
        <v>78</v>
      </c>
    </row>
    <row r="8" spans="1:4" x14ac:dyDescent="0.3">
      <c r="A8" s="183">
        <v>7</v>
      </c>
      <c r="B8" s="184" t="s">
        <v>80</v>
      </c>
      <c r="C8" t="s">
        <v>78</v>
      </c>
    </row>
    <row r="9" spans="1:4" x14ac:dyDescent="0.3">
      <c r="A9" s="183">
        <v>8</v>
      </c>
      <c r="B9" s="208" t="s">
        <v>79</v>
      </c>
      <c r="C9" t="s">
        <v>78</v>
      </c>
    </row>
    <row r="10" spans="1:4" x14ac:dyDescent="0.3">
      <c r="A10" s="183">
        <v>9</v>
      </c>
      <c r="B10" s="184" t="s">
        <v>77</v>
      </c>
      <c r="C10" t="s">
        <v>75</v>
      </c>
    </row>
    <row r="11" spans="1:4" x14ac:dyDescent="0.3">
      <c r="A11" s="183">
        <v>10</v>
      </c>
      <c r="B11" s="208" t="s">
        <v>76</v>
      </c>
      <c r="C11" t="s">
        <v>75</v>
      </c>
    </row>
    <row r="12" spans="1:4" x14ac:dyDescent="0.3">
      <c r="A12" s="183">
        <v>11</v>
      </c>
      <c r="B12" t="s">
        <v>110</v>
      </c>
      <c r="C12" t="s">
        <v>75</v>
      </c>
      <c r="D12" t="s">
        <v>112</v>
      </c>
    </row>
    <row r="13" spans="1:4" x14ac:dyDescent="0.3">
      <c r="A13" s="183">
        <v>12</v>
      </c>
      <c r="B13" t="s">
        <v>111</v>
      </c>
      <c r="C13" t="s">
        <v>75</v>
      </c>
      <c r="D13" t="s">
        <v>113</v>
      </c>
    </row>
    <row r="14" spans="1:4" x14ac:dyDescent="0.3">
      <c r="A14" s="183">
        <v>13</v>
      </c>
      <c r="B14" t="s">
        <v>114</v>
      </c>
      <c r="C14" t="s">
        <v>75</v>
      </c>
    </row>
    <row r="15" spans="1:4" x14ac:dyDescent="0.3">
      <c r="A15" s="183">
        <v>14</v>
      </c>
      <c r="B15" t="s">
        <v>115</v>
      </c>
      <c r="C15" t="s">
        <v>75</v>
      </c>
    </row>
    <row r="16" spans="1:4" x14ac:dyDescent="0.3">
      <c r="A16" s="183">
        <v>15</v>
      </c>
      <c r="B16" t="s">
        <v>116</v>
      </c>
      <c r="C16" t="s">
        <v>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2386-5EFA-45B5-B5DE-60409EB9D8D8}">
  <sheetPr codeName="Sheet4"/>
  <dimension ref="A1:R19"/>
  <sheetViews>
    <sheetView workbookViewId="0">
      <selection activeCell="C15" sqref="C15"/>
    </sheetView>
  </sheetViews>
  <sheetFormatPr defaultColWidth="9.77734375" defaultRowHeight="14.4" x14ac:dyDescent="0.3"/>
  <cols>
    <col min="1" max="1" width="8.44140625" style="189" customWidth="1"/>
    <col min="2" max="2" width="7" style="189" bestFit="1" customWidth="1"/>
    <col min="3" max="3" width="12.21875" style="192" bestFit="1" customWidth="1"/>
    <col min="4" max="4" width="3.44140625" style="189" bestFit="1" customWidth="1"/>
    <col min="5" max="5" width="6.5546875" style="189" bestFit="1" customWidth="1"/>
    <col min="6" max="6" width="8.88671875" style="189" bestFit="1" customWidth="1"/>
    <col min="7" max="7" width="14.5546875" style="191" bestFit="1" customWidth="1"/>
    <col min="8" max="8" width="11.6640625" style="191" bestFit="1" customWidth="1"/>
    <col min="9" max="9" width="10.33203125" style="191" bestFit="1" customWidth="1"/>
    <col min="10" max="10" width="10.21875" style="189" bestFit="1" customWidth="1"/>
    <col min="11" max="11" width="8.5546875" style="190" bestFit="1" customWidth="1"/>
    <col min="12" max="12" width="8.5546875" style="189" bestFit="1" customWidth="1"/>
    <col min="13" max="16384" width="9.77734375" style="189"/>
  </cols>
  <sheetData>
    <row r="1" spans="1:16" ht="15.6" thickTop="1" thickBot="1" x14ac:dyDescent="0.35">
      <c r="A1" s="204" t="s">
        <v>107</v>
      </c>
      <c r="I1" s="189" t="s">
        <v>106</v>
      </c>
    </row>
    <row r="2" spans="1:16" ht="15.6" thickTop="1" thickBot="1" x14ac:dyDescent="0.35">
      <c r="A2" s="204" t="s">
        <v>105</v>
      </c>
      <c r="B2" s="204" t="s">
        <v>104</v>
      </c>
      <c r="C2" s="204" t="s">
        <v>103</v>
      </c>
      <c r="D2" s="204" t="s">
        <v>102</v>
      </c>
      <c r="E2" s="204" t="s">
        <v>101</v>
      </c>
      <c r="F2" s="204" t="s">
        <v>100</v>
      </c>
      <c r="G2" s="204" t="s">
        <v>99</v>
      </c>
      <c r="H2" s="204" t="s">
        <v>98</v>
      </c>
      <c r="I2" s="204" t="s">
        <v>97</v>
      </c>
      <c r="J2" s="204" t="s">
        <v>96</v>
      </c>
      <c r="K2" s="204" t="s">
        <v>95</v>
      </c>
      <c r="L2" s="203" t="s">
        <v>5</v>
      </c>
    </row>
    <row r="3" spans="1:16" ht="15" thickTop="1" x14ac:dyDescent="0.3">
      <c r="B3" s="189" t="s">
        <v>94</v>
      </c>
      <c r="C3" s="192">
        <v>0</v>
      </c>
      <c r="D3" s="189" t="s">
        <v>93</v>
      </c>
      <c r="E3" s="189" t="s">
        <v>92</v>
      </c>
      <c r="F3" s="189" t="s">
        <v>91</v>
      </c>
      <c r="G3" s="191">
        <v>45535</v>
      </c>
      <c r="H3" s="191">
        <v>45523</v>
      </c>
      <c r="I3" s="191">
        <v>45535</v>
      </c>
      <c r="J3" s="189" t="s">
        <v>5</v>
      </c>
      <c r="K3" s="202">
        <v>6025.5</v>
      </c>
      <c r="L3" s="201">
        <v>6025.5</v>
      </c>
    </row>
    <row r="4" spans="1:16" x14ac:dyDescent="0.3">
      <c r="B4" s="189" t="s">
        <v>94</v>
      </c>
      <c r="C4" s="192">
        <v>0</v>
      </c>
      <c r="D4" s="189" t="s">
        <v>93</v>
      </c>
      <c r="E4" s="189" t="s">
        <v>92</v>
      </c>
      <c r="F4" s="189" t="s">
        <v>91</v>
      </c>
      <c r="G4" s="191">
        <v>45535</v>
      </c>
      <c r="H4" s="191">
        <v>45523</v>
      </c>
      <c r="I4" s="191">
        <v>45535</v>
      </c>
      <c r="J4" s="189" t="s">
        <v>6</v>
      </c>
      <c r="K4" s="190">
        <v>-1612.54</v>
      </c>
      <c r="L4" s="199">
        <v>0</v>
      </c>
    </row>
    <row r="5" spans="1:16" x14ac:dyDescent="0.3">
      <c r="B5" s="189" t="s">
        <v>94</v>
      </c>
      <c r="C5" s="192">
        <v>0</v>
      </c>
      <c r="D5" s="189" t="s">
        <v>93</v>
      </c>
      <c r="E5" s="189" t="s">
        <v>92</v>
      </c>
      <c r="F5" s="189" t="s">
        <v>91</v>
      </c>
      <c r="G5" s="191">
        <v>45535</v>
      </c>
      <c r="H5" s="191">
        <v>45505</v>
      </c>
      <c r="I5" s="191">
        <v>45535</v>
      </c>
      <c r="J5" s="189" t="s">
        <v>6</v>
      </c>
      <c r="K5" s="200">
        <v>5188.1499999999996</v>
      </c>
      <c r="L5" s="199">
        <v>0</v>
      </c>
      <c r="M5" s="262" t="s">
        <v>117</v>
      </c>
      <c r="N5" s="263"/>
      <c r="O5" s="263"/>
      <c r="P5" s="263"/>
    </row>
    <row r="6" spans="1:16" x14ac:dyDescent="0.3">
      <c r="B6" s="189" t="s">
        <v>94</v>
      </c>
      <c r="C6" s="192">
        <v>0</v>
      </c>
      <c r="D6" s="189" t="s">
        <v>93</v>
      </c>
      <c r="E6" s="189" t="s">
        <v>92</v>
      </c>
      <c r="F6" s="189" t="s">
        <v>91</v>
      </c>
      <c r="G6" s="191">
        <v>45565</v>
      </c>
      <c r="H6" s="191">
        <v>45536</v>
      </c>
      <c r="I6" s="191">
        <v>45565</v>
      </c>
      <c r="J6" s="189" t="s">
        <v>5</v>
      </c>
      <c r="K6" s="190">
        <v>13256.09</v>
      </c>
      <c r="L6" s="199">
        <v>13256.09</v>
      </c>
    </row>
    <row r="7" spans="1:16" x14ac:dyDescent="0.3">
      <c r="B7" s="189" t="s">
        <v>94</v>
      </c>
      <c r="C7" s="192">
        <v>0</v>
      </c>
      <c r="D7" s="189" t="s">
        <v>93</v>
      </c>
      <c r="E7" s="189" t="s">
        <v>92</v>
      </c>
      <c r="F7" s="189" t="s">
        <v>91</v>
      </c>
      <c r="G7" s="191">
        <v>45565</v>
      </c>
      <c r="H7" s="191">
        <v>45536</v>
      </c>
      <c r="I7" s="191">
        <v>45565</v>
      </c>
      <c r="J7" s="189" t="s">
        <v>6</v>
      </c>
      <c r="K7" s="190">
        <v>-3547.58</v>
      </c>
      <c r="L7" s="199">
        <v>0</v>
      </c>
    </row>
    <row r="8" spans="1:16" x14ac:dyDescent="0.3">
      <c r="B8" s="189" t="s">
        <v>94</v>
      </c>
      <c r="C8" s="192">
        <v>0</v>
      </c>
      <c r="D8" s="189" t="s">
        <v>93</v>
      </c>
      <c r="E8" s="189" t="s">
        <v>92</v>
      </c>
      <c r="F8" s="189" t="s">
        <v>91</v>
      </c>
      <c r="G8" s="191">
        <v>45596</v>
      </c>
      <c r="H8" s="191">
        <v>45566</v>
      </c>
      <c r="I8" s="191">
        <v>45596</v>
      </c>
      <c r="J8" s="189" t="s">
        <v>6</v>
      </c>
      <c r="K8" s="190">
        <v>-3547.57</v>
      </c>
      <c r="L8" s="199">
        <v>0</v>
      </c>
    </row>
    <row r="9" spans="1:16" x14ac:dyDescent="0.3">
      <c r="B9" s="189" t="s">
        <v>94</v>
      </c>
      <c r="C9" s="192">
        <v>0</v>
      </c>
      <c r="D9" s="189" t="s">
        <v>93</v>
      </c>
      <c r="E9" s="189" t="s">
        <v>92</v>
      </c>
      <c r="F9" s="189" t="s">
        <v>91</v>
      </c>
      <c r="G9" s="191">
        <v>45596</v>
      </c>
      <c r="H9" s="191">
        <v>45566</v>
      </c>
      <c r="I9" s="191">
        <v>45596</v>
      </c>
      <c r="J9" s="189" t="s">
        <v>5</v>
      </c>
      <c r="K9" s="190">
        <v>13256.08</v>
      </c>
      <c r="L9" s="199">
        <v>13256.08</v>
      </c>
    </row>
    <row r="10" spans="1:16" x14ac:dyDescent="0.3">
      <c r="B10" s="189" t="s">
        <v>94</v>
      </c>
      <c r="C10" s="192">
        <v>0</v>
      </c>
      <c r="D10" s="189" t="s">
        <v>93</v>
      </c>
      <c r="E10" s="189" t="s">
        <v>92</v>
      </c>
      <c r="F10" s="189" t="s">
        <v>91</v>
      </c>
      <c r="G10" s="191">
        <v>45626</v>
      </c>
      <c r="H10" s="191">
        <v>45597</v>
      </c>
      <c r="I10" s="191">
        <v>45626</v>
      </c>
      <c r="J10" s="189" t="s">
        <v>5</v>
      </c>
      <c r="K10" s="190">
        <v>13256.08</v>
      </c>
      <c r="L10" s="199">
        <v>13256.08</v>
      </c>
    </row>
    <row r="11" spans="1:16" x14ac:dyDescent="0.3">
      <c r="B11" s="189" t="s">
        <v>94</v>
      </c>
      <c r="C11" s="192">
        <v>0</v>
      </c>
      <c r="D11" s="189" t="s">
        <v>93</v>
      </c>
      <c r="E11" s="189" t="s">
        <v>92</v>
      </c>
      <c r="F11" s="189" t="s">
        <v>91</v>
      </c>
      <c r="G11" s="191">
        <v>45626</v>
      </c>
      <c r="H11" s="191">
        <v>45597</v>
      </c>
      <c r="I11" s="191">
        <v>45626</v>
      </c>
      <c r="J11" s="189" t="s">
        <v>6</v>
      </c>
      <c r="K11" s="190">
        <v>-3547.57</v>
      </c>
      <c r="L11" s="199">
        <v>0</v>
      </c>
    </row>
    <row r="12" spans="1:16" x14ac:dyDescent="0.3">
      <c r="B12" s="189" t="s">
        <v>94</v>
      </c>
      <c r="C12" s="192">
        <v>0</v>
      </c>
      <c r="D12" s="189" t="s">
        <v>93</v>
      </c>
      <c r="E12" s="189" t="s">
        <v>92</v>
      </c>
      <c r="F12" s="189" t="s">
        <v>91</v>
      </c>
      <c r="G12" s="191">
        <v>45657</v>
      </c>
      <c r="H12" s="191">
        <v>45627</v>
      </c>
      <c r="I12" s="191">
        <v>45657</v>
      </c>
      <c r="J12" s="189" t="s">
        <v>5</v>
      </c>
      <c r="K12" s="190">
        <v>13256.08</v>
      </c>
      <c r="L12" s="199">
        <v>13256.08</v>
      </c>
    </row>
    <row r="13" spans="1:16" x14ac:dyDescent="0.3">
      <c r="B13" s="189" t="s">
        <v>94</v>
      </c>
      <c r="C13" s="192">
        <v>0</v>
      </c>
      <c r="D13" s="189" t="s">
        <v>93</v>
      </c>
      <c r="E13" s="189" t="s">
        <v>92</v>
      </c>
      <c r="F13" s="189" t="s">
        <v>91</v>
      </c>
      <c r="G13" s="191">
        <v>45657</v>
      </c>
      <c r="H13" s="191">
        <v>45627</v>
      </c>
      <c r="I13" s="191">
        <v>45657</v>
      </c>
      <c r="J13" s="189" t="s">
        <v>6</v>
      </c>
      <c r="K13" s="190">
        <v>-3547.57</v>
      </c>
      <c r="L13" s="199">
        <v>0</v>
      </c>
    </row>
    <row r="14" spans="1:16" x14ac:dyDescent="0.3">
      <c r="B14" s="189" t="s">
        <v>94</v>
      </c>
      <c r="C14" s="192">
        <v>0</v>
      </c>
      <c r="D14" s="189" t="s">
        <v>93</v>
      </c>
      <c r="E14" s="189" t="s">
        <v>92</v>
      </c>
      <c r="F14" s="189" t="s">
        <v>91</v>
      </c>
      <c r="G14" s="191">
        <v>45688</v>
      </c>
      <c r="H14" s="191">
        <v>45658</v>
      </c>
      <c r="I14" s="191">
        <v>45688</v>
      </c>
      <c r="J14" s="189" t="s">
        <v>5</v>
      </c>
      <c r="K14" s="190">
        <v>13583.63</v>
      </c>
      <c r="L14" s="199">
        <v>13583.63</v>
      </c>
    </row>
    <row r="15" spans="1:16" ht="15" thickBot="1" x14ac:dyDescent="0.35">
      <c r="B15" s="189" t="s">
        <v>94</v>
      </c>
      <c r="C15" s="192">
        <v>0</v>
      </c>
      <c r="D15" s="189" t="s">
        <v>93</v>
      </c>
      <c r="E15" s="189" t="s">
        <v>92</v>
      </c>
      <c r="F15" s="189" t="s">
        <v>91</v>
      </c>
      <c r="G15" s="191">
        <v>45688</v>
      </c>
      <c r="H15" s="191">
        <v>45658</v>
      </c>
      <c r="I15" s="191">
        <v>45688</v>
      </c>
      <c r="J15" s="189" t="s">
        <v>6</v>
      </c>
      <c r="K15" s="190">
        <v>-3687.13</v>
      </c>
      <c r="L15" s="198">
        <v>0</v>
      </c>
    </row>
    <row r="16" spans="1:16" x14ac:dyDescent="0.3">
      <c r="K16" s="197">
        <f>SUM(K3:K15)-K5</f>
        <v>53143.500000000007</v>
      </c>
      <c r="L16" s="196">
        <f>SUM(L3:L15)</f>
        <v>72633.460000000006</v>
      </c>
    </row>
    <row r="17" spans="6:18" x14ac:dyDescent="0.3">
      <c r="P17" s="190"/>
      <c r="Q17" s="190"/>
    </row>
    <row r="18" spans="6:18" x14ac:dyDescent="0.3">
      <c r="F18" s="195">
        <v>45689</v>
      </c>
      <c r="G18" s="193">
        <v>116252.44</v>
      </c>
      <c r="H18" s="193" t="s">
        <v>90</v>
      </c>
      <c r="I18" s="195"/>
      <c r="L18" s="194">
        <f>G18-L16</f>
        <v>43618.979999999996</v>
      </c>
      <c r="M18" s="194" t="s">
        <v>108</v>
      </c>
    </row>
    <row r="19" spans="6:18" x14ac:dyDescent="0.3">
      <c r="F19" s="191"/>
      <c r="G19" s="193" t="s">
        <v>89</v>
      </c>
      <c r="H19" s="189"/>
      <c r="L19" s="209">
        <f>G18-K16</f>
        <v>63108.939999999995</v>
      </c>
      <c r="M19" s="210" t="s">
        <v>73</v>
      </c>
      <c r="P19" s="190"/>
      <c r="R19" s="19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C2413226749F498A4DEC8BE0361B05" ma:contentTypeVersion="16" ma:contentTypeDescription="Create a new document." ma:contentTypeScope="" ma:versionID="d856bdd2b3035d093d86b3a70a1989f8">
  <xsd:schema xmlns:xsd="http://www.w3.org/2001/XMLSchema" xmlns:xs="http://www.w3.org/2001/XMLSchema" xmlns:p="http://schemas.microsoft.com/office/2006/metadata/properties" xmlns:ns2="b032eaca-10c7-43d7-bb68-2cc584866684" xmlns:ns3="433bacd1-8d37-43ce-935d-2293e257d18f" xmlns:ns4="ede08c4e-1263-4235-9f2e-0eaf0a5fdb9c" targetNamespace="http://schemas.microsoft.com/office/2006/metadata/properties" ma:root="true" ma:fieldsID="7b3194bc62dfe36453ab119fe9a8acb9" ns2:_="" ns3:_="" ns4:_="">
    <xsd:import namespace="b032eaca-10c7-43d7-bb68-2cc584866684"/>
    <xsd:import namespace="433bacd1-8d37-43ce-935d-2293e257d18f"/>
    <xsd:import namespace="ede08c4e-1263-4235-9f2e-0eaf0a5fdb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2eaca-10c7-43d7-bb68-2cc584866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33bacd1-8d37-43ce-935d-2293e257d18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e08c4e-1263-4235-9f2e-0eaf0a5fdb9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c3e57c5-6ef1-4694-a2b1-4e0f9ced2098}" ma:internalName="TaxCatchAll" ma:showField="CatchAllData" ma:web="433bacd1-8d37-43ce-935d-2293e257d1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32eaca-10c7-43d7-bb68-2cc584866684">
      <Terms xmlns="http://schemas.microsoft.com/office/infopath/2007/PartnerControls"/>
    </lcf76f155ced4ddcb4097134ff3c332f>
    <TaxCatchAll xmlns="ede08c4e-1263-4235-9f2e-0eaf0a5fdb9c" xsi:nil="true"/>
  </documentManagement>
</p:properties>
</file>

<file path=customXml/itemProps1.xml><?xml version="1.0" encoding="utf-8"?>
<ds:datastoreItem xmlns:ds="http://schemas.openxmlformats.org/officeDocument/2006/customXml" ds:itemID="{79BFDFAB-6F92-48F4-B0BE-B5F6AAE9E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32eaca-10c7-43d7-bb68-2cc584866684"/>
    <ds:schemaRef ds:uri="433bacd1-8d37-43ce-935d-2293e257d18f"/>
    <ds:schemaRef ds:uri="ede08c4e-1263-4235-9f2e-0eaf0a5fdb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89C691-68BC-4C1A-93D4-56C09DE37A1D}">
  <ds:schemaRefs>
    <ds:schemaRef ds:uri="http://schemas.microsoft.com/sharepoint/v3/contenttype/forms"/>
  </ds:schemaRefs>
</ds:datastoreItem>
</file>

<file path=customXml/itemProps3.xml><?xml version="1.0" encoding="utf-8"?>
<ds:datastoreItem xmlns:ds="http://schemas.openxmlformats.org/officeDocument/2006/customXml" ds:itemID="{EE795A0B-0498-4048-9C7B-982143B6011A}">
  <ds:schemaRefs>
    <ds:schemaRef ds:uri="http://schemas.microsoft.com/office/2006/metadata/properties"/>
    <ds:schemaRef ds:uri="http://schemas.microsoft.com/office/infopath/2007/PartnerControls"/>
    <ds:schemaRef ds:uri="b032eaca-10c7-43d7-bb68-2cc584866684"/>
    <ds:schemaRef ds:uri="ede08c4e-1263-4235-9f2e-0eaf0a5fdb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Contract Def Comp Calculator</vt:lpstr>
      <vt:lpstr>Deferred Comp Calculator</vt:lpstr>
      <vt:lpstr>Max Deferred Comp Calculator</vt:lpstr>
      <vt:lpstr>Calculator - Custom Dates</vt:lpstr>
      <vt:lpstr>School Calendars</vt:lpstr>
      <vt:lpstr>Crosswalk</vt:lpstr>
      <vt:lpstr>Mid Year Calculator</vt:lpstr>
      <vt:lpstr>Instructions for Mid Year Calc</vt:lpstr>
      <vt:lpstr>AS_CONTRACT_EARNINGS </vt:lpstr>
      <vt:lpstr>'Contract Def Comp Calculator'!Print_Area</vt:lpstr>
      <vt:lpstr>'Mid Year Calculator'!Print_Area</vt:lpstr>
    </vt:vector>
  </TitlesOfParts>
  <Manager/>
  <Company>University of Colorado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 P. Loiselle</dc:creator>
  <cp:keywords/>
  <dc:description/>
  <cp:lastModifiedBy>Amy Simonson</cp:lastModifiedBy>
  <cp:revision/>
  <dcterms:created xsi:type="dcterms:W3CDTF">2019-02-26T14:57:01Z</dcterms:created>
  <dcterms:modified xsi:type="dcterms:W3CDTF">2026-03-31T20:32:33Z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0x010100E5C2413226749F498A4DEC8BE0361B05</vt:lpwstr>
  </property>
  <property fmtid="{D5CDD505-2E9C-101B-9397-08002B2CF9AE}" pid="3" name="MediaServiceImageTags">
    <vt:lpwstr/>
  </property>
</Properties>
</file>