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S:\Employee Services\Shared\500_HRMS\Contract Renewal-PayProd-HRIS\2025-26 Renewal\Calculators\"/>
    </mc:Choice>
  </mc:AlternateContent>
  <xr:revisionPtr revIDLastSave="0" documentId="13_ncr:1_{A3D60AD8-B49E-4E7D-BAB7-8DDBF3D57203}" xr6:coauthVersionLast="47" xr6:coauthVersionMax="47" xr10:uidLastSave="{00000000-0000-0000-0000-000000000000}"/>
  <workbookProtection workbookAlgorithmName="SHA-512" workbookHashValue="1uv0iqaBZjTosGcrOZ06CjPY+jL+6xJ4RizNmdKeN9NgWEjohlTPx+RFLAmeAY0CIKkEXhsqG6Jpnm+I0ePoWg==" workbookSaltValue="q2NXjXnVpIlXd+YgX2lAFQ==" workbookSpinCount="100000" lockStructure="1"/>
  <bookViews>
    <workbookView xWindow="22932" yWindow="-108" windowWidth="23256" windowHeight="12576" tabRatio="744" xr2:uid="{00000000-000D-0000-FFFF-FFFF00000000}"/>
  </bookViews>
  <sheets>
    <sheet name="Contract Def Comp Calculator" sheetId="8" r:id="rId1"/>
    <sheet name="Deferred Comp Calculator" sheetId="1" state="hidden" r:id="rId2"/>
    <sheet name="Max Deferred Comp Calculator" sheetId="3" state="hidden" r:id="rId3"/>
    <sheet name="Calculator - Custom Dates" sheetId="6" state="hidden" r:id="rId4"/>
    <sheet name="School Calendars" sheetId="2" state="hidden" r:id="rId5"/>
  </sheets>
  <definedNames>
    <definedName name="_xlnm.Print_Area" localSheetId="0">'Contract Def Comp Calculator'!$A$1:$H$34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7" i="6" l="1"/>
  <c r="M18" i="6"/>
  <c r="P3" i="6"/>
  <c r="C9" i="8" a="1"/>
  <c r="C9" i="8" s="1"/>
  <c r="F14" i="8"/>
  <c r="E7" i="6" l="1"/>
  <c r="M5" i="6" l="1"/>
  <c r="M4" i="6"/>
  <c r="F15" i="8" a="1"/>
  <c r="F15" i="8" s="1"/>
  <c r="F11" i="8" l="1" a="1"/>
  <c r="F11" i="8" s="1"/>
  <c r="C10" i="8" a="1"/>
  <c r="C10" i="8" s="1"/>
  <c r="C11" i="8" a="1"/>
  <c r="C11" i="8" s="1"/>
  <c r="F10" i="8" a="1"/>
  <c r="F10" i="8" s="1"/>
  <c r="P19" i="6"/>
  <c r="O19" i="6"/>
  <c r="M19" i="6"/>
  <c r="K19" i="6" s="1"/>
  <c r="L26" i="6" s="1"/>
  <c r="P18" i="6"/>
  <c r="K18" i="6"/>
  <c r="P17" i="6"/>
  <c r="L25" i="6"/>
  <c r="K17" i="6"/>
  <c r="P16" i="6"/>
  <c r="O16" i="6"/>
  <c r="M16" i="6"/>
  <c r="K16" i="6" s="1"/>
  <c r="L24" i="6" s="1"/>
  <c r="P6" i="6"/>
  <c r="O6" i="6"/>
  <c r="M6" i="6"/>
  <c r="K6" i="6" s="1"/>
  <c r="L13" i="6" s="1"/>
  <c r="P5" i="6"/>
  <c r="K5" i="6"/>
  <c r="P4" i="6"/>
  <c r="L12" i="6"/>
  <c r="K4" i="6"/>
  <c r="O3" i="6"/>
  <c r="M3" i="6"/>
  <c r="K3" i="6" s="1"/>
  <c r="T9" i="8" l="1"/>
  <c r="T8" i="8"/>
  <c r="U16" i="8" s="1"/>
  <c r="N8" i="6"/>
  <c r="N9" i="6" s="1"/>
  <c r="O12" i="6" s="1"/>
  <c r="Y21" i="8"/>
  <c r="X20" i="8"/>
  <c r="V21" i="8"/>
  <c r="U29" i="8" s="1"/>
  <c r="V20" i="8"/>
  <c r="T20" i="8" s="1"/>
  <c r="Y20" i="8"/>
  <c r="V22" i="8"/>
  <c r="T21" i="8"/>
  <c r="J10" i="8"/>
  <c r="J9" i="8"/>
  <c r="J8" i="8"/>
  <c r="T7" i="8"/>
  <c r="R7" i="8" s="1"/>
  <c r="J15" i="8"/>
  <c r="R8" i="8"/>
  <c r="J17" i="8"/>
  <c r="J7" i="8"/>
  <c r="W8" i="8"/>
  <c r="V7" i="8"/>
  <c r="J13" i="8"/>
  <c r="J12" i="8"/>
  <c r="J6" i="8"/>
  <c r="W7" i="8"/>
  <c r="J16" i="8"/>
  <c r="J14" i="8"/>
  <c r="J11" i="8"/>
  <c r="J5" i="8"/>
  <c r="W10" i="8"/>
  <c r="W9" i="8"/>
  <c r="V10" i="8"/>
  <c r="T10" i="8"/>
  <c r="R10" i="8" s="1"/>
  <c r="R9" i="8"/>
  <c r="Y23" i="8"/>
  <c r="Y22" i="8"/>
  <c r="V23" i="8"/>
  <c r="T23" i="8" s="1"/>
  <c r="X23" i="8"/>
  <c r="T22" i="8"/>
  <c r="L11" i="6"/>
  <c r="N21" i="6"/>
  <c r="N22" i="6" s="1"/>
  <c r="B3" i="6" a="1"/>
  <c r="B3" i="6" s="1"/>
  <c r="B3" i="3" a="1"/>
  <c r="B3" i="3" s="1"/>
  <c r="O11" i="6" l="1"/>
  <c r="W25" i="8"/>
  <c r="W26" i="8" s="1"/>
  <c r="O13" i="6"/>
  <c r="U28" i="8"/>
  <c r="U17" i="8"/>
  <c r="U30" i="8"/>
  <c r="U15" i="8"/>
  <c r="U12" i="8"/>
  <c r="U13" i="8" s="1"/>
  <c r="O26" i="6"/>
  <c r="O24" i="6"/>
  <c r="O25" i="6"/>
  <c r="E9" i="6" a="1"/>
  <c r="E9" i="6" s="1"/>
  <c r="E8" i="3" a="1"/>
  <c r="E8" i="3" s="1"/>
  <c r="B3" i="1" a="1"/>
  <c r="B3" i="1" s="1"/>
  <c r="E5" i="3" l="1" a="1"/>
  <c r="E5" i="3" s="1"/>
  <c r="E4" i="3" a="1"/>
  <c r="E4" i="3" s="1"/>
  <c r="B4" i="3" a="1"/>
  <c r="B4" i="3" s="1"/>
  <c r="B4" i="1" a="1"/>
  <c r="B4" i="1" s="1"/>
  <c r="B5" i="3" a="1"/>
  <c r="B5" i="3" s="1"/>
  <c r="C15" i="8"/>
  <c r="C16" i="8" s="1"/>
  <c r="X17" i="8"/>
  <c r="X15" i="8"/>
  <c r="X16" i="8"/>
  <c r="X30" i="8"/>
  <c r="X28" i="8"/>
  <c r="X29" i="8"/>
  <c r="E9" i="1" a="1"/>
  <c r="E9" i="1" s="1"/>
  <c r="B24" i="6"/>
  <c r="B20" i="6"/>
  <c r="B19" i="6"/>
  <c r="B18" i="6"/>
  <c r="B23" i="6"/>
  <c r="B25" i="6"/>
  <c r="B22" i="6"/>
  <c r="B28" i="6"/>
  <c r="B27" i="6"/>
  <c r="B26" i="6"/>
  <c r="B21" i="6"/>
  <c r="B17" i="6"/>
  <c r="B16" i="6"/>
  <c r="E4" i="1" a="1"/>
  <c r="E4" i="1" s="1"/>
  <c r="E5" i="1" a="1"/>
  <c r="E5" i="1" s="1"/>
  <c r="M19" i="1" s="1"/>
  <c r="K19" i="1" s="1"/>
  <c r="B5" i="1" a="1"/>
  <c r="B5" i="1" s="1"/>
  <c r="M5" i="1" l="1"/>
  <c r="M4" i="3"/>
  <c r="M5" i="3"/>
  <c r="M4" i="1"/>
  <c r="L12" i="1" s="1"/>
  <c r="L12" i="3"/>
  <c r="M18" i="3"/>
  <c r="M17" i="3"/>
  <c r="L25" i="3" s="1"/>
  <c r="M5" i="8"/>
  <c r="M6" i="8" s="1"/>
  <c r="K5" i="8"/>
  <c r="K5" i="1"/>
  <c r="M6" i="1"/>
  <c r="K6" i="1" s="1"/>
  <c r="C25" i="1" s="1"/>
  <c r="P16" i="3"/>
  <c r="P17" i="3"/>
  <c r="O16" i="3"/>
  <c r="M16" i="3"/>
  <c r="K16" i="3" s="1"/>
  <c r="K17" i="3"/>
  <c r="P4" i="3"/>
  <c r="O3" i="3"/>
  <c r="M3" i="3"/>
  <c r="K3" i="3" s="1"/>
  <c r="K4" i="3"/>
  <c r="P3" i="3"/>
  <c r="O19" i="3"/>
  <c r="K18" i="3"/>
  <c r="M19" i="3"/>
  <c r="K19" i="3" s="1"/>
  <c r="L26" i="3" s="1"/>
  <c r="P19" i="3"/>
  <c r="P18" i="3"/>
  <c r="M6" i="3"/>
  <c r="K6" i="3" s="1"/>
  <c r="P6" i="3"/>
  <c r="P5" i="3"/>
  <c r="O6" i="3"/>
  <c r="K5" i="3"/>
  <c r="M18" i="1"/>
  <c r="M17" i="1"/>
  <c r="L25" i="1" s="1"/>
  <c r="B18" i="3"/>
  <c r="B19" i="3"/>
  <c r="B17" i="3"/>
  <c r="B23" i="3"/>
  <c r="B15" i="3"/>
  <c r="K4" i="1"/>
  <c r="B14" i="3"/>
  <c r="B24" i="3"/>
  <c r="B20" i="3"/>
  <c r="B16" i="3"/>
  <c r="B26" i="3"/>
  <c r="B21" i="3"/>
  <c r="B25" i="3"/>
  <c r="B22" i="3"/>
  <c r="C28" i="6"/>
  <c r="C25" i="6"/>
  <c r="C16" i="6"/>
  <c r="K18" i="1"/>
  <c r="K17" i="1"/>
  <c r="P18" i="1"/>
  <c r="P5" i="1"/>
  <c r="B24" i="1"/>
  <c r="P16" i="1"/>
  <c r="P17" i="1"/>
  <c r="B20" i="1"/>
  <c r="B28" i="1"/>
  <c r="B16" i="1"/>
  <c r="P4" i="1"/>
  <c r="B26" i="1"/>
  <c r="B22" i="1"/>
  <c r="B18" i="1"/>
  <c r="B27" i="1"/>
  <c r="B23" i="1"/>
  <c r="B19" i="1"/>
  <c r="B25" i="1"/>
  <c r="B21" i="1"/>
  <c r="B17" i="1"/>
  <c r="P19" i="1"/>
  <c r="O19" i="1"/>
  <c r="O16" i="1"/>
  <c r="M16" i="1"/>
  <c r="K16" i="1" s="1"/>
  <c r="P6" i="1"/>
  <c r="O6" i="1"/>
  <c r="M3" i="1"/>
  <c r="K3" i="1" s="1"/>
  <c r="P3" i="1"/>
  <c r="O3" i="1"/>
  <c r="L13" i="3" l="1"/>
  <c r="C23" i="3"/>
  <c r="L5" i="8"/>
  <c r="K6" i="8"/>
  <c r="M7" i="8"/>
  <c r="M8" i="8" s="1"/>
  <c r="C26" i="3"/>
  <c r="L24" i="3"/>
  <c r="N21" i="3"/>
  <c r="N8" i="3"/>
  <c r="L11" i="3"/>
  <c r="C14" i="3"/>
  <c r="E10" i="6"/>
  <c r="B9" i="6"/>
  <c r="B10" i="6" s="1"/>
  <c r="D16" i="6"/>
  <c r="F16" i="6"/>
  <c r="L26" i="1"/>
  <c r="C28" i="1"/>
  <c r="L13" i="1"/>
  <c r="L24" i="1"/>
  <c r="N21" i="1"/>
  <c r="N22" i="1" s="1"/>
  <c r="C16" i="1"/>
  <c r="N8" i="1"/>
  <c r="N9" i="1" s="1"/>
  <c r="L11" i="1"/>
  <c r="B7" i="3" l="1"/>
  <c r="L6" i="8"/>
  <c r="K7" i="8"/>
  <c r="M9" i="8"/>
  <c r="M10" i="8" s="1"/>
  <c r="M11" i="8" s="1"/>
  <c r="D17" i="6"/>
  <c r="F17" i="6"/>
  <c r="F18" i="6" s="1"/>
  <c r="F19" i="6" s="1"/>
  <c r="E16" i="6"/>
  <c r="B9" i="1"/>
  <c r="B10" i="1" s="1"/>
  <c r="O25" i="1"/>
  <c r="O24" i="1"/>
  <c r="O26" i="1"/>
  <c r="O13" i="1"/>
  <c r="O12" i="1"/>
  <c r="O11" i="1"/>
  <c r="K8" i="8" l="1"/>
  <c r="K9" i="8" s="1"/>
  <c r="D16" i="1"/>
  <c r="D17" i="1" s="1"/>
  <c r="D18" i="1" s="1"/>
  <c r="F16" i="1"/>
  <c r="L7" i="8"/>
  <c r="M12" i="8"/>
  <c r="N9" i="3"/>
  <c r="N22" i="3"/>
  <c r="D18" i="6"/>
  <c r="E18" i="6" s="1"/>
  <c r="F20" i="6"/>
  <c r="E17" i="6"/>
  <c r="L9" i="8" l="1"/>
  <c r="L8" i="8"/>
  <c r="E16" i="1"/>
  <c r="F17" i="1"/>
  <c r="F18" i="1" s="1"/>
  <c r="F19" i="1" s="1"/>
  <c r="K10" i="8"/>
  <c r="M13" i="8"/>
  <c r="O26" i="3"/>
  <c r="O24" i="3"/>
  <c r="O25" i="3"/>
  <c r="O12" i="3"/>
  <c r="O13" i="3"/>
  <c r="O11" i="3"/>
  <c r="F21" i="6"/>
  <c r="D19" i="6"/>
  <c r="D19" i="1"/>
  <c r="D20" i="1" s="1"/>
  <c r="F14" i="3" l="1"/>
  <c r="F15" i="3" s="1"/>
  <c r="F16" i="3" s="1"/>
  <c r="F17" i="3" s="1"/>
  <c r="F18" i="3" s="1"/>
  <c r="F19" i="3" s="1"/>
  <c r="F20" i="3" s="1"/>
  <c r="K11" i="8"/>
  <c r="D14" i="3"/>
  <c r="E17" i="1"/>
  <c r="L10" i="8"/>
  <c r="M14" i="8"/>
  <c r="M15" i="8" s="1"/>
  <c r="D20" i="6"/>
  <c r="D21" i="6" s="1"/>
  <c r="E21" i="6" s="1"/>
  <c r="E19" i="6"/>
  <c r="F22" i="6"/>
  <c r="F23" i="6" s="1"/>
  <c r="F24" i="6" s="1"/>
  <c r="F20" i="1"/>
  <c r="F21" i="1" s="1"/>
  <c r="F22" i="1" s="1"/>
  <c r="D21" i="1"/>
  <c r="D22" i="1" s="1"/>
  <c r="E18" i="1"/>
  <c r="E19" i="1"/>
  <c r="E14" i="3" l="1"/>
  <c r="L11" i="8"/>
  <c r="K12" i="8"/>
  <c r="L12" i="8" s="1"/>
  <c r="D15" i="3"/>
  <c r="D16" i="3" s="1"/>
  <c r="E16" i="3" s="1"/>
  <c r="M16" i="8"/>
  <c r="F21" i="3"/>
  <c r="F22" i="3" s="1"/>
  <c r="F23" i="3" s="1"/>
  <c r="F24" i="3" s="1"/>
  <c r="D22" i="6"/>
  <c r="E22" i="6" s="1"/>
  <c r="E20" i="6"/>
  <c r="F25" i="6"/>
  <c r="F23" i="1"/>
  <c r="F24" i="1" s="1"/>
  <c r="D23" i="1"/>
  <c r="D24" i="1" s="1"/>
  <c r="E22" i="1"/>
  <c r="E21" i="1"/>
  <c r="E20" i="1"/>
  <c r="K13" i="8" l="1"/>
  <c r="E15" i="3"/>
  <c r="D17" i="3"/>
  <c r="E17" i="3" s="1"/>
  <c r="M17" i="8"/>
  <c r="F25" i="3"/>
  <c r="F26" i="3" s="1"/>
  <c r="D23" i="6"/>
  <c r="F26" i="6"/>
  <c r="F25" i="1"/>
  <c r="F26" i="1" s="1"/>
  <c r="F27" i="1" s="1"/>
  <c r="F28" i="1" s="1"/>
  <c r="D25" i="1"/>
  <c r="D26" i="1" s="1"/>
  <c r="L13" i="8" l="1"/>
  <c r="K14" i="8"/>
  <c r="D18" i="3"/>
  <c r="D19" i="3" s="1"/>
  <c r="M18" i="8"/>
  <c r="E23" i="6"/>
  <c r="D24" i="6"/>
  <c r="F27" i="6"/>
  <c r="D27" i="1"/>
  <c r="D28" i="1" s="1"/>
  <c r="D29" i="1" s="1"/>
  <c r="E23" i="1"/>
  <c r="E24" i="1"/>
  <c r="K15" i="8" l="1"/>
  <c r="L14" i="8"/>
  <c r="E18" i="3"/>
  <c r="D20" i="3"/>
  <c r="D21" i="3" s="1"/>
  <c r="D22" i="3" s="1"/>
  <c r="D23" i="3" s="1"/>
  <c r="D24" i="3" s="1"/>
  <c r="D25" i="3" s="1"/>
  <c r="D26" i="3" s="1"/>
  <c r="D25" i="6"/>
  <c r="E24" i="6"/>
  <c r="F28" i="6"/>
  <c r="E19" i="3"/>
  <c r="E25" i="1"/>
  <c r="K16" i="8" l="1"/>
  <c r="L15" i="8"/>
  <c r="D26" i="6"/>
  <c r="E25" i="6"/>
  <c r="F29" i="6"/>
  <c r="E20" i="3"/>
  <c r="E26" i="1"/>
  <c r="K17" i="8" l="1"/>
  <c r="K18" i="8" s="1"/>
  <c r="L16" i="8"/>
  <c r="L17" i="8"/>
  <c r="E26" i="6"/>
  <c r="D27" i="6"/>
  <c r="E22" i="3"/>
  <c r="E21" i="3"/>
  <c r="E27" i="1"/>
  <c r="L18" i="8" l="1"/>
  <c r="D28" i="6"/>
  <c r="D29" i="6" s="1"/>
  <c r="E27" i="6"/>
  <c r="E28" i="6"/>
  <c r="E29" i="6" s="1"/>
  <c r="E23" i="3"/>
  <c r="E28" i="1"/>
  <c r="E29" i="1" s="1"/>
  <c r="F29" i="1"/>
  <c r="E24" i="3" l="1"/>
  <c r="D27" i="3" l="1"/>
  <c r="E25" i="3"/>
  <c r="E26" i="3"/>
  <c r="E27" i="3" l="1"/>
  <c r="F2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<sst xmlns="http://schemas.openxmlformats.org/spreadsheetml/2006/main" count="450" uniqueCount="73">
  <si>
    <t>9 Pay 12 Contract Deferred Compensation Calculator</t>
  </si>
  <si>
    <t>Academic Year Breakdown</t>
  </si>
  <si>
    <r>
      <rPr>
        <b/>
        <sz val="12"/>
        <color theme="1"/>
        <rFont val="Calibri"/>
        <family val="2"/>
        <scheme val="minor"/>
      </rPr>
      <t xml:space="preserve">Instructions: </t>
    </r>
    <r>
      <rPr>
        <sz val="12"/>
        <color theme="1"/>
        <rFont val="Calibri"/>
        <family val="2"/>
        <scheme val="minor"/>
      </rPr>
      <t>Select your Campus from the drop-down field selection and enter your anticipated combined Contract amounts for the Academic Year below. Contract dates and monthly breakdown will automatically calculate your 9 Pay 12 Contact amounts in the chart to the right.</t>
    </r>
  </si>
  <si>
    <t>Month Number</t>
  </si>
  <si>
    <t>Month</t>
  </si>
  <si>
    <t>CRG</t>
  </si>
  <si>
    <t>ENP</t>
  </si>
  <si>
    <t>Check Gross</t>
  </si>
  <si>
    <t>Month One:</t>
  </si>
  <si>
    <t>Month Two:</t>
  </si>
  <si>
    <t>Month Three:</t>
  </si>
  <si>
    <t>of</t>
  </si>
  <si>
    <t>Work Days in</t>
  </si>
  <si>
    <t>Campus:</t>
  </si>
  <si>
    <t>UCCS</t>
  </si>
  <si>
    <t>Employee Group:</t>
  </si>
  <si>
    <t>Faculty</t>
  </si>
  <si>
    <t>Month Four:</t>
  </si>
  <si>
    <t>Full Months in</t>
  </si>
  <si>
    <t>Year</t>
  </si>
  <si>
    <t>Contract Type:</t>
  </si>
  <si>
    <t>Month Five:</t>
  </si>
  <si>
    <t>Contract Begin Date:</t>
  </si>
  <si>
    <t>Contract End Date:</t>
  </si>
  <si>
    <t>Month Six:</t>
  </si>
  <si>
    <t>Payment Begin Date:</t>
  </si>
  <si>
    <t>Payment End Date:</t>
  </si>
  <si>
    <t>Month Seven:</t>
  </si>
  <si>
    <t>Month Eight:</t>
  </si>
  <si>
    <t>Contract Worth:</t>
  </si>
  <si>
    <t>Tax Year:</t>
  </si>
  <si>
    <t>Month Nine:</t>
  </si>
  <si>
    <t>Academic Year:</t>
  </si>
  <si>
    <t>Month Ten:</t>
  </si>
  <si>
    <t>Deferred Comp Amt:</t>
  </si>
  <si>
    <t>Maximum Deferred:</t>
  </si>
  <si>
    <t>Month Eleven:</t>
  </si>
  <si>
    <t>Contract</t>
  </si>
  <si>
    <t>Prorated First Month Pay:</t>
  </si>
  <si>
    <t>Work Days:</t>
  </si>
  <si>
    <t>Contract 9x12 Option:</t>
  </si>
  <si>
    <t>Month Twelve:</t>
  </si>
  <si>
    <t>Full Months Pay:</t>
  </si>
  <si>
    <t>Full Months:</t>
  </si>
  <si>
    <t>Month Thirteen:</t>
  </si>
  <si>
    <t>Prorated Last Month Pay:</t>
  </si>
  <si>
    <t>Totals</t>
  </si>
  <si>
    <t>Calculation of 12-Month Contract Proration</t>
  </si>
  <si>
    <r>
      <rPr>
        <b/>
        <sz val="12"/>
        <color rgb="FF000000"/>
        <rFont val="Calibri"/>
        <family val="2"/>
      </rPr>
      <t xml:space="preserve">Using the Calculator:
</t>
    </r>
    <r>
      <rPr>
        <sz val="12"/>
        <color rgb="FF000000"/>
        <rFont val="Calibri"/>
        <family val="2"/>
      </rPr>
      <t xml:space="preserve">     Enter your appropriate Campus and the total Contract Worth for </t>
    </r>
    <r>
      <rPr>
        <b/>
        <sz val="12"/>
        <color rgb="FF000000"/>
        <rFont val="Calibri"/>
        <family val="2"/>
      </rPr>
      <t>all</t>
    </r>
    <r>
      <rPr>
        <sz val="12"/>
        <color rgb="FF000000"/>
        <rFont val="Calibri"/>
        <family val="2"/>
      </rPr>
      <t xml:space="preserve"> contracts intended to be paid over the full 12 months. The calculator will provide the CRG (Contract Regular earnings) and ENP (Earnings Not Paid) values for each month and the net Gross pay for each month. It will also indicate if a 9x12 contract payment option is Available or Not Available, and the full deferred compensation amount that would be carried into the following year.
     For campuses who begin their contract in the middle of the month, there is a partial amount for Month One and Month Thirteen, the first and last month the contract would pay. For example: A contract that begins in the middle of August pays a partial month in the latter portion of August, then again pays a partial month for the beginning of August one year later. Month Thirteen is not used if no proration exists.</t>
    </r>
  </si>
  <si>
    <t>Payment</t>
  </si>
  <si>
    <t>Prorated Days:</t>
  </si>
  <si>
    <t>12-Month Adjusted Total Length:</t>
  </si>
  <si>
    <t>12-Month Adjusted Monthly Amount:</t>
  </si>
  <si>
    <t>Denver</t>
  </si>
  <si>
    <t>Calculation of 9-Month Contract Proration</t>
  </si>
  <si>
    <t>9-Month Adjusted Total Length:</t>
  </si>
  <si>
    <t>9-Month Adjusted Monthly Amount:</t>
  </si>
  <si>
    <t>For Display Purposes Only</t>
  </si>
  <si>
    <t>Days</t>
  </si>
  <si>
    <t>Check Total</t>
  </si>
  <si>
    <t>Boulder</t>
  </si>
  <si>
    <t>Max Contract Worth Allowed:</t>
  </si>
  <si>
    <t>Business Unit</t>
  </si>
  <si>
    <t>Employee Group</t>
  </si>
  <si>
    <t>Contract Pay Type</t>
  </si>
  <si>
    <t>Tax Year</t>
  </si>
  <si>
    <t>Max Deferred Compensation</t>
  </si>
  <si>
    <t>Contract Begin Date</t>
  </si>
  <si>
    <t>Contract End Date</t>
  </si>
  <si>
    <t>Payment Begin Date</t>
  </si>
  <si>
    <t>Payment End Date</t>
  </si>
  <si>
    <t>Fclt 9/12</t>
  </si>
  <si>
    <t>WARNING!!!
 THESE AMOUNTS ARE NOT FOR THE CURRENT YEAR
WARNING!!!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</si>
</sst>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quot;$&quot;#,##0.00"/>
    <numFmt numFmtId="165" formatCode="0.0000"/>
    <numFmt numFmtId="166" formatCode="&quot;$&quot;#,##0"/>
  </numFmts>
  <fonts count="19" x14ac:knownFonts="1">
    <font>
      <sz val="11"/>
      <color theme="1"/>
      <name val="Calibri"/>
      <family val="2"/>
      <scheme val="minor"/>
    </font>
    <font>
      <b/>
      <sz val="11"/>
      <color theme="1"/>
      <name val="Calibri"/>
      <family val="2"/>
      <scheme val="minor"/>
    </font>
    <font>
      <b/>
      <sz val="11"/>
      <color rgb="FF7030A0"/>
      <name val="Calibri"/>
      <family val="2"/>
      <scheme val="minor"/>
    </font>
    <font>
      <sz val="11"/>
      <name val="Calibri"/>
      <family val="2"/>
      <scheme val="minor"/>
    </font>
    <font>
      <sz val="12"/>
      <color theme="1"/>
      <name val="Calibri"/>
      <family val="2"/>
      <scheme val="minor"/>
    </font>
    <font>
      <b/>
      <sz val="12"/>
      <color theme="1"/>
      <name val="Calibri"/>
      <family val="2"/>
      <scheme val="minor"/>
    </font>
    <font>
      <sz val="16"/>
      <color theme="1"/>
      <name val="Calibri"/>
      <family val="2"/>
      <scheme val="minor"/>
    </font>
    <font>
      <sz val="14"/>
      <color theme="1"/>
      <name val="Calibri"/>
      <family val="2"/>
      <scheme val="minor"/>
    </font>
    <font>
      <b/>
      <sz val="14"/>
      <color theme="1"/>
      <name val="Calibri"/>
      <family val="2"/>
      <scheme val="minor"/>
    </font>
    <font>
      <b/>
      <sz val="14"/>
      <color rgb="FF7030A0"/>
      <name val="Calibri"/>
      <family val="2"/>
      <scheme val="minor"/>
    </font>
    <font>
      <sz val="14"/>
      <name val="Calibri"/>
      <family val="2"/>
      <scheme val="minor"/>
    </font>
    <font>
      <sz val="12"/>
      <color theme="0"/>
      <name val="Calibri"/>
      <family val="2"/>
      <scheme val="minor"/>
    </font>
    <font>
      <b/>
      <i/>
      <sz val="11"/>
      <color theme="1"/>
      <name val="Calibri"/>
      <family val="2"/>
      <scheme val="minor"/>
    </font>
    <font>
      <i/>
      <sz val="11"/>
      <color theme="1"/>
      <name val="Calibri"/>
      <family val="2"/>
      <scheme val="minor"/>
    </font>
    <font>
      <sz val="12"/>
      <name val="Calibri"/>
      <family val="2"/>
      <scheme val="minor"/>
    </font>
    <font>
      <b/>
      <sz val="12"/>
      <color theme="0"/>
      <name val="Calibri"/>
      <family val="2"/>
      <scheme val="minor"/>
    </font>
    <font>
      <b/>
      <sz val="12"/>
      <color rgb="FF000000"/>
      <name val="Calibri"/>
      <family val="2"/>
    </font>
    <font>
      <sz val="12"/>
      <color rgb="FF000000"/>
      <name val="Calibri"/>
      <family val="2"/>
    </font>
    <font>
      <b/>
      <sz val="12"/>
      <color rgb="FFFFFFFF"/>
      <name val="Calibri"/>
      <family val="2"/>
      <scheme val="minor"/>
    </font>
  </fonts>
  <fills count="17">
    <fill>
      <patternFill patternType="none"/>
    </fill>
    <fill>
      <patternFill patternType="gray125"/>
    </fill>
    <fill>
      <patternFill patternType="solid">
        <fgColor theme="5"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9" tint="0.59996337778862885"/>
        <bgColor indexed="64"/>
      </patternFill>
    </fill>
    <fill>
      <patternFill patternType="solid">
        <fgColor theme="9" tint="-0.249977111117893"/>
        <bgColor indexed="64"/>
      </patternFill>
    </fill>
    <fill>
      <patternFill patternType="solid">
        <fgColor theme="9" tint="-0.24994659260841701"/>
        <bgColor indexed="64"/>
      </patternFill>
    </fill>
    <fill>
      <patternFill patternType="solid">
        <fgColor theme="7" tint="0.59999389629810485"/>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rgb="FFFF9797"/>
        <bgColor indexed="64"/>
      </patternFill>
    </fill>
    <fill>
      <patternFill patternType="solid">
        <fgColor rgb="FFDCA4F2"/>
        <bgColor indexed="64"/>
      </patternFill>
    </fill>
    <fill>
      <patternFill patternType="solid">
        <fgColor rgb="FFFFC000"/>
        <bgColor indexed="64"/>
      </patternFill>
    </fill>
    <fill>
      <patternFill patternType="solid">
        <fgColor rgb="FFFFFFFF"/>
        <bgColor indexed="64"/>
      </patternFill>
    </fill>
  </fills>
  <borders count="2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style="medium">
        <color auto="1"/>
      </right>
      <top style="medium">
        <color auto="1"/>
      </top>
      <bottom style="medium">
        <color auto="1"/>
      </bottom>
      <diagonal/>
    </border>
    <border>
      <left/>
      <right/>
      <top style="medium">
        <color auto="1"/>
      </top>
      <bottom/>
      <diagonal/>
    </border>
    <border>
      <left style="medium">
        <color auto="1"/>
      </left>
      <right/>
      <top/>
      <bottom/>
      <diagonal/>
    </border>
    <border>
      <left/>
      <right style="medium">
        <color auto="1"/>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208">
    <xf numFmtId="0" fontId="0" fillId="0" borderId="0" xfId="0"/>
    <xf numFmtId="0" fontId="0" fillId="0" borderId="0" xfId="0" applyAlignment="1">
      <alignment horizontal="center"/>
    </xf>
    <xf numFmtId="164" fontId="0" fillId="0" borderId="0" xfId="0" applyNumberFormat="1" applyAlignment="1">
      <alignment horizontal="center"/>
    </xf>
    <xf numFmtId="0" fontId="0" fillId="4" borderId="1" xfId="0" applyFill="1" applyBorder="1" applyAlignment="1">
      <alignment vertical="center"/>
    </xf>
    <xf numFmtId="0" fontId="0" fillId="4" borderId="2" xfId="0" applyFill="1" applyBorder="1" applyAlignment="1">
      <alignment vertical="center"/>
    </xf>
    <xf numFmtId="0" fontId="0" fillId="0" borderId="4" xfId="0" applyBorder="1" applyAlignment="1">
      <alignment vertical="center"/>
    </xf>
    <xf numFmtId="0" fontId="1" fillId="4" borderId="4" xfId="0" applyFont="1" applyFill="1" applyBorder="1" applyAlignment="1">
      <alignment horizontal="right" vertical="center"/>
    </xf>
    <xf numFmtId="0" fontId="0" fillId="4" borderId="11" xfId="0" applyFill="1" applyBorder="1" applyAlignment="1">
      <alignment vertical="center"/>
    </xf>
    <xf numFmtId="0" fontId="1" fillId="4" borderId="12" xfId="0" applyFont="1" applyFill="1" applyBorder="1" applyAlignment="1">
      <alignment horizontal="right" vertical="center"/>
    </xf>
    <xf numFmtId="0" fontId="0" fillId="4" borderId="0" xfId="0" applyFill="1" applyAlignment="1">
      <alignment vertical="center"/>
    </xf>
    <xf numFmtId="0" fontId="0" fillId="4" borderId="10" xfId="0" applyFill="1" applyBorder="1" applyAlignment="1">
      <alignment horizontal="center" vertical="center"/>
    </xf>
    <xf numFmtId="0" fontId="0" fillId="0" borderId="1" xfId="0" applyBorder="1" applyAlignment="1">
      <alignment horizontal="right"/>
    </xf>
    <xf numFmtId="0" fontId="0" fillId="0" borderId="2" xfId="0" applyBorder="1" applyAlignment="1">
      <alignment horizontal="right"/>
    </xf>
    <xf numFmtId="1" fontId="1" fillId="0" borderId="2" xfId="0" applyNumberFormat="1" applyFont="1" applyBorder="1" applyAlignment="1">
      <alignment horizontal="center"/>
    </xf>
    <xf numFmtId="0" fontId="0" fillId="0" borderId="2" xfId="0" applyBorder="1" applyAlignment="1">
      <alignment horizontal="center"/>
    </xf>
    <xf numFmtId="0" fontId="1" fillId="0" borderId="2" xfId="0" applyFont="1" applyBorder="1" applyAlignment="1">
      <alignment horizontal="center"/>
    </xf>
    <xf numFmtId="0" fontId="0" fillId="0" borderId="3" xfId="0" applyBorder="1" applyAlignment="1">
      <alignment horizontal="center"/>
    </xf>
    <xf numFmtId="14" fontId="0" fillId="4" borderId="0" xfId="0" applyNumberFormat="1" applyFill="1" applyAlignment="1">
      <alignment horizontal="center" vertical="center"/>
    </xf>
    <xf numFmtId="0" fontId="0" fillId="0" borderId="4" xfId="0" applyBorder="1" applyAlignment="1">
      <alignment horizontal="right"/>
    </xf>
    <xf numFmtId="0" fontId="0" fillId="0" borderId="0" xfId="0" applyAlignment="1">
      <alignment horizontal="right"/>
    </xf>
    <xf numFmtId="1" fontId="1" fillId="0" borderId="0" xfId="0" applyNumberFormat="1" applyFont="1" applyAlignment="1">
      <alignment horizontal="center"/>
    </xf>
    <xf numFmtId="0" fontId="1" fillId="0" borderId="0" xfId="0" applyFont="1" applyAlignment="1">
      <alignment horizontal="center"/>
    </xf>
    <xf numFmtId="0" fontId="0" fillId="0" borderId="5" xfId="0" applyBorder="1" applyAlignment="1">
      <alignment horizontal="center"/>
    </xf>
    <xf numFmtId="0" fontId="1" fillId="4" borderId="4" xfId="0" applyFont="1" applyFill="1" applyBorder="1" applyAlignment="1">
      <alignment vertical="center"/>
    </xf>
    <xf numFmtId="164" fontId="1" fillId="4" borderId="0" xfId="0" applyNumberFormat="1" applyFont="1" applyFill="1" applyAlignment="1">
      <alignment horizontal="center" vertical="center"/>
    </xf>
    <xf numFmtId="0" fontId="1" fillId="4" borderId="0" xfId="0" applyFont="1" applyFill="1" applyAlignment="1">
      <alignment horizontal="right" vertical="center"/>
    </xf>
    <xf numFmtId="0" fontId="0" fillId="0" borderId="4" xfId="0" applyBorder="1"/>
    <xf numFmtId="0" fontId="0" fillId="0" borderId="5" xfId="0" applyBorder="1"/>
    <xf numFmtId="0" fontId="0" fillId="4" borderId="4" xfId="0" applyFill="1" applyBorder="1" applyAlignment="1">
      <alignment vertical="center"/>
    </xf>
    <xf numFmtId="0" fontId="1" fillId="4" borderId="0" xfId="0" applyFont="1" applyFill="1" applyAlignment="1">
      <alignment vertical="center"/>
    </xf>
    <xf numFmtId="165" fontId="1" fillId="0" borderId="0" xfId="0" applyNumberFormat="1" applyFont="1" applyAlignment="1">
      <alignment horizontal="left"/>
    </xf>
    <xf numFmtId="164" fontId="2" fillId="4" borderId="0" xfId="0" applyNumberFormat="1" applyFont="1" applyFill="1" applyAlignment="1">
      <alignment horizontal="center" vertical="center"/>
    </xf>
    <xf numFmtId="166" fontId="0" fillId="4" borderId="0" xfId="0" applyNumberFormat="1" applyFill="1" applyAlignment="1">
      <alignment horizontal="center" vertical="center"/>
    </xf>
    <xf numFmtId="164" fontId="1" fillId="0" borderId="0" xfId="0" applyNumberFormat="1" applyFont="1" applyAlignment="1">
      <alignment horizontal="left"/>
    </xf>
    <xf numFmtId="0" fontId="0" fillId="0" borderId="4" xfId="0" applyBorder="1" applyAlignment="1">
      <alignment horizontal="left"/>
    </xf>
    <xf numFmtId="0" fontId="0" fillId="0" borderId="0" xfId="0" applyAlignment="1">
      <alignment horizontal="left"/>
    </xf>
    <xf numFmtId="164" fontId="0" fillId="0" borderId="0" xfId="0" applyNumberFormat="1" applyAlignment="1">
      <alignment horizontal="left"/>
    </xf>
    <xf numFmtId="1" fontId="0" fillId="0" borderId="0" xfId="0" applyNumberFormat="1" applyAlignment="1">
      <alignment horizontal="center"/>
    </xf>
    <xf numFmtId="164" fontId="0" fillId="0" borderId="0" xfId="0" applyNumberFormat="1"/>
    <xf numFmtId="0" fontId="0" fillId="4" borderId="6" xfId="0" applyFill="1" applyBorder="1" applyAlignment="1">
      <alignment vertical="center"/>
    </xf>
    <xf numFmtId="0" fontId="0" fillId="4" borderId="7" xfId="0" applyFill="1" applyBorder="1" applyAlignment="1">
      <alignment vertical="center"/>
    </xf>
    <xf numFmtId="0" fontId="0" fillId="0" borderId="2" xfId="0" applyBorder="1" applyAlignment="1">
      <alignment vertical="center"/>
    </xf>
    <xf numFmtId="0" fontId="0" fillId="0" borderId="6" xfId="0" applyBorder="1" applyAlignment="1">
      <alignment horizontal="right"/>
    </xf>
    <xf numFmtId="1" fontId="0" fillId="0" borderId="7" xfId="0" applyNumberFormat="1" applyBorder="1" applyAlignment="1">
      <alignment horizontal="center"/>
    </xf>
    <xf numFmtId="164" fontId="0" fillId="0" borderId="7" xfId="0" applyNumberFormat="1" applyBorder="1"/>
    <xf numFmtId="0" fontId="0" fillId="0" borderId="8" xfId="0" applyBorder="1" applyAlignment="1">
      <alignment horizontal="center"/>
    </xf>
    <xf numFmtId="165" fontId="0" fillId="0" borderId="0" xfId="0" applyNumberFormat="1"/>
    <xf numFmtId="0" fontId="1" fillId="0" borderId="1" xfId="0" applyFont="1" applyBorder="1" applyAlignment="1">
      <alignment horizontal="right"/>
    </xf>
    <xf numFmtId="0" fontId="1" fillId="0" borderId="3" xfId="0" applyFont="1" applyBorder="1" applyAlignment="1">
      <alignment horizontal="center"/>
    </xf>
    <xf numFmtId="0" fontId="1" fillId="0" borderId="4" xfId="0" applyFont="1" applyBorder="1" applyAlignment="1">
      <alignment horizontal="right"/>
    </xf>
    <xf numFmtId="0" fontId="1" fillId="0" borderId="5" xfId="0" applyFont="1" applyBorder="1" applyAlignment="1">
      <alignment horizontal="center"/>
    </xf>
    <xf numFmtId="0" fontId="0" fillId="2" borderId="4" xfId="0" applyFill="1" applyBorder="1" applyAlignment="1">
      <alignment horizontal="right"/>
    </xf>
    <xf numFmtId="0" fontId="0" fillId="2" borderId="0" xfId="0" applyFill="1" applyAlignment="1">
      <alignment horizontal="center"/>
    </xf>
    <xf numFmtId="1" fontId="0" fillId="2" borderId="0" xfId="0" applyNumberFormat="1" applyFill="1" applyAlignment="1">
      <alignment horizontal="center"/>
    </xf>
    <xf numFmtId="4" fontId="0" fillId="2" borderId="0" xfId="0" applyNumberFormat="1" applyFill="1" applyAlignment="1">
      <alignment horizontal="center"/>
    </xf>
    <xf numFmtId="4" fontId="0" fillId="2" borderId="5" xfId="0" applyNumberFormat="1" applyFill="1" applyBorder="1" applyAlignment="1">
      <alignment horizontal="center"/>
    </xf>
    <xf numFmtId="4" fontId="0" fillId="0" borderId="0" xfId="0" applyNumberFormat="1" applyAlignment="1">
      <alignment horizontal="center"/>
    </xf>
    <xf numFmtId="4" fontId="0" fillId="0" borderId="5" xfId="0" applyNumberFormat="1" applyBorder="1" applyAlignment="1">
      <alignment horizontal="center"/>
    </xf>
    <xf numFmtId="0" fontId="0" fillId="3" borderId="4" xfId="0" applyFill="1" applyBorder="1" applyAlignment="1">
      <alignment horizontal="right"/>
    </xf>
    <xf numFmtId="0" fontId="0" fillId="3" borderId="0" xfId="0" applyFill="1" applyAlignment="1">
      <alignment horizontal="center"/>
    </xf>
    <xf numFmtId="1" fontId="0" fillId="3" borderId="0" xfId="0" applyNumberFormat="1" applyFill="1" applyAlignment="1">
      <alignment horizontal="center"/>
    </xf>
    <xf numFmtId="4" fontId="0" fillId="3" borderId="0" xfId="0" applyNumberFormat="1" applyFill="1" applyAlignment="1">
      <alignment horizontal="center"/>
    </xf>
    <xf numFmtId="4" fontId="3" fillId="3" borderId="0" xfId="0" applyNumberFormat="1" applyFont="1" applyFill="1" applyAlignment="1">
      <alignment horizontal="center"/>
    </xf>
    <xf numFmtId="4" fontId="0" fillId="3" borderId="5" xfId="0" applyNumberFormat="1" applyFill="1" applyBorder="1" applyAlignment="1">
      <alignment horizontal="center"/>
    </xf>
    <xf numFmtId="0" fontId="0" fillId="0" borderId="8" xfId="0" applyBorder="1"/>
    <xf numFmtId="14" fontId="0" fillId="0" borderId="0" xfId="0" applyNumberFormat="1"/>
    <xf numFmtId="0" fontId="0" fillId="0" borderId="6" xfId="0" applyBorder="1" applyAlignment="1">
      <alignment horizontal="center"/>
    </xf>
    <xf numFmtId="0" fontId="0" fillId="0" borderId="7" xfId="0" applyBorder="1" applyAlignment="1">
      <alignment horizontal="center"/>
    </xf>
    <xf numFmtId="4" fontId="1" fillId="0" borderId="7" xfId="0" applyNumberFormat="1" applyFont="1" applyBorder="1" applyAlignment="1">
      <alignment horizontal="center"/>
    </xf>
    <xf numFmtId="4" fontId="1" fillId="0" borderId="8" xfId="0" applyNumberFormat="1" applyFont="1" applyBorder="1" applyAlignment="1">
      <alignment horizontal="center"/>
    </xf>
    <xf numFmtId="164" fontId="0" fillId="5" borderId="9" xfId="0" applyNumberFormat="1" applyFill="1" applyBorder="1" applyAlignment="1">
      <alignment horizontal="center" vertical="center"/>
    </xf>
    <xf numFmtId="0" fontId="0" fillId="4" borderId="13" xfId="0" applyFill="1" applyBorder="1" applyAlignment="1">
      <alignment horizontal="center" vertical="center"/>
    </xf>
    <xf numFmtId="0" fontId="0" fillId="0" borderId="0" xfId="0" applyAlignment="1">
      <alignment vertical="center"/>
    </xf>
    <xf numFmtId="0" fontId="0" fillId="6" borderId="9" xfId="0" applyFill="1" applyBorder="1" applyAlignment="1" applyProtection="1">
      <alignment horizontal="center" vertical="center"/>
      <protection locked="0"/>
    </xf>
    <xf numFmtId="1" fontId="0" fillId="6" borderId="9" xfId="0" applyNumberFormat="1" applyFill="1" applyBorder="1" applyAlignment="1" applyProtection="1">
      <alignment horizontal="center" vertical="center"/>
      <protection locked="0"/>
    </xf>
    <xf numFmtId="164" fontId="0" fillId="6" borderId="9" xfId="0" applyNumberFormat="1" applyFill="1" applyBorder="1" applyAlignment="1" applyProtection="1">
      <alignment horizontal="center" vertical="center"/>
      <protection locked="0"/>
    </xf>
    <xf numFmtId="0" fontId="0" fillId="6" borderId="9" xfId="0" applyFill="1" applyBorder="1" applyAlignment="1">
      <alignment horizontal="center" vertical="center"/>
    </xf>
    <xf numFmtId="14" fontId="0" fillId="6" borderId="9" xfId="0" applyNumberFormat="1" applyFill="1" applyBorder="1" applyAlignment="1">
      <alignment horizontal="center" vertical="center"/>
    </xf>
    <xf numFmtId="1" fontId="0" fillId="6" borderId="9" xfId="0" applyNumberFormat="1" applyFill="1" applyBorder="1" applyAlignment="1">
      <alignment horizontal="center" vertical="center"/>
    </xf>
    <xf numFmtId="164" fontId="0" fillId="6" borderId="9" xfId="0" applyNumberFormat="1" applyFill="1" applyBorder="1" applyAlignment="1">
      <alignment horizontal="center" vertical="center"/>
    </xf>
    <xf numFmtId="0" fontId="4" fillId="0" borderId="2" xfId="0" applyFont="1" applyBorder="1" applyAlignment="1">
      <alignment vertical="center"/>
    </xf>
    <xf numFmtId="0" fontId="4" fillId="0" borderId="0" xfId="0" applyFont="1"/>
    <xf numFmtId="0" fontId="4" fillId="0" borderId="0" xfId="0" applyFont="1" applyAlignment="1">
      <alignment vertical="center"/>
    </xf>
    <xf numFmtId="0" fontId="7" fillId="0" borderId="0" xfId="0" applyFont="1"/>
    <xf numFmtId="0" fontId="7" fillId="4" borderId="4" xfId="0" applyFont="1" applyFill="1" applyBorder="1" applyAlignment="1">
      <alignment vertical="center"/>
    </xf>
    <xf numFmtId="0" fontId="7" fillId="4" borderId="0" xfId="0" applyFont="1" applyFill="1" applyAlignment="1">
      <alignment vertical="center"/>
    </xf>
    <xf numFmtId="0" fontId="8" fillId="4" borderId="4" xfId="0" applyFont="1" applyFill="1" applyBorder="1" applyAlignment="1">
      <alignment horizontal="right" vertical="center"/>
    </xf>
    <xf numFmtId="0" fontId="7" fillId="6" borderId="9" xfId="0" applyFont="1" applyFill="1" applyBorder="1" applyAlignment="1" applyProtection="1">
      <alignment horizontal="center" vertical="center"/>
      <protection locked="0"/>
    </xf>
    <xf numFmtId="0" fontId="7" fillId="4" borderId="11" xfId="0" applyFont="1" applyFill="1" applyBorder="1" applyAlignment="1">
      <alignment vertical="center"/>
    </xf>
    <xf numFmtId="0" fontId="8" fillId="4" borderId="0" xfId="0" applyFont="1" applyFill="1" applyAlignment="1">
      <alignment horizontal="right" vertical="center"/>
    </xf>
    <xf numFmtId="0" fontId="7" fillId="4" borderId="10" xfId="0" applyFont="1" applyFill="1" applyBorder="1" applyAlignment="1">
      <alignment horizontal="center" vertical="center"/>
    </xf>
    <xf numFmtId="14" fontId="7" fillId="4" borderId="0" xfId="0" applyNumberFormat="1" applyFont="1" applyFill="1" applyAlignment="1">
      <alignment horizontal="center" vertical="center"/>
    </xf>
    <xf numFmtId="0" fontId="8" fillId="4" borderId="4" xfId="0" applyFont="1" applyFill="1" applyBorder="1" applyAlignment="1">
      <alignment vertical="center"/>
    </xf>
    <xf numFmtId="164" fontId="7" fillId="6" borderId="9" xfId="0" applyNumberFormat="1" applyFont="1" applyFill="1" applyBorder="1" applyAlignment="1" applyProtection="1">
      <alignment horizontal="center" vertical="center"/>
      <protection locked="0"/>
    </xf>
    <xf numFmtId="164" fontId="8" fillId="4" borderId="0" xfId="0" applyNumberFormat="1" applyFont="1" applyFill="1" applyAlignment="1">
      <alignment horizontal="center" vertical="center"/>
    </xf>
    <xf numFmtId="0" fontId="7" fillId="4" borderId="0" xfId="0" applyFont="1" applyFill="1" applyAlignment="1">
      <alignment horizontal="center" vertical="center"/>
    </xf>
    <xf numFmtId="164" fontId="9" fillId="4" borderId="0" xfId="0" applyNumberFormat="1" applyFont="1" applyFill="1" applyAlignment="1">
      <alignment horizontal="center" vertical="center"/>
    </xf>
    <xf numFmtId="0" fontId="7" fillId="4" borderId="6" xfId="0" applyFont="1" applyFill="1" applyBorder="1" applyAlignment="1">
      <alignment vertical="center"/>
    </xf>
    <xf numFmtId="0" fontId="7" fillId="4" borderId="7" xfId="0" applyFont="1" applyFill="1" applyBorder="1" applyAlignment="1">
      <alignment vertical="center"/>
    </xf>
    <xf numFmtId="0" fontId="7" fillId="0" borderId="0" xfId="0" applyFont="1" applyAlignment="1">
      <alignment vertical="center"/>
    </xf>
    <xf numFmtId="0" fontId="7" fillId="7" borderId="4" xfId="0" applyFont="1" applyFill="1" applyBorder="1" applyAlignment="1">
      <alignment horizontal="right"/>
    </xf>
    <xf numFmtId="0" fontId="7" fillId="7" borderId="0" xfId="0" applyFont="1" applyFill="1" applyAlignment="1">
      <alignment horizontal="center"/>
    </xf>
    <xf numFmtId="4" fontId="7" fillId="7" borderId="0" xfId="0" applyNumberFormat="1" applyFont="1" applyFill="1" applyAlignment="1">
      <alignment horizontal="center"/>
    </xf>
    <xf numFmtId="4" fontId="7" fillId="7" borderId="5" xfId="0" applyNumberFormat="1" applyFont="1" applyFill="1" applyBorder="1" applyAlignment="1">
      <alignment horizontal="center"/>
    </xf>
    <xf numFmtId="0" fontId="7" fillId="8" borderId="4" xfId="0" applyFont="1" applyFill="1" applyBorder="1" applyAlignment="1">
      <alignment horizontal="right"/>
    </xf>
    <xf numFmtId="0" fontId="7" fillId="8" borderId="0" xfId="0" applyFont="1" applyFill="1" applyAlignment="1">
      <alignment horizontal="center"/>
    </xf>
    <xf numFmtId="4" fontId="7" fillId="8" borderId="0" xfId="0" applyNumberFormat="1" applyFont="1" applyFill="1" applyAlignment="1">
      <alignment horizontal="center"/>
    </xf>
    <xf numFmtId="4" fontId="7" fillId="8" borderId="5" xfId="0" applyNumberFormat="1" applyFont="1" applyFill="1" applyBorder="1" applyAlignment="1">
      <alignment horizontal="center"/>
    </xf>
    <xf numFmtId="4" fontId="10" fillId="7" borderId="0" xfId="0" applyNumberFormat="1" applyFont="1" applyFill="1" applyAlignment="1">
      <alignment horizontal="center"/>
    </xf>
    <xf numFmtId="4" fontId="10" fillId="8" borderId="0" xfId="0" applyNumberFormat="1" applyFont="1" applyFill="1" applyAlignment="1">
      <alignment horizontal="center"/>
    </xf>
    <xf numFmtId="0" fontId="6" fillId="0" borderId="0" xfId="0" applyFont="1"/>
    <xf numFmtId="0" fontId="7" fillId="4" borderId="0" xfId="0" applyFont="1" applyFill="1" applyAlignment="1">
      <alignment horizontal="left" vertical="top" wrapText="1"/>
    </xf>
    <xf numFmtId="0" fontId="7" fillId="4" borderId="4" xfId="0" applyFont="1" applyFill="1" applyBorder="1" applyAlignment="1">
      <alignment horizontal="left" vertical="top" wrapText="1"/>
    </xf>
    <xf numFmtId="0" fontId="11" fillId="0" borderId="0" xfId="0" applyFont="1"/>
    <xf numFmtId="0" fontId="8" fillId="9" borderId="1" xfId="0" applyFont="1" applyFill="1" applyBorder="1" applyAlignment="1">
      <alignment horizontal="right"/>
    </xf>
    <xf numFmtId="0" fontId="8" fillId="9" borderId="2" xfId="0" applyFont="1" applyFill="1" applyBorder="1" applyAlignment="1">
      <alignment horizontal="center"/>
    </xf>
    <xf numFmtId="0" fontId="8" fillId="9" borderId="3" xfId="0" applyFont="1" applyFill="1" applyBorder="1" applyAlignment="1">
      <alignment horizontal="center"/>
    </xf>
    <xf numFmtId="0" fontId="8" fillId="9" borderId="4" xfId="0" applyFont="1" applyFill="1" applyBorder="1" applyAlignment="1">
      <alignment horizontal="right"/>
    </xf>
    <xf numFmtId="0" fontId="8" fillId="9" borderId="0" xfId="0" applyFont="1" applyFill="1" applyAlignment="1">
      <alignment horizontal="center"/>
    </xf>
    <xf numFmtId="0" fontId="8" fillId="9" borderId="5" xfId="0" applyFont="1" applyFill="1" applyBorder="1" applyAlignment="1">
      <alignment horizontal="center"/>
    </xf>
    <xf numFmtId="0" fontId="7" fillId="4" borderId="8" xfId="0" applyFont="1" applyFill="1" applyBorder="1" applyAlignment="1">
      <alignment vertical="center"/>
    </xf>
    <xf numFmtId="0" fontId="7" fillId="8" borderId="6" xfId="0" applyFont="1" applyFill="1" applyBorder="1" applyAlignment="1">
      <alignment horizontal="center" vertical="center"/>
    </xf>
    <xf numFmtId="0" fontId="8" fillId="8" borderId="7" xfId="0" applyFont="1" applyFill="1" applyBorder="1" applyAlignment="1">
      <alignment horizontal="center" vertical="center"/>
    </xf>
    <xf numFmtId="4" fontId="8" fillId="8" borderId="7" xfId="0" applyNumberFormat="1" applyFont="1" applyFill="1" applyBorder="1" applyAlignment="1">
      <alignment horizontal="center" vertical="center"/>
    </xf>
    <xf numFmtId="4" fontId="8" fillId="8" borderId="8" xfId="0" applyNumberFormat="1" applyFont="1" applyFill="1" applyBorder="1" applyAlignment="1">
      <alignment horizontal="center" vertical="center"/>
    </xf>
    <xf numFmtId="164" fontId="7" fillId="4" borderId="5" xfId="0" applyNumberFormat="1" applyFont="1" applyFill="1" applyBorder="1" applyAlignment="1">
      <alignment horizontal="center" vertical="center"/>
    </xf>
    <xf numFmtId="164" fontId="0" fillId="2" borderId="0" xfId="0" applyNumberFormat="1" applyFill="1" applyAlignment="1">
      <alignment horizontal="center"/>
    </xf>
    <xf numFmtId="14" fontId="0" fillId="2" borderId="0" xfId="0" applyNumberFormat="1" applyFill="1" applyAlignment="1">
      <alignment horizontal="center"/>
    </xf>
    <xf numFmtId="0" fontId="0" fillId="10" borderId="0" xfId="0" applyFill="1" applyAlignment="1">
      <alignment horizontal="center"/>
    </xf>
    <xf numFmtId="164" fontId="0" fillId="10" borderId="0" xfId="0" applyNumberFormat="1" applyFill="1" applyAlignment="1">
      <alignment horizontal="center"/>
    </xf>
    <xf numFmtId="14" fontId="0" fillId="10" borderId="0" xfId="0" applyNumberFormat="1" applyFill="1" applyAlignment="1">
      <alignment horizontal="center"/>
    </xf>
    <xf numFmtId="0" fontId="0" fillId="5" borderId="0" xfId="0" applyFill="1" applyAlignment="1">
      <alignment horizontal="center"/>
    </xf>
    <xf numFmtId="164" fontId="0" fillId="5" borderId="0" xfId="0" applyNumberFormat="1" applyFill="1" applyAlignment="1">
      <alignment horizontal="center"/>
    </xf>
    <xf numFmtId="14" fontId="0" fillId="5" borderId="0" xfId="0" applyNumberFormat="1" applyFill="1" applyAlignment="1">
      <alignment horizontal="center"/>
    </xf>
    <xf numFmtId="0" fontId="0" fillId="11" borderId="0" xfId="0" applyFill="1" applyAlignment="1">
      <alignment horizontal="center"/>
    </xf>
    <xf numFmtId="164" fontId="0" fillId="11" borderId="0" xfId="0" applyNumberFormat="1" applyFill="1" applyAlignment="1">
      <alignment horizontal="center"/>
    </xf>
    <xf numFmtId="14" fontId="0" fillId="11" borderId="0" xfId="0" applyNumberFormat="1" applyFill="1" applyAlignment="1">
      <alignment horizontal="center"/>
    </xf>
    <xf numFmtId="0" fontId="4" fillId="4" borderId="3" xfId="0" applyFont="1" applyFill="1" applyBorder="1" applyAlignment="1">
      <alignment vertical="center" wrapText="1"/>
    </xf>
    <xf numFmtId="0" fontId="4" fillId="4" borderId="5" xfId="0" applyFont="1" applyFill="1" applyBorder="1" applyAlignment="1">
      <alignment vertical="center" wrapText="1"/>
    </xf>
    <xf numFmtId="0" fontId="6" fillId="0" borderId="0" xfId="0" applyFont="1" applyAlignment="1">
      <alignment horizontal="center"/>
    </xf>
    <xf numFmtId="0" fontId="0" fillId="12" borderId="0" xfId="0" applyFill="1" applyAlignment="1">
      <alignment horizontal="center"/>
    </xf>
    <xf numFmtId="164" fontId="0" fillId="12" borderId="0" xfId="0" applyNumberFormat="1" applyFill="1" applyAlignment="1">
      <alignment horizontal="center"/>
    </xf>
    <xf numFmtId="14" fontId="0" fillId="12" borderId="0" xfId="0" applyNumberFormat="1" applyFill="1" applyAlignment="1">
      <alignment horizontal="center"/>
    </xf>
    <xf numFmtId="0" fontId="12" fillId="4" borderId="0" xfId="0" applyFont="1" applyFill="1" applyAlignment="1">
      <alignment horizontal="right" vertical="center"/>
    </xf>
    <xf numFmtId="166" fontId="13" fillId="4" borderId="5" xfId="0" applyNumberFormat="1" applyFont="1" applyFill="1" applyBorder="1" applyAlignment="1">
      <alignment horizontal="center" vertical="center"/>
    </xf>
    <xf numFmtId="0" fontId="7" fillId="4" borderId="5" xfId="0" applyFont="1" applyFill="1" applyBorder="1" applyAlignment="1">
      <alignment horizontal="center" vertical="center"/>
    </xf>
    <xf numFmtId="164" fontId="7" fillId="4" borderId="0" xfId="0" applyNumberFormat="1" applyFont="1" applyFill="1" applyAlignment="1">
      <alignment horizontal="center" vertical="center"/>
    </xf>
    <xf numFmtId="166" fontId="13" fillId="4" borderId="0" xfId="0" applyNumberFormat="1" applyFont="1" applyFill="1" applyAlignment="1">
      <alignment horizontal="center" vertical="center"/>
    </xf>
    <xf numFmtId="0" fontId="7" fillId="4" borderId="5" xfId="0" applyFont="1" applyFill="1" applyBorder="1" applyAlignment="1">
      <alignment horizontal="left" vertical="top" wrapText="1"/>
    </xf>
    <xf numFmtId="0" fontId="7" fillId="4" borderId="5" xfId="0" applyFont="1" applyFill="1" applyBorder="1" applyAlignment="1">
      <alignment vertical="center"/>
    </xf>
    <xf numFmtId="14" fontId="7" fillId="4" borderId="5" xfId="0" applyNumberFormat="1" applyFont="1" applyFill="1" applyBorder="1" applyAlignment="1">
      <alignment horizontal="center" vertical="center"/>
    </xf>
    <xf numFmtId="1" fontId="7" fillId="4" borderId="5" xfId="0" applyNumberFormat="1" applyFont="1" applyFill="1" applyBorder="1" applyAlignment="1">
      <alignment horizontal="center" vertical="center"/>
    </xf>
    <xf numFmtId="0" fontId="14" fillId="0" borderId="0" xfId="0" applyFont="1"/>
    <xf numFmtId="0" fontId="14" fillId="0" borderId="0" xfId="0" applyFont="1" applyAlignment="1">
      <alignment vertical="center"/>
    </xf>
    <xf numFmtId="0" fontId="0" fillId="13" borderId="0" xfId="0" applyFill="1" applyAlignment="1">
      <alignment horizontal="center"/>
    </xf>
    <xf numFmtId="164" fontId="0" fillId="13" borderId="0" xfId="0" applyNumberFormat="1" applyFill="1" applyAlignment="1">
      <alignment horizontal="center"/>
    </xf>
    <xf numFmtId="14" fontId="0" fillId="13" borderId="0" xfId="0" applyNumberFormat="1" applyFill="1" applyAlignment="1">
      <alignment horizontal="center"/>
    </xf>
    <xf numFmtId="0" fontId="0" fillId="14" borderId="0" xfId="0" applyFill="1" applyAlignment="1">
      <alignment horizontal="center"/>
    </xf>
    <xf numFmtId="164" fontId="0" fillId="14" borderId="0" xfId="0" applyNumberFormat="1" applyFill="1" applyAlignment="1">
      <alignment horizontal="center"/>
    </xf>
    <xf numFmtId="14" fontId="0" fillId="14" borderId="0" xfId="0" applyNumberFormat="1" applyFill="1" applyAlignment="1">
      <alignment horizontal="center"/>
    </xf>
    <xf numFmtId="4" fontId="3" fillId="0" borderId="0" xfId="0" applyNumberFormat="1" applyFont="1" applyAlignment="1">
      <alignment horizontal="center"/>
    </xf>
    <xf numFmtId="14" fontId="3" fillId="14" borderId="0" xfId="0" applyNumberFormat="1" applyFont="1" applyFill="1" applyAlignment="1">
      <alignment horizontal="center"/>
    </xf>
    <xf numFmtId="0" fontId="0" fillId="15" borderId="0" xfId="0" applyFill="1" applyAlignment="1">
      <alignment horizontal="center"/>
    </xf>
    <xf numFmtId="164" fontId="0" fillId="15" borderId="0" xfId="0" applyNumberFormat="1" applyFill="1" applyAlignment="1">
      <alignment horizontal="center"/>
    </xf>
    <xf numFmtId="14" fontId="0" fillId="15" borderId="0" xfId="0" applyNumberFormat="1" applyFill="1" applyAlignment="1">
      <alignment horizontal="center"/>
    </xf>
    <xf numFmtId="14" fontId="3" fillId="15" borderId="0" xfId="0" applyNumberFormat="1" applyFont="1" applyFill="1" applyAlignment="1">
      <alignment horizontal="center"/>
    </xf>
    <xf numFmtId="1" fontId="7" fillId="6" borderId="9" xfId="0" applyNumberFormat="1" applyFont="1" applyFill="1" applyBorder="1" applyAlignment="1" applyProtection="1">
      <alignment horizontal="center" vertical="center"/>
      <protection locked="0"/>
    </xf>
    <xf numFmtId="0" fontId="11" fillId="0" borderId="0" xfId="0" applyFont="1" applyAlignment="1">
      <alignment horizontal="center"/>
    </xf>
    <xf numFmtId="1" fontId="15" fillId="0" borderId="0" xfId="0" applyNumberFormat="1" applyFont="1" applyAlignment="1">
      <alignment horizontal="center"/>
    </xf>
    <xf numFmtId="0" fontId="15" fillId="0" borderId="0" xfId="0" applyFont="1" applyAlignment="1">
      <alignment horizontal="center"/>
    </xf>
    <xf numFmtId="0" fontId="11" fillId="0" borderId="0" xfId="0" applyFont="1" applyAlignment="1">
      <alignment horizontal="right"/>
    </xf>
    <xf numFmtId="165" fontId="15" fillId="0" borderId="0" xfId="0" applyNumberFormat="1" applyFont="1" applyAlignment="1">
      <alignment horizontal="left"/>
    </xf>
    <xf numFmtId="164" fontId="15" fillId="0" borderId="0" xfId="0" applyNumberFormat="1" applyFont="1" applyAlignment="1">
      <alignment horizontal="left"/>
    </xf>
    <xf numFmtId="0" fontId="11" fillId="0" borderId="0" xfId="0" applyFont="1" applyAlignment="1">
      <alignment horizontal="left"/>
    </xf>
    <xf numFmtId="164" fontId="11" fillId="0" borderId="0" xfId="0" applyNumberFormat="1" applyFont="1" applyAlignment="1">
      <alignment horizontal="left"/>
    </xf>
    <xf numFmtId="1" fontId="11" fillId="0" borderId="0" xfId="0" applyNumberFormat="1" applyFont="1" applyAlignment="1">
      <alignment horizontal="center"/>
    </xf>
    <xf numFmtId="164" fontId="11" fillId="0" borderId="0" xfId="0" applyNumberFormat="1" applyFont="1"/>
    <xf numFmtId="165" fontId="11" fillId="0" borderId="0" xfId="0" applyNumberFormat="1" applyFont="1"/>
    <xf numFmtId="14" fontId="11" fillId="0" borderId="0" xfId="0" applyNumberFormat="1" applyFont="1"/>
    <xf numFmtId="4" fontId="14" fillId="0" borderId="0" xfId="0" applyNumberFormat="1" applyFont="1"/>
    <xf numFmtId="0" fontId="18" fillId="16" borderId="0" xfId="0" applyFont="1" applyFill="1" applyAlignment="1">
      <alignment horizontal="center" vertical="center" wrapText="1"/>
    </xf>
    <xf numFmtId="0" fontId="11" fillId="0" borderId="0" xfId="0" applyFont="1" applyAlignment="1">
      <alignment horizontal="center"/>
    </xf>
    <xf numFmtId="0" fontId="11" fillId="0" borderId="0" xfId="0" applyFont="1" applyAlignment="1">
      <alignment horizontal="right"/>
    </xf>
    <xf numFmtId="0" fontId="6" fillId="0" borderId="0" xfId="0" applyFont="1" applyAlignment="1">
      <alignment horizontal="center"/>
    </xf>
    <xf numFmtId="0" fontId="6" fillId="0" borderId="7" xfId="0" applyFont="1" applyBorder="1" applyAlignment="1">
      <alignment horizontal="center"/>
    </xf>
    <xf numFmtId="0" fontId="4" fillId="4" borderId="1" xfId="0" applyFont="1" applyFill="1" applyBorder="1" applyAlignment="1">
      <alignment vertical="center" wrapText="1"/>
    </xf>
    <xf numFmtId="0" fontId="4" fillId="4" borderId="2" xfId="0" applyFont="1" applyFill="1" applyBorder="1" applyAlignment="1">
      <alignment vertical="center" wrapText="1"/>
    </xf>
    <xf numFmtId="0" fontId="4" fillId="4" borderId="4" xfId="0" applyFont="1" applyFill="1" applyBorder="1" applyAlignment="1">
      <alignment vertical="center" wrapText="1"/>
    </xf>
    <xf numFmtId="0" fontId="4" fillId="4" borderId="0" xfId="0" applyFont="1" applyFill="1" applyAlignment="1">
      <alignment vertical="center" wrapText="1"/>
    </xf>
    <xf numFmtId="0" fontId="7" fillId="4" borderId="15" xfId="0" applyFont="1" applyFill="1" applyBorder="1" applyAlignment="1">
      <alignment horizontal="center" vertical="center"/>
    </xf>
    <xf numFmtId="0" fontId="7" fillId="4" borderId="16" xfId="0" applyFont="1" applyFill="1" applyBorder="1" applyAlignment="1">
      <alignment horizontal="center" vertical="center"/>
    </xf>
    <xf numFmtId="0" fontId="7" fillId="4" borderId="14" xfId="0" applyFont="1" applyFill="1" applyBorder="1" applyAlignment="1">
      <alignment horizontal="center" vertical="center"/>
    </xf>
    <xf numFmtId="0" fontId="8" fillId="4" borderId="0" xfId="0" applyFont="1" applyFill="1" applyAlignment="1">
      <alignment horizontal="right" vertical="center"/>
    </xf>
    <xf numFmtId="0" fontId="17" fillId="10" borderId="18" xfId="0" applyFont="1" applyFill="1" applyBorder="1" applyAlignment="1">
      <alignment vertical="top" wrapText="1"/>
    </xf>
    <xf numFmtId="0" fontId="17" fillId="10" borderId="19" xfId="0" applyFont="1" applyFill="1" applyBorder="1" applyAlignment="1">
      <alignment vertical="top" wrapText="1"/>
    </xf>
    <xf numFmtId="0" fontId="17" fillId="10" borderId="20" xfId="0" applyFont="1" applyFill="1" applyBorder="1" applyAlignment="1">
      <alignment vertical="top" wrapText="1"/>
    </xf>
    <xf numFmtId="0" fontId="17" fillId="10" borderId="21" xfId="0" applyFont="1" applyFill="1" applyBorder="1" applyAlignment="1">
      <alignment vertical="top" wrapText="1"/>
    </xf>
    <xf numFmtId="0" fontId="17" fillId="10" borderId="0" xfId="0" applyFont="1" applyFill="1" applyAlignment="1">
      <alignment vertical="top" wrapText="1"/>
    </xf>
    <xf numFmtId="0" fontId="17" fillId="10" borderId="22" xfId="0" applyFont="1" applyFill="1" applyBorder="1" applyAlignment="1">
      <alignment vertical="top" wrapText="1"/>
    </xf>
    <xf numFmtId="0" fontId="17" fillId="10" borderId="23" xfId="0" applyFont="1" applyFill="1" applyBorder="1" applyAlignment="1">
      <alignment vertical="top" wrapText="1"/>
    </xf>
    <xf numFmtId="0" fontId="17" fillId="10" borderId="17" xfId="0" applyFont="1" applyFill="1" applyBorder="1" applyAlignment="1">
      <alignment vertical="top" wrapText="1"/>
    </xf>
    <xf numFmtId="0" fontId="17" fillId="10" borderId="24" xfId="0" applyFont="1" applyFill="1" applyBorder="1" applyAlignment="1">
      <alignment vertical="top" wrapText="1"/>
    </xf>
    <xf numFmtId="0" fontId="1" fillId="4" borderId="0" xfId="0" applyFont="1" applyFill="1" applyAlignment="1">
      <alignment horizontal="right" vertical="center"/>
    </xf>
    <xf numFmtId="0" fontId="0" fillId="0" borderId="0" xfId="0" applyAlignment="1">
      <alignment horizontal="center"/>
    </xf>
    <xf numFmtId="0" fontId="0" fillId="0" borderId="7" xfId="0" applyBorder="1" applyAlignment="1">
      <alignment horizontal="center"/>
    </xf>
    <xf numFmtId="0" fontId="0" fillId="0" borderId="4" xfId="0" applyBorder="1" applyAlignment="1">
      <alignment horizontal="right"/>
    </xf>
    <xf numFmtId="0" fontId="0" fillId="0" borderId="0" xfId="0" applyAlignment="1">
      <alignment horizontal="right"/>
    </xf>
    <xf numFmtId="0" fontId="0" fillId="0" borderId="7" xfId="0" applyBorder="1" applyAlignment="1">
      <alignment horizontal="right"/>
    </xf>
  </cellXfs>
  <cellStyles count="1">
    <cellStyle name="Normal" xfId="0" builtinId="0"/>
  </cellStyles>
  <dxfs count="19">
    <dxf>
      <font>
        <b/>
        <i val="0"/>
        <color rgb="FFA20000"/>
      </font>
      <fill>
        <patternFill patternType="solid">
          <fgColor auto="1"/>
          <bgColor rgb="FFFF9797"/>
        </patternFill>
      </fill>
    </dxf>
    <dxf>
      <font>
        <b/>
        <i val="0"/>
        <color theme="9" tint="-0.499984740745262"/>
      </font>
      <fill>
        <patternFill>
          <bgColor theme="9" tint="0.39994506668294322"/>
        </patternFill>
      </fill>
    </dxf>
    <dxf>
      <font>
        <b/>
        <i val="0"/>
        <color rgb="FFA20000"/>
      </font>
      <fill>
        <patternFill patternType="solid">
          <fgColor auto="1"/>
          <bgColor rgb="FFFF9797"/>
        </patternFill>
      </fill>
    </dxf>
    <dxf>
      <font>
        <b/>
        <i val="0"/>
        <color theme="9" tint="-0.499984740745262"/>
      </font>
      <fill>
        <patternFill>
          <bgColor theme="9" tint="0.39994506668294322"/>
        </patternFill>
      </fill>
    </dxf>
    <dxf>
      <fill>
        <patternFill>
          <bgColor rgb="FFFF0000"/>
        </patternFill>
      </fill>
    </dxf>
    <dxf>
      <font>
        <color theme="0"/>
      </font>
      <fill>
        <patternFill>
          <bgColor rgb="FFFF0000"/>
        </patternFill>
      </fill>
    </dxf>
    <dxf>
      <font>
        <b/>
        <i val="0"/>
        <color rgb="FFA20000"/>
      </font>
      <fill>
        <patternFill patternType="solid">
          <fgColor auto="1"/>
          <bgColor rgb="FFFF9797"/>
        </patternFill>
      </fill>
    </dxf>
    <dxf>
      <font>
        <b/>
        <i val="0"/>
        <color theme="9" tint="-0.499984740745262"/>
      </font>
      <fill>
        <patternFill>
          <bgColor theme="9" tint="0.39994506668294322"/>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64" formatCode="&quot;$&quot;#,##0.00"/>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s>
  <tableStyles count="0" defaultTableStyle="TableStyleMedium2" defaultPivotStyle="PivotStyleLight16"/>
  <colors>
    <mruColors>
      <color rgb="FFDCA4F2"/>
      <color rgb="FFFF9797"/>
      <color rgb="FFFF7C5D"/>
      <color rgb="FF990000"/>
      <color rgb="FFA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16</xdr:col>
      <xdr:colOff>94762</xdr:colOff>
      <xdr:row>0</xdr:row>
      <xdr:rowOff>95250</xdr:rowOff>
    </xdr:from>
    <xdr:to>
      <xdr:col>29</xdr:col>
      <xdr:colOff>465330</xdr:colOff>
      <xdr:row>27</xdr:row>
      <xdr:rowOff>141992</xdr:rowOff>
    </xdr:to>
    <xdr:pic>
      <xdr:nvPicPr>
        <xdr:cNvPr id="2" name="Picture 1">
          <a:extLst>
            <a:ext uri="{FF2B5EF4-FFF2-40B4-BE49-F238E27FC236}">
              <a16:creationId xmlns:a16="http://schemas.microsoft.com/office/drawing/2014/main" id="{148ACA9F-730B-9342-8EA0-D26ACB1D361B}"/>
            </a:ext>
          </a:extLst>
        </xdr:cNvPr>
        <xdr:cNvPicPr>
          <a:picLocks noChangeAspect="1"/>
        </xdr:cNvPicPr>
      </xdr:nvPicPr>
      <xdr:blipFill>
        <a:blip xmlns:r="http://schemas.openxmlformats.org/officeDocument/2006/relationships" r:embed="rId1"/>
        <a:stretch>
          <a:fillRect/>
        </a:stretch>
      </xdr:blipFill>
      <xdr:spPr>
        <a:xfrm>
          <a:off x="12239137" y="95250"/>
          <a:ext cx="8333468" cy="527596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chool_Calendar" displayName="School_Calendar" ref="A1:I25" totalsRowShown="0" headerRowDxfId="18" dataDxfId="17">
  <autoFilter ref="A1:I25" xr:uid="{00000000-0009-0000-0100-000003000000}"/>
  <tableColumns count="9">
    <tableColumn id="1" xr3:uid="{00000000-0010-0000-0000-000001000000}" name="Business Unit" dataDxfId="16"/>
    <tableColumn id="7" xr3:uid="{00000000-0010-0000-0000-000007000000}" name="Employee Group" dataDxfId="15"/>
    <tableColumn id="8" xr3:uid="{00000000-0010-0000-0000-000008000000}" name="Contract Pay Type" dataDxfId="14"/>
    <tableColumn id="9" xr3:uid="{00000000-0010-0000-0000-000009000000}" name="Tax Year" dataDxfId="13"/>
    <tableColumn id="2" xr3:uid="{00000000-0010-0000-0000-000002000000}" name="Max Deferred Compensation" dataDxfId="12"/>
    <tableColumn id="3" xr3:uid="{00000000-0010-0000-0000-000003000000}" name="Contract Begin Date" dataDxfId="11"/>
    <tableColumn id="4" xr3:uid="{00000000-0010-0000-0000-000004000000}" name="Contract End Date" dataDxfId="10"/>
    <tableColumn id="5" xr3:uid="{00000000-0010-0000-0000-000005000000}" name="Payment Begin Date" dataDxfId="9"/>
    <tableColumn id="6" xr3:uid="{00000000-0010-0000-0000-000006000000}" name="Payment End Date" dataDxfId="8"/>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Z31"/>
  <sheetViews>
    <sheetView showGridLines="0" tabSelected="1" zoomScale="80" zoomScaleNormal="80" zoomScaleSheetLayoutView="100" workbookViewId="0">
      <selection activeCell="F13" sqref="F13"/>
    </sheetView>
  </sheetViews>
  <sheetFormatPr defaultColWidth="9.08984375" defaultRowHeight="15.5" x14ac:dyDescent="0.35"/>
  <cols>
    <col min="1" max="1" width="3.453125" style="81" customWidth="1"/>
    <col min="2" max="2" width="26.90625" style="81" bestFit="1" customWidth="1"/>
    <col min="3" max="3" width="16.453125" style="81" bestFit="1" customWidth="1"/>
    <col min="4" max="4" width="11.54296875" style="81" customWidth="1"/>
    <col min="5" max="5" width="19.54296875" style="81" bestFit="1" customWidth="1"/>
    <col min="6" max="6" width="17.6328125" style="81" customWidth="1"/>
    <col min="7" max="7" width="2.54296875" style="81" customWidth="1"/>
    <col min="8" max="8" width="3.453125" style="81" customWidth="1"/>
    <col min="9" max="13" width="19.90625" style="81" customWidth="1"/>
    <col min="14" max="14" width="3.453125" style="152" customWidth="1"/>
    <col min="15" max="16" width="9" style="152" customWidth="1"/>
    <col min="17" max="17" width="10.08984375" style="152" bestFit="1" customWidth="1"/>
    <col min="18" max="18" width="9.08984375" style="113" bestFit="1" customWidth="1"/>
    <col min="19" max="19" width="7" style="113" customWidth="1"/>
    <col min="20" max="20" width="3.6328125" style="113" customWidth="1"/>
    <col min="21" max="21" width="14.54296875" style="113" bestFit="1" customWidth="1"/>
    <col min="22" max="22" width="7.453125" style="113" bestFit="1" customWidth="1"/>
    <col min="23" max="23" width="15.90625" style="113" bestFit="1" customWidth="1"/>
    <col min="24" max="24" width="14.453125" style="113" bestFit="1" customWidth="1"/>
    <col min="25" max="25" width="6.36328125" style="113" bestFit="1" customWidth="1"/>
    <col min="26" max="26" width="10.08984375" style="81" bestFit="1" customWidth="1"/>
    <col min="27" max="27" width="8.6328125" style="81" bestFit="1" customWidth="1"/>
    <col min="28" max="29" width="9.08984375" style="81"/>
    <col min="30" max="30" width="9.08984375" style="81" customWidth="1"/>
    <col min="31" max="16384" width="9.08984375" style="81"/>
  </cols>
  <sheetData>
    <row r="2" spans="2:26" ht="21" x14ac:dyDescent="0.5">
      <c r="B2" s="183" t="s">
        <v>0</v>
      </c>
      <c r="C2" s="183"/>
      <c r="D2" s="183"/>
      <c r="E2" s="183"/>
      <c r="F2" s="183"/>
      <c r="G2" s="139"/>
      <c r="H2" s="110"/>
      <c r="I2" s="184" t="s">
        <v>1</v>
      </c>
      <c r="J2" s="184"/>
      <c r="K2" s="184"/>
      <c r="L2" s="184"/>
      <c r="M2" s="184"/>
    </row>
    <row r="3" spans="2:26" ht="18" customHeight="1" x14ac:dyDescent="0.45">
      <c r="B3" s="185" t="s">
        <v>2</v>
      </c>
      <c r="C3" s="186"/>
      <c r="D3" s="186"/>
      <c r="E3" s="186"/>
      <c r="F3" s="186"/>
      <c r="G3" s="137"/>
      <c r="H3" s="83"/>
      <c r="I3" s="114" t="s">
        <v>3</v>
      </c>
      <c r="J3" s="115" t="s">
        <v>4</v>
      </c>
      <c r="K3" s="115" t="s">
        <v>5</v>
      </c>
      <c r="L3" s="115" t="s">
        <v>6</v>
      </c>
      <c r="M3" s="116" t="s">
        <v>7</v>
      </c>
      <c r="O3" s="180" t="s">
        <v>72</v>
      </c>
      <c r="P3" s="180"/>
    </row>
    <row r="4" spans="2:26" ht="18.5" x14ac:dyDescent="0.45">
      <c r="B4" s="187"/>
      <c r="C4" s="188"/>
      <c r="D4" s="188"/>
      <c r="E4" s="188"/>
      <c r="F4" s="188"/>
      <c r="G4" s="138"/>
      <c r="H4" s="83"/>
      <c r="I4" s="117"/>
      <c r="J4" s="118"/>
      <c r="K4" s="118"/>
      <c r="L4" s="118"/>
      <c r="M4" s="119"/>
      <c r="O4" s="180"/>
      <c r="P4" s="180"/>
    </row>
    <row r="5" spans="2:26" ht="18.5" x14ac:dyDescent="0.45">
      <c r="B5" s="187"/>
      <c r="C5" s="188"/>
      <c r="D5" s="188"/>
      <c r="E5" s="188"/>
      <c r="F5" s="188"/>
      <c r="G5" s="138"/>
      <c r="H5" s="99"/>
      <c r="I5" s="100" t="s">
        <v>8</v>
      </c>
      <c r="J5" s="101" t="str">
        <f>TEXT(DATE(YEAR($C$10),MONTH($C$10),DAY($C$10)),"mmmm")</f>
        <v>August</v>
      </c>
      <c r="K5" s="102">
        <f>IF(R7&gt;0,X15,IF($C$13-SUM($K$4:K4)-$X$16&lt;0,$C$13-SUM($K$4:K4),$X$16))</f>
        <v>0</v>
      </c>
      <c r="L5" s="102">
        <f t="shared" ref="L5:L16" si="0">M5-K5</f>
        <v>0</v>
      </c>
      <c r="M5" s="103">
        <f>IF(R7&gt;0,X28,IF($C$13-SUM($M$4:M4)-$X$29&lt;0,$C$13-SUM($M4:M$5),$X$29))</f>
        <v>0</v>
      </c>
      <c r="N5" s="153"/>
      <c r="O5" s="180"/>
      <c r="P5" s="180"/>
      <c r="Q5" s="179"/>
    </row>
    <row r="6" spans="2:26" ht="18.5" x14ac:dyDescent="0.45">
      <c r="B6" s="187"/>
      <c r="C6" s="188"/>
      <c r="D6" s="188"/>
      <c r="E6" s="188"/>
      <c r="F6" s="188"/>
      <c r="G6" s="138"/>
      <c r="H6" s="99"/>
      <c r="I6" s="104" t="s">
        <v>9</v>
      </c>
      <c r="J6" s="105" t="str">
        <f>TEXT(DATE(YEAR($C$10),MONTH($C$10)+1,DAY($C$10)),"mmmm")</f>
        <v>September</v>
      </c>
      <c r="K6" s="106">
        <f>IF($C$13-SUM($K$4:K5)-$X$16&lt;0,$C$13-SUM($K$4:K5),$X$16)</f>
        <v>0</v>
      </c>
      <c r="L6" s="106">
        <f t="shared" si="0"/>
        <v>0</v>
      </c>
      <c r="M6" s="107">
        <f>IF($C$13-SUM($M$4:M5)-$X$29&lt;0,$C$13-SUM($M$5:M5),$X$29)</f>
        <v>0</v>
      </c>
      <c r="N6" s="153"/>
      <c r="O6" s="180"/>
      <c r="P6" s="180"/>
      <c r="Q6" s="179"/>
      <c r="R6" s="167"/>
      <c r="S6" s="167"/>
      <c r="T6" s="167"/>
      <c r="U6" s="167"/>
      <c r="V6" s="167"/>
      <c r="W6" s="167"/>
    </row>
    <row r="7" spans="2:26" ht="19" thickBot="1" x14ac:dyDescent="0.5">
      <c r="B7" s="112"/>
      <c r="C7" s="111"/>
      <c r="D7" s="111"/>
      <c r="E7" s="111"/>
      <c r="F7" s="111"/>
      <c r="G7" s="148"/>
      <c r="H7" s="99"/>
      <c r="I7" s="100" t="s">
        <v>10</v>
      </c>
      <c r="J7" s="101" t="str">
        <f>TEXT(DATE(YEAR($C$10),MONTH($C$10)+2,DAY($C$10)),"mmmm")</f>
        <v>October</v>
      </c>
      <c r="K7" s="102">
        <f>IF($C$13-SUM($K$4:K6)-$X$16&lt;0,$C$13-SUM($K$4:K6),$X$16)</f>
        <v>0</v>
      </c>
      <c r="L7" s="102">
        <f t="shared" si="0"/>
        <v>0</v>
      </c>
      <c r="M7" s="103">
        <f>IF($C$13-SUM($M$4:M6)-$X$29&lt;0,$C$13-SUM($M$5:M6),$X$29)</f>
        <v>0</v>
      </c>
      <c r="N7" s="153"/>
      <c r="O7" s="180"/>
      <c r="P7" s="180"/>
      <c r="Q7" s="179"/>
      <c r="R7" s="168">
        <f>IF(ISBLANK(C10)," ",IF(NETWORKDAYS(C10,EOMONTH(C10,0))&gt;=T7,0,NETWORKDAYS(C10,EOMONTH(C10,0))))</f>
        <v>15</v>
      </c>
      <c r="S7" s="167" t="s">
        <v>11</v>
      </c>
      <c r="T7" s="169">
        <f>IF(ISBLANK(C10)," ",NETWORKDAYS(DATE(YEAR(C10),MONTH(C10),1),DATE(YEAR(C10),MONTH(C10),DAY(EOMONTH(C10,0)))))</f>
        <v>21</v>
      </c>
      <c r="U7" s="167" t="s">
        <v>12</v>
      </c>
      <c r="V7" s="167" t="str">
        <f>TEXT(DATE(YEAR(C10),MONTH(C10),DAY(C10)),"mmmm")</f>
        <v>August</v>
      </c>
      <c r="W7" s="167">
        <f>YEAR(C10)</f>
        <v>2025</v>
      </c>
    </row>
    <row r="8" spans="2:26" ht="19" thickBot="1" x14ac:dyDescent="0.5">
      <c r="B8" s="86" t="s">
        <v>13</v>
      </c>
      <c r="C8" s="87" t="s">
        <v>53</v>
      </c>
      <c r="D8" s="88"/>
      <c r="E8" s="89" t="s">
        <v>15</v>
      </c>
      <c r="F8" s="95" t="s">
        <v>16</v>
      </c>
      <c r="G8" s="145"/>
      <c r="H8" s="99"/>
      <c r="I8" s="104" t="s">
        <v>17</v>
      </c>
      <c r="J8" s="105" t="str">
        <f>TEXT(DATE(YEAR($C$10),MONTH($C$10)+3,DAY($C$10)),"mmmm")</f>
        <v>November</v>
      </c>
      <c r="K8" s="106">
        <f>IF($C$13-SUM($K$4:K7)-$X$16&lt;0,$C$13-SUM($K$4:K7),$X$16)</f>
        <v>0</v>
      </c>
      <c r="L8" s="106">
        <f t="shared" si="0"/>
        <v>0</v>
      </c>
      <c r="M8" s="107">
        <f>IF($C$13-SUM($M$4:M7)-$X$29&lt;0,$C$13-SUM($M$5:M7),$X$29)</f>
        <v>0</v>
      </c>
      <c r="N8" s="153"/>
      <c r="O8" s="180"/>
      <c r="P8" s="180"/>
      <c r="Q8" s="179"/>
      <c r="R8" s="168">
        <f>DATEDIF(C10,DATE(YEAR(C10),12,31)+1,"m")</f>
        <v>4</v>
      </c>
      <c r="S8" s="167" t="s">
        <v>11</v>
      </c>
      <c r="T8" s="169">
        <f>IF(DAY(C10)=1,DATEDIF(C10,F10+1,"m"),DATEDIF(C10,F10,"m")-IF(AND(C8="Denver",F13=2024),1,0)-IF(AND(C8="Denver",F13=2025),1,0))</f>
        <v>8</v>
      </c>
      <c r="U8" s="167" t="s">
        <v>18</v>
      </c>
      <c r="V8" s="167" t="s">
        <v>19</v>
      </c>
      <c r="W8" s="167">
        <f>YEAR(C10)</f>
        <v>2025</v>
      </c>
    </row>
    <row r="9" spans="2:26" ht="18.5" x14ac:dyDescent="0.45">
      <c r="B9" s="86" t="s">
        <v>20</v>
      </c>
      <c r="C9" s="90" t="str" cm="1">
        <f t="array" ref="C9">IFERROR(INDEX(School_Calendar[#All],MATCH(1,(School_Calendar[[#All],[Business Unit]]=C8)*(School_Calendar[[#All],[Employee Group]]='Contract Def Comp Calculator'!F8),0),3),"")</f>
        <v>Fclt 9/12</v>
      </c>
      <c r="D9" s="85"/>
      <c r="E9" s="85"/>
      <c r="F9" s="85"/>
      <c r="G9" s="149"/>
      <c r="H9" s="99"/>
      <c r="I9" s="100" t="s">
        <v>21</v>
      </c>
      <c r="J9" s="101" t="str">
        <f>TEXT(DATE(YEAR($C$10),MONTH($C$10)+4,DAY($C$10)),"mmmm")</f>
        <v>December</v>
      </c>
      <c r="K9" s="102">
        <f>IF($C$13-SUM($K$4:K8)-$X$16&lt;0,$C$13-SUM($K$4:K8),$X$16)</f>
        <v>0</v>
      </c>
      <c r="L9" s="102">
        <f t="shared" si="0"/>
        <v>0</v>
      </c>
      <c r="M9" s="103">
        <f>IF($C$13-SUM($M$4:M8)-$X$29&lt;0,$C$13-SUM($M$5:M8),$X$29)</f>
        <v>0</v>
      </c>
      <c r="N9" s="153"/>
      <c r="O9" s="180"/>
      <c r="P9" s="180"/>
      <c r="Q9" s="179"/>
      <c r="R9" s="168">
        <f>DATEDIF(DATE(YEAR(F10),1,1),F10+1,"m")</f>
        <v>4</v>
      </c>
      <c r="S9" s="167" t="s">
        <v>11</v>
      </c>
      <c r="T9" s="169">
        <f>IF(DAY(C10)=1,DATEDIF(C10,F10+1,"m"),DATEDIF(C10,F10,"m")-IF(AND(C8="Denver",F13=2024),1,0)-IF(AND(C8="Denver",F13=2025),1,0))</f>
        <v>8</v>
      </c>
      <c r="U9" s="167" t="s">
        <v>18</v>
      </c>
      <c r="V9" s="167" t="s">
        <v>19</v>
      </c>
      <c r="W9" s="167">
        <f>YEAR(F10)</f>
        <v>2026</v>
      </c>
    </row>
    <row r="10" spans="2:26" ht="18.5" x14ac:dyDescent="0.45">
      <c r="B10" s="86" t="s">
        <v>22</v>
      </c>
      <c r="C10" s="91">
        <f t="array" ref="C10">IFERROR(INDEX(School_Calendar[#All],MATCH(1,(School_Calendar[[#All],[Business Unit]]=C8)*(School_Calendar[[#All],[Employee Group]]='Contract Def Comp Calculator'!F8)*(School_Calendar[[#All],[Contract Pay Type]]='Contract Def Comp Calculator'!C9)*(School_Calendar[[#All],[Tax Year]]='Contract Def Comp Calculator'!F13),0),6),"")</f>
        <v>45880</v>
      </c>
      <c r="D10" s="192" t="s">
        <v>23</v>
      </c>
      <c r="E10" s="192"/>
      <c r="F10" s="91">
        <f t="array" ref="F10">IFERROR(INDEX(School_Calendar[#All],MATCH(1,(School_Calendar[[#All],[Business Unit]]=C8)*(School_Calendar[[#All],[Employee Group]]='Contract Def Comp Calculator'!F8)*(School_Calendar[[#All],[Contract Pay Type]]='Contract Def Comp Calculator'!C9)*(School_Calendar[[#All],[Tax Year]]='Contract Def Comp Calculator'!F13),0),7),"")</f>
        <v>46157</v>
      </c>
      <c r="G10" s="150"/>
      <c r="H10" s="99"/>
      <c r="I10" s="104" t="s">
        <v>24</v>
      </c>
      <c r="J10" s="105" t="str">
        <f>TEXT(DATE(YEAR($C$10),MONTH($C$10)+5,DAY($C$10)),"mmmm")</f>
        <v>January</v>
      </c>
      <c r="K10" s="106">
        <f>IF($C$13-SUM($K$4:K9)-$X$16&lt;0,$C$13-SUM($K$4:K9),$X$16)</f>
        <v>0</v>
      </c>
      <c r="L10" s="106">
        <f t="shared" si="0"/>
        <v>0</v>
      </c>
      <c r="M10" s="107">
        <f>IF($C$13-SUM($M$4:M9)-$X$29&lt;0,$C$13-SUM($M$5:M9),$X$29)</f>
        <v>0</v>
      </c>
      <c r="N10" s="153"/>
      <c r="O10" s="180"/>
      <c r="P10" s="180"/>
      <c r="Q10" s="179"/>
      <c r="R10" s="168">
        <f>IF(ISBLANK(F10)," ",IF(NETWORKDAYS(DATE(YEAR(F10),MONTH(F10),1),F10)&gt;=T10,0,NETWORKDAYS(DATE(YEAR(F10),MONTH(F10),1),F10)))</f>
        <v>11</v>
      </c>
      <c r="S10" s="167" t="s">
        <v>11</v>
      </c>
      <c r="T10" s="169">
        <f>IF(ISBLANK(F10)," ",NETWORKDAYS(DATE(YEAR(F10),MONTH(F10),1),DATE(YEAR(F10),MONTH(F10),DAY(EOMONTH(F10,0)))))</f>
        <v>21</v>
      </c>
      <c r="U10" s="167" t="s">
        <v>12</v>
      </c>
      <c r="V10" s="167" t="str">
        <f>TEXT(DATE(YEAR(F10),MONTH(F10),DAY(F10)),"mmmm")</f>
        <v>May</v>
      </c>
      <c r="W10" s="167">
        <f>YEAR(F10)</f>
        <v>2026</v>
      </c>
    </row>
    <row r="11" spans="2:26" ht="18.5" x14ac:dyDescent="0.45">
      <c r="B11" s="86" t="s">
        <v>25</v>
      </c>
      <c r="C11" s="91">
        <f t="array" ref="C11">IFERROR(INDEX(School_Calendar[#All],MATCH(1,(School_Calendar[[#All],[Business Unit]]=C8)*(School_Calendar[[#All],[Employee Group]]='Contract Def Comp Calculator'!F8)*(School_Calendar[[#All],[Contract Pay Type]]='Contract Def Comp Calculator'!C9)*(School_Calendar[[#All],[Tax Year]]='Contract Def Comp Calculator'!F13),0),8),"")</f>
        <v>45880</v>
      </c>
      <c r="D11" s="192" t="s">
        <v>26</v>
      </c>
      <c r="E11" s="192"/>
      <c r="F11" s="91">
        <f t="array" ref="F11">IFERROR(INDEX(School_Calendar[#All],MATCH(1,(School_Calendar[[#All],[Business Unit]]=C8)*(School_Calendar[[#All],[Employee Group]]='Contract Def Comp Calculator'!F8)*(School_Calendar[[#All],[Contract Pay Type]]='Contract Def Comp Calculator'!C9)*(School_Calendar[[#All],[Tax Year]]='Contract Def Comp Calculator'!F13),0),9),"")</f>
        <v>46241</v>
      </c>
      <c r="G11" s="150"/>
      <c r="H11" s="99"/>
      <c r="I11" s="100" t="s">
        <v>27</v>
      </c>
      <c r="J11" s="101" t="str">
        <f>TEXT(DATE(YEAR($C$10),MONTH($C$10)+6,DAY($C$10)),"mmmm")</f>
        <v>February</v>
      </c>
      <c r="K11" s="102">
        <f>IF($C$13-SUM($K$4:K10)-$X$16&lt;0,$C$13-SUM($K$4:K10),$X$16)</f>
        <v>0</v>
      </c>
      <c r="L11" s="102">
        <f t="shared" si="0"/>
        <v>0</v>
      </c>
      <c r="M11" s="103">
        <f>IF($C$13-SUM($M$4:M10)-$X$29&lt;0,$C$13-SUM($M$5:M10),$X$29)</f>
        <v>0</v>
      </c>
      <c r="N11" s="153"/>
      <c r="O11" s="180"/>
      <c r="P11" s="180"/>
      <c r="Q11" s="179"/>
    </row>
    <row r="12" spans="2:26" ht="19" thickBot="1" x14ac:dyDescent="0.5">
      <c r="B12" s="92"/>
      <c r="C12" s="85"/>
      <c r="D12" s="85"/>
      <c r="E12" s="85"/>
      <c r="F12" s="85"/>
      <c r="G12" s="149"/>
      <c r="H12" s="99"/>
      <c r="I12" s="104" t="s">
        <v>28</v>
      </c>
      <c r="J12" s="105" t="str">
        <f>TEXT(DATE(YEAR($C$10),MONTH($C$10)+7,DAY($C$10)),"mmmm")</f>
        <v>March</v>
      </c>
      <c r="K12" s="106">
        <f>IF($C$13-SUM($K$4:K11)-$X$16&lt;0,$C$13-SUM($K$4:K11),$X$16)</f>
        <v>0</v>
      </c>
      <c r="L12" s="106">
        <f t="shared" si="0"/>
        <v>0</v>
      </c>
      <c r="M12" s="107">
        <f>IF($C$13-SUM($M$4:M11)-$X$29&lt;0,$C$13-SUM($M$5:M11),$X$29)</f>
        <v>0</v>
      </c>
      <c r="N12" s="153"/>
      <c r="O12" s="180"/>
      <c r="P12" s="180"/>
      <c r="Q12" s="179"/>
      <c r="R12" s="170"/>
      <c r="S12" s="170"/>
      <c r="T12" s="170"/>
      <c r="U12" s="171">
        <f>(R7/T7)+T8+R10/T10</f>
        <v>9.2380952380952372</v>
      </c>
    </row>
    <row r="13" spans="2:26" ht="19" thickBot="1" x14ac:dyDescent="0.5">
      <c r="B13" s="86" t="s">
        <v>29</v>
      </c>
      <c r="C13" s="93">
        <v>0</v>
      </c>
      <c r="D13" s="94"/>
      <c r="E13" s="89" t="s">
        <v>30</v>
      </c>
      <c r="F13" s="166">
        <v>2025</v>
      </c>
      <c r="G13" s="151"/>
      <c r="H13" s="99"/>
      <c r="I13" s="100" t="s">
        <v>31</v>
      </c>
      <c r="J13" s="101" t="str">
        <f>TEXT(DATE(YEAR($C$10),MONTH($C$10)+8,DAY($C$10)),"mmmm")</f>
        <v>April</v>
      </c>
      <c r="K13" s="102">
        <f>IF($C$13-SUM($K$4:K12)-$X$16&lt;0,$C$13-SUM($K$4:K12),$X$16)</f>
        <v>0</v>
      </c>
      <c r="L13" s="108">
        <f t="shared" si="0"/>
        <v>0</v>
      </c>
      <c r="M13" s="103">
        <f>IF($C$13-SUM($M$4:M12)-$X$29&lt;0,$C$13-SUM($M$5:M12),$X$29)</f>
        <v>0</v>
      </c>
      <c r="N13" s="153"/>
      <c r="O13" s="180"/>
      <c r="P13" s="180"/>
      <c r="R13" s="170"/>
      <c r="S13" s="170"/>
      <c r="T13" s="170"/>
      <c r="U13" s="172">
        <f>C13/U12</f>
        <v>0</v>
      </c>
    </row>
    <row r="14" spans="2:26" ht="18.5" x14ac:dyDescent="0.45">
      <c r="B14" s="84"/>
      <c r="C14" s="85"/>
      <c r="D14" s="94"/>
      <c r="E14" s="89" t="s">
        <v>32</v>
      </c>
      <c r="F14" s="95" t="str">
        <f>CONCATENATE(F13,"-",SUM(F13+1))</f>
        <v>2025-2026</v>
      </c>
      <c r="G14" s="145"/>
      <c r="H14" s="99"/>
      <c r="I14" s="104" t="s">
        <v>33</v>
      </c>
      <c r="J14" s="105" t="str">
        <f>TEXT(DATE(YEAR($C$10),MONTH($C$10)+9,DAY($C$10)),"mmmm")</f>
        <v>May</v>
      </c>
      <c r="K14" s="106">
        <f>IF($C$13-SUM($K$4:K13)-$X$16&lt;0,$C$13-SUM($K$4:K13),$X$16)</f>
        <v>0</v>
      </c>
      <c r="L14" s="109">
        <f t="shared" si="0"/>
        <v>0</v>
      </c>
      <c r="M14" s="107">
        <f>IF($C$13-SUM($M$4:M13)-$X$29&lt;0,$C$13-SUM($M$5:M13),$X$29)</f>
        <v>0</v>
      </c>
      <c r="N14" s="153"/>
      <c r="O14" s="180"/>
      <c r="P14" s="180"/>
      <c r="Q14" s="179"/>
      <c r="R14" s="173"/>
      <c r="S14" s="173"/>
      <c r="T14" s="174"/>
      <c r="U14" s="174"/>
    </row>
    <row r="15" spans="2:26" ht="18.5" x14ac:dyDescent="0.45">
      <c r="B15" s="86" t="s">
        <v>34</v>
      </c>
      <c r="C15" s="96">
        <f>IFERROR(ROUNDUP(U13*((R7/T7)+R8)-W26*((T20/V20)+T21),2),"")</f>
        <v>0</v>
      </c>
      <c r="D15" s="192" t="s">
        <v>35</v>
      </c>
      <c r="E15" s="192"/>
      <c r="F15" s="146">
        <f t="array" ref="F15">IFERROR(INDEX(School_Calendar[#All],MATCH(1,(School_Calendar[[#All],[Business Unit]]=C8)*(School_Calendar[[#All],[Employee Group]]='Contract Def Comp Calculator'!F8)*(School_Calendar[[#All],[Contract Pay Type]]='Contract Def Comp Calculator'!C9)*(School_Calendar[[#All],[Tax Year]]='Contract Def Comp Calculator'!F13),0),5),"")</f>
        <v>23500</v>
      </c>
      <c r="G15" s="125"/>
      <c r="H15" s="99"/>
      <c r="I15" s="100" t="s">
        <v>36</v>
      </c>
      <c r="J15" s="101" t="str">
        <f>TEXT(DATE(YEAR($C$10),MONTH($C$10)+10,DAY($C$10)),"mmmm")</f>
        <v>June</v>
      </c>
      <c r="K15" s="102">
        <f>IF($C$13-SUM($K$4:K14)-$X$16&lt;0,$C$13-SUM($K$4:K14),$X$16)</f>
        <v>0</v>
      </c>
      <c r="L15" s="102">
        <f t="shared" si="0"/>
        <v>0</v>
      </c>
      <c r="M15" s="103">
        <f>IF($C$13-SUM($M$4:M14)-$X$29&lt;0,$C$13-SUM($M$5:M14),$X$29)</f>
        <v>0</v>
      </c>
      <c r="N15" s="153"/>
      <c r="O15" s="180"/>
      <c r="P15" s="180"/>
      <c r="R15" s="170" t="s">
        <v>37</v>
      </c>
      <c r="S15" s="181" t="s">
        <v>38</v>
      </c>
      <c r="T15" s="181"/>
      <c r="U15" s="175">
        <f>R7</f>
        <v>15</v>
      </c>
      <c r="V15" s="182" t="s">
        <v>39</v>
      </c>
      <c r="W15" s="182"/>
      <c r="X15" s="176">
        <f>U13*R7/T7</f>
        <v>0</v>
      </c>
      <c r="Y15" s="167"/>
      <c r="Z15" s="113"/>
    </row>
    <row r="16" spans="2:26" ht="18.5" x14ac:dyDescent="0.45">
      <c r="B16" s="86" t="s">
        <v>40</v>
      </c>
      <c r="C16" s="189" t="str">
        <f>IFERROR(IF(C15&lt;=F15,"9/12 Option Available","9/12 Option Not Available"),"")</f>
        <v>9/12 Option Available</v>
      </c>
      <c r="D16" s="190"/>
      <c r="E16" s="190"/>
      <c r="F16" s="191"/>
      <c r="G16" s="125"/>
      <c r="H16" s="99"/>
      <c r="I16" s="104" t="s">
        <v>41</v>
      </c>
      <c r="J16" s="105" t="str">
        <f>TEXT(DATE(YEAR($C$10),MONTH($C$10)+11,DAY($C$10)),"mmmm")</f>
        <v>July</v>
      </c>
      <c r="K16" s="106">
        <f>IF($C$13-SUM($K$4:K15)-$X$16&lt;0,$C$13-SUM($K$4:K15),$X$16)</f>
        <v>0</v>
      </c>
      <c r="L16" s="106">
        <f t="shared" si="0"/>
        <v>0</v>
      </c>
      <c r="M16" s="107">
        <f>IF($C$13-SUM($M$4:M15)-$X$29&lt;0,$C$13-SUM($M$5:M15),$X$29)</f>
        <v>0</v>
      </c>
      <c r="N16" s="153"/>
      <c r="O16" s="180"/>
      <c r="P16" s="180"/>
      <c r="R16" s="170" t="s">
        <v>37</v>
      </c>
      <c r="S16" s="181" t="s">
        <v>42</v>
      </c>
      <c r="T16" s="181"/>
      <c r="U16" s="167">
        <f>T8</f>
        <v>8</v>
      </c>
      <c r="V16" s="182" t="s">
        <v>43</v>
      </c>
      <c r="W16" s="182"/>
      <c r="X16" s="176">
        <f>U13</f>
        <v>0</v>
      </c>
      <c r="Y16" s="167"/>
      <c r="Z16" s="113"/>
    </row>
    <row r="17" spans="2:26" ht="18.5" x14ac:dyDescent="0.45">
      <c r="B17" s="86"/>
      <c r="C17" s="95"/>
      <c r="D17" s="89"/>
      <c r="E17" s="143"/>
      <c r="F17" s="147"/>
      <c r="G17" s="144"/>
      <c r="H17" s="83"/>
      <c r="I17" s="100" t="s">
        <v>44</v>
      </c>
      <c r="J17" s="101" t="str">
        <f>TEXT(DATE(YEAR($C$10),MONTH($C$10)+12,DAY($C$10)),"mmmm")</f>
        <v>August</v>
      </c>
      <c r="K17" s="102">
        <f>IF($C$13-SUM($K$4:K16)-$X$16&lt;0,$C$13-SUM($K$4:K16),$X$16)</f>
        <v>0</v>
      </c>
      <c r="L17" s="102">
        <f>M17-K16</f>
        <v>0</v>
      </c>
      <c r="M17" s="103">
        <f>IF($C$13-SUM($M$4:M16)-$X$29&lt;0,$C$13-SUM($M$5:M16),$X$29)</f>
        <v>0</v>
      </c>
      <c r="O17" s="180"/>
      <c r="P17" s="180"/>
      <c r="R17" s="170" t="s">
        <v>37</v>
      </c>
      <c r="S17" s="181" t="s">
        <v>45</v>
      </c>
      <c r="T17" s="181"/>
      <c r="U17" s="175">
        <f>R10</f>
        <v>11</v>
      </c>
      <c r="V17" s="182" t="s">
        <v>39</v>
      </c>
      <c r="W17" s="182"/>
      <c r="X17" s="176">
        <f>U13*R10/T10</f>
        <v>0</v>
      </c>
      <c r="Y17" s="167"/>
      <c r="Z17" s="113"/>
    </row>
    <row r="18" spans="2:26" ht="30" customHeight="1" x14ac:dyDescent="0.45">
      <c r="B18" s="97"/>
      <c r="C18" s="98"/>
      <c r="D18" s="98"/>
      <c r="E18" s="98"/>
      <c r="F18" s="98"/>
      <c r="G18" s="120"/>
      <c r="H18" s="83"/>
      <c r="I18" s="121"/>
      <c r="J18" s="122" t="s">
        <v>46</v>
      </c>
      <c r="K18" s="123">
        <f>SUM(K5:K17)</f>
        <v>0</v>
      </c>
      <c r="L18" s="123">
        <f>ABS(SUMIF(L5:L17,"&lt;0",L5:L17))</f>
        <v>0</v>
      </c>
      <c r="M18" s="124">
        <f t="shared" ref="M18" si="1">SUM(M5:M17)</f>
        <v>0</v>
      </c>
      <c r="O18" s="180"/>
      <c r="P18" s="180"/>
      <c r="R18" s="170"/>
      <c r="S18" s="170"/>
      <c r="T18" s="177"/>
      <c r="Z18" s="113"/>
    </row>
    <row r="19" spans="2:26" x14ac:dyDescent="0.35">
      <c r="B19" s="80"/>
      <c r="C19" s="80"/>
      <c r="D19" s="80"/>
      <c r="E19" s="80"/>
      <c r="F19" s="80"/>
      <c r="G19" s="82"/>
      <c r="R19" s="181" t="s">
        <v>47</v>
      </c>
      <c r="S19" s="181"/>
      <c r="T19" s="181"/>
      <c r="U19" s="181"/>
      <c r="V19" s="181"/>
      <c r="W19" s="181"/>
      <c r="X19" s="181"/>
      <c r="Y19" s="181"/>
      <c r="Z19" s="113"/>
    </row>
    <row r="20" spans="2:26" ht="15.75" customHeight="1" x14ac:dyDescent="0.35">
      <c r="B20" s="193" t="s">
        <v>48</v>
      </c>
      <c r="C20" s="194"/>
      <c r="D20" s="194"/>
      <c r="E20" s="194"/>
      <c r="F20" s="194"/>
      <c r="G20" s="194"/>
      <c r="H20" s="194"/>
      <c r="I20" s="194"/>
      <c r="J20" s="194"/>
      <c r="K20" s="194"/>
      <c r="L20" s="194"/>
      <c r="M20" s="195"/>
      <c r="R20" s="170" t="s">
        <v>49</v>
      </c>
      <c r="S20" s="170" t="s">
        <v>50</v>
      </c>
      <c r="T20" s="168">
        <f>IF(ISBLANK(C11)," ",IF(NETWORKDAYS(C11,EOMONTH(C11,0))&gt;=V20,0,NETWORKDAYS(C11,EOMONTH(C11,0))))</f>
        <v>15</v>
      </c>
      <c r="U20" s="167" t="s">
        <v>11</v>
      </c>
      <c r="V20" s="169">
        <f>IF(ISBLANK(C11)," ",NETWORKDAYS(DATE(YEAR(C11),MONTH(C11),1),DATE(YEAR(C11),MONTH(C11),DAY(EOMONTH(C11,0)))))</f>
        <v>21</v>
      </c>
      <c r="W20" s="167" t="s">
        <v>12</v>
      </c>
      <c r="X20" s="167" t="str">
        <f>TEXT(DATE(YEAR(C11),MONTH(C11),DAY(C11)),"mmmm")</f>
        <v>August</v>
      </c>
      <c r="Y20" s="167">
        <f>YEAR(C11)</f>
        <v>2025</v>
      </c>
      <c r="Z20" s="113"/>
    </row>
    <row r="21" spans="2:26" x14ac:dyDescent="0.35">
      <c r="B21" s="196"/>
      <c r="C21" s="197"/>
      <c r="D21" s="197"/>
      <c r="E21" s="197"/>
      <c r="F21" s="197"/>
      <c r="G21" s="197"/>
      <c r="H21" s="197"/>
      <c r="I21" s="197"/>
      <c r="J21" s="197"/>
      <c r="K21" s="197"/>
      <c r="L21" s="197"/>
      <c r="M21" s="198"/>
      <c r="R21" s="170" t="s">
        <v>49</v>
      </c>
      <c r="S21" s="170" t="s">
        <v>43</v>
      </c>
      <c r="T21" s="168">
        <f>DATEDIF(C11,DATE(YEAR(C11),12,31)+1,"m")</f>
        <v>4</v>
      </c>
      <c r="U21" s="167" t="s">
        <v>11</v>
      </c>
      <c r="V21" s="169">
        <f>IF(DAY(C11)=1,DATEDIF(C11,F11+1,"m"),DATEDIF(C11,F11,"m"))</f>
        <v>11</v>
      </c>
      <c r="W21" s="167" t="s">
        <v>18</v>
      </c>
      <c r="X21" s="167" t="s">
        <v>19</v>
      </c>
      <c r="Y21" s="167">
        <f>YEAR(C11)</f>
        <v>2025</v>
      </c>
      <c r="Z21" s="113"/>
    </row>
    <row r="22" spans="2:26" x14ac:dyDescent="0.35">
      <c r="B22" s="196"/>
      <c r="C22" s="197"/>
      <c r="D22" s="197"/>
      <c r="E22" s="197"/>
      <c r="F22" s="197"/>
      <c r="G22" s="197"/>
      <c r="H22" s="197"/>
      <c r="I22" s="197"/>
      <c r="J22" s="197"/>
      <c r="K22" s="197"/>
      <c r="L22" s="197"/>
      <c r="M22" s="198"/>
      <c r="R22" s="170" t="s">
        <v>49</v>
      </c>
      <c r="S22" s="170" t="s">
        <v>43</v>
      </c>
      <c r="T22" s="168">
        <f>DATEDIF(DATE(YEAR(F11),1,1),F11+1,"m")</f>
        <v>7</v>
      </c>
      <c r="U22" s="167" t="s">
        <v>11</v>
      </c>
      <c r="V22" s="169">
        <f>IF(DAY(C11)=1,DATEDIF(C11,F11+1,"m"),DATEDIF(C11,F11,"m"))</f>
        <v>11</v>
      </c>
      <c r="W22" s="167" t="s">
        <v>18</v>
      </c>
      <c r="X22" s="167" t="s">
        <v>19</v>
      </c>
      <c r="Y22" s="167">
        <f>YEAR(F11)</f>
        <v>2026</v>
      </c>
      <c r="Z22" s="113"/>
    </row>
    <row r="23" spans="2:26" x14ac:dyDescent="0.35">
      <c r="B23" s="196"/>
      <c r="C23" s="197"/>
      <c r="D23" s="197"/>
      <c r="E23" s="197"/>
      <c r="F23" s="197"/>
      <c r="G23" s="197"/>
      <c r="H23" s="197"/>
      <c r="I23" s="197"/>
      <c r="J23" s="197"/>
      <c r="K23" s="197"/>
      <c r="L23" s="197"/>
      <c r="M23" s="198"/>
      <c r="R23" s="170" t="s">
        <v>49</v>
      </c>
      <c r="S23" s="170" t="s">
        <v>50</v>
      </c>
      <c r="T23" s="168">
        <f>IF(ISBLANK(F11)," ",IF(NETWORKDAYS(DATE(YEAR(F11),MONTH(F11),1),F11)&gt;=V23,0,NETWORKDAYS(DATE(YEAR(F11),MONTH(F11),1),F11)))</f>
        <v>5</v>
      </c>
      <c r="U23" s="167" t="s">
        <v>11</v>
      </c>
      <c r="V23" s="169">
        <f>IF(ISBLANK(F11)," ",NETWORKDAYS(DATE(YEAR(F11),MONTH(F11),1),DATE(YEAR(F11),MONTH(F11),DAY(EOMONTH(F11,0)))))</f>
        <v>21</v>
      </c>
      <c r="W23" s="167" t="s">
        <v>12</v>
      </c>
      <c r="X23" s="167" t="str">
        <f>TEXT(DATE(YEAR(F11),MONTH(F11),DAY(F11)),"mmmm")</f>
        <v>August</v>
      </c>
      <c r="Y23" s="167">
        <f>YEAR(F11)</f>
        <v>2026</v>
      </c>
      <c r="Z23" s="113"/>
    </row>
    <row r="24" spans="2:26" x14ac:dyDescent="0.35">
      <c r="B24" s="196"/>
      <c r="C24" s="197"/>
      <c r="D24" s="197"/>
      <c r="E24" s="197"/>
      <c r="F24" s="197"/>
      <c r="G24" s="197"/>
      <c r="H24" s="197"/>
      <c r="I24" s="197"/>
      <c r="J24" s="197"/>
      <c r="K24" s="197"/>
      <c r="L24" s="197"/>
      <c r="M24" s="198"/>
      <c r="Z24" s="113"/>
    </row>
    <row r="25" spans="2:26" x14ac:dyDescent="0.35">
      <c r="B25" s="199"/>
      <c r="C25" s="200"/>
      <c r="D25" s="200"/>
      <c r="E25" s="200"/>
      <c r="F25" s="200"/>
      <c r="G25" s="200"/>
      <c r="H25" s="200"/>
      <c r="I25" s="200"/>
      <c r="J25" s="200"/>
      <c r="K25" s="200"/>
      <c r="L25" s="200"/>
      <c r="M25" s="201"/>
      <c r="R25" s="182" t="s">
        <v>51</v>
      </c>
      <c r="S25" s="182"/>
      <c r="T25" s="182"/>
      <c r="U25" s="182"/>
      <c r="V25" s="182"/>
      <c r="W25" s="171">
        <f>(T20/V20)+V21+T23/V23</f>
        <v>11.952380952380951</v>
      </c>
      <c r="Z25" s="113"/>
    </row>
    <row r="26" spans="2:26" x14ac:dyDescent="0.35">
      <c r="R26" s="182" t="s">
        <v>52</v>
      </c>
      <c r="S26" s="182"/>
      <c r="T26" s="182"/>
      <c r="U26" s="182"/>
      <c r="V26" s="182"/>
      <c r="W26" s="172">
        <f>C13/W25</f>
        <v>0</v>
      </c>
      <c r="Z26" s="113"/>
    </row>
    <row r="27" spans="2:26" x14ac:dyDescent="0.35">
      <c r="Z27" s="113"/>
    </row>
    <row r="28" spans="2:26" x14ac:dyDescent="0.35">
      <c r="R28" s="170" t="s">
        <v>49</v>
      </c>
      <c r="S28" s="181" t="s">
        <v>38</v>
      </c>
      <c r="T28" s="181"/>
      <c r="U28" s="175">
        <f>T20</f>
        <v>15</v>
      </c>
      <c r="V28" s="182" t="s">
        <v>39</v>
      </c>
      <c r="W28" s="182"/>
      <c r="X28" s="176">
        <f>W26*T20/V20</f>
        <v>0</v>
      </c>
      <c r="Z28" s="113"/>
    </row>
    <row r="29" spans="2:26" x14ac:dyDescent="0.35">
      <c r="R29" s="170" t="s">
        <v>49</v>
      </c>
      <c r="S29" s="181" t="s">
        <v>42</v>
      </c>
      <c r="T29" s="181"/>
      <c r="U29" s="167">
        <f>V21</f>
        <v>11</v>
      </c>
      <c r="V29" s="182" t="s">
        <v>43</v>
      </c>
      <c r="W29" s="182"/>
      <c r="X29" s="176">
        <f>W26</f>
        <v>0</v>
      </c>
      <c r="Z29" s="113"/>
    </row>
    <row r="30" spans="2:26" x14ac:dyDescent="0.35">
      <c r="R30" s="170" t="s">
        <v>49</v>
      </c>
      <c r="S30" s="181" t="s">
        <v>45</v>
      </c>
      <c r="T30" s="181"/>
      <c r="U30" s="175">
        <f>T23</f>
        <v>5</v>
      </c>
      <c r="V30" s="182" t="s">
        <v>39</v>
      </c>
      <c r="W30" s="182"/>
      <c r="X30" s="176">
        <f>W26*T23/V23</f>
        <v>0</v>
      </c>
      <c r="Z30" s="113"/>
    </row>
    <row r="31" spans="2:26" x14ac:dyDescent="0.35">
      <c r="Y31" s="178"/>
      <c r="Z31" s="113"/>
    </row>
  </sheetData>
  <sheetProtection algorithmName="SHA-512" hashValue="6ckVBlVOqBHsAJuNOPRrzn2MKtPJtu0IomEraRUOS6+pGzvrjZvxOVhIPqX0ZyjWNSig72AHyU3lh1jgNRbCUg==" saltValue="ZdwSR0aGgp6evdhDrc1Rng==" spinCount="100000" sheet="1" selectLockedCells="1"/>
  <mergeCells count="24">
    <mergeCell ref="B20:M25"/>
    <mergeCell ref="S30:T30"/>
    <mergeCell ref="V30:W30"/>
    <mergeCell ref="S29:T29"/>
    <mergeCell ref="V29:W29"/>
    <mergeCell ref="R26:V26"/>
    <mergeCell ref="S28:T28"/>
    <mergeCell ref="V28:W28"/>
    <mergeCell ref="R25:V25"/>
    <mergeCell ref="S15:T15"/>
    <mergeCell ref="V15:W15"/>
    <mergeCell ref="S16:T16"/>
    <mergeCell ref="V16:W16"/>
    <mergeCell ref="O3:P18"/>
    <mergeCell ref="S17:T17"/>
    <mergeCell ref="V17:W17"/>
    <mergeCell ref="B2:F2"/>
    <mergeCell ref="R19:Y19"/>
    <mergeCell ref="I2:M2"/>
    <mergeCell ref="B3:F6"/>
    <mergeCell ref="C16:F16"/>
    <mergeCell ref="D10:E10"/>
    <mergeCell ref="D11:E11"/>
    <mergeCell ref="D15:E15"/>
  </mergeCells>
  <conditionalFormatting sqref="C16">
    <cfRule type="expression" dxfId="7" priority="3">
      <formula>$C$16="9/12 Option Available"</formula>
    </cfRule>
    <cfRule type="expression" dxfId="6" priority="4">
      <formula>$C$16="9/12 Option Not Available"</formula>
    </cfRule>
  </conditionalFormatting>
  <conditionalFormatting sqref="F13">
    <cfRule type="expression" dxfId="5" priority="1">
      <formula>F13&lt;2025</formula>
    </cfRule>
  </conditionalFormatting>
  <conditionalFormatting sqref="O3:P18">
    <cfRule type="expression" dxfId="4" priority="2">
      <formula>F13&lt;2025</formula>
    </cfRule>
  </conditionalFormatting>
  <pageMargins left="0.7" right="0.7" top="0.75" bottom="0.75" header="0.3" footer="0.3"/>
  <pageSetup scale="86"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0000000}">
          <x14:formula1>
            <xm:f>'School Calendars'!$A$2:$A$4</xm:f>
          </x14:formula1>
          <xm:sqref>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29"/>
  <sheetViews>
    <sheetView zoomScaleNormal="100" workbookViewId="0">
      <selection activeCell="E8" sqref="E8"/>
    </sheetView>
  </sheetViews>
  <sheetFormatPr defaultColWidth="9.08984375" defaultRowHeight="14.5" x14ac:dyDescent="0.35"/>
  <cols>
    <col min="1" max="1" width="28.6328125" bestFit="1" customWidth="1"/>
    <col min="2" max="2" width="14.6328125" bestFit="1" customWidth="1"/>
    <col min="3" max="3" width="6.36328125" bestFit="1" customWidth="1"/>
    <col min="4" max="4" width="23" bestFit="1" customWidth="1"/>
    <col min="5" max="5" width="13" bestFit="1" customWidth="1"/>
    <col min="6" max="6" width="17" bestFit="1" customWidth="1"/>
    <col min="7" max="8" width="3" customWidth="1"/>
    <col min="9" max="9" width="10.453125" bestFit="1" customWidth="1"/>
    <col min="10" max="10" width="16.54296875" bestFit="1" customWidth="1"/>
    <col min="11" max="11" width="4.453125" bestFit="1" customWidth="1"/>
    <col min="12" max="13" width="7.08984375" bestFit="1" customWidth="1"/>
    <col min="14" max="14" width="15.54296875" bestFit="1" customWidth="1"/>
    <col min="15" max="15" width="11.36328125" bestFit="1" customWidth="1"/>
    <col min="16" max="16" width="6.36328125" bestFit="1" customWidth="1"/>
    <col min="17" max="17" width="10.08984375" bestFit="1" customWidth="1"/>
    <col min="18" max="18" width="8.6328125" bestFit="1" customWidth="1"/>
  </cols>
  <sheetData>
    <row r="1" spans="1:16" ht="15" thickBot="1" x14ac:dyDescent="0.4">
      <c r="A1" s="3"/>
      <c r="B1" s="4"/>
      <c r="C1" s="4"/>
      <c r="D1" s="4"/>
      <c r="E1" s="4"/>
      <c r="F1" s="4"/>
      <c r="G1" s="5"/>
    </row>
    <row r="2" spans="1:16" ht="15" thickBot="1" x14ac:dyDescent="0.4">
      <c r="A2" s="6" t="s">
        <v>13</v>
      </c>
      <c r="B2" s="73" t="s">
        <v>53</v>
      </c>
      <c r="C2" s="7"/>
      <c r="D2" s="8" t="s">
        <v>15</v>
      </c>
      <c r="E2" s="73" t="s">
        <v>16</v>
      </c>
      <c r="F2" s="9"/>
      <c r="G2" s="5"/>
      <c r="I2" s="204" t="s">
        <v>54</v>
      </c>
      <c r="J2" s="204"/>
      <c r="K2" s="204"/>
      <c r="L2" s="204"/>
      <c r="M2" s="204"/>
      <c r="N2" s="204"/>
      <c r="O2" s="204"/>
      <c r="P2" s="204"/>
    </row>
    <row r="3" spans="1:16" x14ac:dyDescent="0.35">
      <c r="A3" s="6" t="s">
        <v>20</v>
      </c>
      <c r="B3" s="10" t="str">
        <f t="array" ref="B3">IFERROR(INDEX(School_Calendar[#All],MATCH(1,(School_Calendar[[#All],[Business Unit]]=B2)*(School_Calendar[[#All],[Employee Group]]='Deferred Comp Calculator'!E2),0),3),"")</f>
        <v>Fclt 9/12</v>
      </c>
      <c r="C3" s="9"/>
      <c r="D3" s="9"/>
      <c r="E3" s="9"/>
      <c r="F3" s="9"/>
      <c r="G3" s="5"/>
      <c r="I3" s="11" t="s">
        <v>37</v>
      </c>
      <c r="J3" s="12" t="s">
        <v>50</v>
      </c>
      <c r="K3" s="13">
        <f>IF(ISBLANK(B4)," ",IF(NETWORKDAYS(B4,EOMONTH(B4,0))&gt;=M3,0,NETWORKDAYS(B4,EOMONTH(B4,0))))</f>
        <v>15</v>
      </c>
      <c r="L3" s="14" t="s">
        <v>11</v>
      </c>
      <c r="M3" s="15">
        <f>IF(ISBLANK(B4)," ",NETWORKDAYS(DATE(YEAR(B4),MONTH(B4),1),DATE(YEAR(B4),MONTH(B4),DAY(EOMONTH(B4,0)))))</f>
        <v>21</v>
      </c>
      <c r="N3" s="14" t="s">
        <v>12</v>
      </c>
      <c r="O3" s="14" t="str">
        <f>TEXT(DATE(YEAR(B4),MONTH(B4),DAY(B4)),"mmmm")</f>
        <v>August</v>
      </c>
      <c r="P3" s="16">
        <f>YEAR(B4)</f>
        <v>2025</v>
      </c>
    </row>
    <row r="4" spans="1:16" x14ac:dyDescent="0.35">
      <c r="A4" s="6" t="s">
        <v>22</v>
      </c>
      <c r="B4" s="17" cm="1">
        <f t="array" ref="B4">IFERROR(INDEX(School_Calendar[#All],MATCH(1,(School_Calendar[[#All],[Business Unit]]=B2)*(School_Calendar[[#All],[Employee Group]]='Deferred Comp Calculator'!E2)*(School_Calendar[[#All],[Contract Pay Type]]='Deferred Comp Calculator'!B3)*(School_Calendar[[#All],[Tax Year]]='Deferred Comp Calculator'!E7),0),6),"")</f>
        <v>45880</v>
      </c>
      <c r="C4" s="202" t="s">
        <v>23</v>
      </c>
      <c r="D4" s="202"/>
      <c r="E4" s="17">
        <f t="array" ref="E4">IFERROR(INDEX(School_Calendar[#All],MATCH(1,(School_Calendar[[#All],[Business Unit]]=B2)*(School_Calendar[[#All],[Employee Group]]='Deferred Comp Calculator'!E2)*(School_Calendar[[#All],[Contract Pay Type]]='Deferred Comp Calculator'!B3)*(School_Calendar[[#All],[Tax Year]]='Deferred Comp Calculator'!E7),0),7),"")</f>
        <v>46157</v>
      </c>
      <c r="F4" s="9"/>
      <c r="G4" s="5"/>
      <c r="I4" s="18" t="s">
        <v>37</v>
      </c>
      <c r="J4" s="19" t="s">
        <v>43</v>
      </c>
      <c r="K4" s="20">
        <f>DATEDIF(B4,DATE(YEAR(B4),12,31)+1,"m")</f>
        <v>4</v>
      </c>
      <c r="L4" s="1" t="s">
        <v>11</v>
      </c>
      <c r="M4" s="21">
        <f>IF(DAY(B4)=1,DATEDIF(B4,E4+1,"m"),DATEDIF(B4,E4,"m")-IF(AND(B2="Denver",E7=2024),1,0)-IF(AND(B2="Denver",E7=2025),1,0))</f>
        <v>8</v>
      </c>
      <c r="N4" s="1" t="s">
        <v>18</v>
      </c>
      <c r="O4" s="1" t="s">
        <v>19</v>
      </c>
      <c r="P4" s="22">
        <f>YEAR(B4)</f>
        <v>2025</v>
      </c>
    </row>
    <row r="5" spans="1:16" x14ac:dyDescent="0.35">
      <c r="A5" s="6" t="s">
        <v>25</v>
      </c>
      <c r="B5" s="17">
        <f t="array" ref="B5">IFERROR(INDEX(School_Calendar[#All],MATCH(1,(School_Calendar[[#All],[Business Unit]]=B2)*(School_Calendar[[#All],[Employee Group]]='Deferred Comp Calculator'!E2)*(School_Calendar[[#All],[Contract Pay Type]]='Deferred Comp Calculator'!B3)*(School_Calendar[[#All],[Tax Year]]='Deferred Comp Calculator'!E7),0),8),"")</f>
        <v>45880</v>
      </c>
      <c r="C5" s="202" t="s">
        <v>26</v>
      </c>
      <c r="D5" s="202"/>
      <c r="E5" s="17">
        <f t="array" ref="E5">IFERROR(INDEX(School_Calendar[#All],MATCH(1,(School_Calendar[[#All],[Business Unit]]=B2)*(School_Calendar[[#All],[Employee Group]]='Deferred Comp Calculator'!E2)*(School_Calendar[[#All],[Contract Pay Type]]='Deferred Comp Calculator'!B3)*(School_Calendar[[#All],[Tax Year]]='Deferred Comp Calculator'!E7),0),9),"")</f>
        <v>46241</v>
      </c>
      <c r="F5" s="9"/>
      <c r="G5" s="5"/>
      <c r="I5" s="18" t="s">
        <v>37</v>
      </c>
      <c r="J5" s="19" t="s">
        <v>43</v>
      </c>
      <c r="K5" s="20">
        <f>DATEDIF(DATE(YEAR(E4),1,1),E4+1,"m")</f>
        <v>4</v>
      </c>
      <c r="L5" s="1" t="s">
        <v>11</v>
      </c>
      <c r="M5" s="21">
        <f>IF(DAY(B4)=1,DATEDIF(B4,E4+1,"m"),DATEDIF(B4,E4,"m")-IF(AND(B2="Denver",E7=2024),1,0)-IF(AND(B2="Denver",E7=2025),1,0))</f>
        <v>8</v>
      </c>
      <c r="N5" s="1" t="s">
        <v>18</v>
      </c>
      <c r="O5" s="1" t="s">
        <v>19</v>
      </c>
      <c r="P5" s="22">
        <f>YEAR(E4)</f>
        <v>2026</v>
      </c>
    </row>
    <row r="6" spans="1:16" ht="15" thickBot="1" x14ac:dyDescent="0.4">
      <c r="A6" s="23"/>
      <c r="B6" s="9"/>
      <c r="C6" s="9"/>
      <c r="D6" s="9"/>
      <c r="E6" s="9"/>
      <c r="F6" s="9"/>
      <c r="G6" s="5"/>
      <c r="I6" s="18" t="s">
        <v>37</v>
      </c>
      <c r="J6" s="19" t="s">
        <v>50</v>
      </c>
      <c r="K6" s="20">
        <f>IF(ISBLANK(E4)," ",IF(NETWORKDAYS(DATE(YEAR(E4),MONTH(E4),1),E4)&gt;=M6,0,NETWORKDAYS(DATE(YEAR(E4),MONTH(E4),1),E4)))</f>
        <v>11</v>
      </c>
      <c r="L6" s="1" t="s">
        <v>11</v>
      </c>
      <c r="M6" s="21">
        <f>IF(ISBLANK(E4)," ",NETWORKDAYS(DATE(YEAR(E4),MONTH(E4),1),DATE(YEAR(E4),MONTH(E4),DAY(EOMONTH(E4,0)))))</f>
        <v>21</v>
      </c>
      <c r="N6" s="1" t="s">
        <v>12</v>
      </c>
      <c r="O6" s="1" t="str">
        <f>TEXT(DATE(YEAR(E4),MONTH(E4),DAY(E4)),"mmmm")</f>
        <v>May</v>
      </c>
      <c r="P6" s="22">
        <f>YEAR(E4)</f>
        <v>2026</v>
      </c>
    </row>
    <row r="7" spans="1:16" ht="15" thickBot="1" x14ac:dyDescent="0.4">
      <c r="A7" s="6" t="s">
        <v>29</v>
      </c>
      <c r="B7" s="75">
        <v>200000</v>
      </c>
      <c r="C7" s="24"/>
      <c r="D7" s="25" t="s">
        <v>30</v>
      </c>
      <c r="E7" s="74">
        <v>2025</v>
      </c>
      <c r="F7" s="9"/>
      <c r="G7" s="5"/>
      <c r="I7" s="26"/>
      <c r="P7" s="27"/>
    </row>
    <row r="8" spans="1:16" x14ac:dyDescent="0.35">
      <c r="A8" s="28"/>
      <c r="B8" s="9"/>
      <c r="C8" s="24"/>
      <c r="D8" s="29"/>
      <c r="E8" s="9"/>
      <c r="F8" s="9"/>
      <c r="G8" s="5"/>
      <c r="I8" s="205" t="s">
        <v>55</v>
      </c>
      <c r="J8" s="206"/>
      <c r="K8" s="206"/>
      <c r="L8" s="206"/>
      <c r="M8" s="206"/>
      <c r="N8" s="30">
        <f>(K3/M3)+M4+K6/M6</f>
        <v>9.2380952380952372</v>
      </c>
      <c r="P8" s="27"/>
    </row>
    <row r="9" spans="1:16" x14ac:dyDescent="0.35">
      <c r="A9" s="25" t="s">
        <v>34</v>
      </c>
      <c r="B9" s="31">
        <f>ROUNDUP(N9*((K3/M3)+K4)-N22*((K16/M16)+K17),2)</f>
        <v>23177.399999999998</v>
      </c>
      <c r="C9" s="202" t="s">
        <v>35</v>
      </c>
      <c r="D9" s="202"/>
      <c r="E9" s="32">
        <f t="array" ref="E9">IFERROR(INDEX(School_Calendar[#All],MATCH(1,(School_Calendar[[#All],[Business Unit]]=B2)*(School_Calendar[[#All],[Employee Group]]='Deferred Comp Calculator'!E2)*(School_Calendar[[#All],[Contract Pay Type]]='Deferred Comp Calculator'!B3)*(School_Calendar[[#All],[Tax Year]]='Deferred Comp Calculator'!E7),0),5),"")</f>
        <v>23500</v>
      </c>
      <c r="F9" s="9"/>
      <c r="G9" s="5"/>
      <c r="I9" s="205" t="s">
        <v>56</v>
      </c>
      <c r="J9" s="206"/>
      <c r="K9" s="206"/>
      <c r="L9" s="206"/>
      <c r="M9" s="206"/>
      <c r="N9" s="33">
        <f>B7/N8</f>
        <v>21649.484536082477</v>
      </c>
      <c r="P9" s="27"/>
    </row>
    <row r="10" spans="1:16" x14ac:dyDescent="0.35">
      <c r="A10" s="25" t="s">
        <v>40</v>
      </c>
      <c r="B10" s="71" t="str">
        <f>IFERROR(IF(B9&lt;=E9,"Available","Not Available"),"")</f>
        <v>Available</v>
      </c>
      <c r="C10" s="9"/>
      <c r="D10" s="9"/>
      <c r="E10" s="9"/>
      <c r="F10" s="9"/>
      <c r="G10" s="5"/>
      <c r="I10" s="34"/>
      <c r="J10" s="35"/>
      <c r="K10" s="35"/>
      <c r="L10" s="35"/>
      <c r="M10" s="36"/>
      <c r="N10" s="36"/>
      <c r="P10" s="27"/>
    </row>
    <row r="11" spans="1:16" x14ac:dyDescent="0.35">
      <c r="A11" s="39"/>
      <c r="B11" s="40"/>
      <c r="C11" s="40"/>
      <c r="D11" s="40"/>
      <c r="E11" s="40"/>
      <c r="F11" s="40"/>
      <c r="G11" s="5"/>
      <c r="I11" s="18" t="s">
        <v>37</v>
      </c>
      <c r="J11" s="203" t="s">
        <v>38</v>
      </c>
      <c r="K11" s="203"/>
      <c r="L11" s="37">
        <f>K3</f>
        <v>15</v>
      </c>
      <c r="M11" s="206" t="s">
        <v>39</v>
      </c>
      <c r="N11" s="206"/>
      <c r="O11" s="38">
        <f>N9*K3/M3</f>
        <v>15463.917525773197</v>
      </c>
      <c r="P11" s="22"/>
    </row>
    <row r="12" spans="1:16" x14ac:dyDescent="0.35">
      <c r="A12" s="41"/>
      <c r="B12" s="41"/>
      <c r="C12" s="41"/>
      <c r="D12" s="41"/>
      <c r="E12" s="41"/>
      <c r="F12" s="41"/>
      <c r="G12" s="72"/>
      <c r="I12" s="18" t="s">
        <v>37</v>
      </c>
      <c r="J12" s="203" t="s">
        <v>42</v>
      </c>
      <c r="K12" s="203"/>
      <c r="L12" s="1">
        <f>M4</f>
        <v>8</v>
      </c>
      <c r="M12" s="206" t="s">
        <v>43</v>
      </c>
      <c r="N12" s="206"/>
      <c r="O12" s="38">
        <f>N9</f>
        <v>21649.484536082477</v>
      </c>
      <c r="P12" s="22"/>
    </row>
    <row r="13" spans="1:16" x14ac:dyDescent="0.35">
      <c r="A13" s="204" t="s">
        <v>57</v>
      </c>
      <c r="B13" s="204"/>
      <c r="C13" s="204"/>
      <c r="D13" s="204"/>
      <c r="E13" s="204"/>
      <c r="F13" s="204"/>
      <c r="I13" s="42" t="s">
        <v>37</v>
      </c>
      <c r="J13" s="204" t="s">
        <v>45</v>
      </c>
      <c r="K13" s="204"/>
      <c r="L13" s="43">
        <f>K6</f>
        <v>11</v>
      </c>
      <c r="M13" s="207" t="s">
        <v>39</v>
      </c>
      <c r="N13" s="207"/>
      <c r="O13" s="44">
        <f>N9*K6/M6</f>
        <v>11340.206185567011</v>
      </c>
      <c r="P13" s="45"/>
    </row>
    <row r="14" spans="1:16" x14ac:dyDescent="0.35">
      <c r="A14" s="47" t="s">
        <v>3</v>
      </c>
      <c r="B14" s="15" t="s">
        <v>4</v>
      </c>
      <c r="C14" s="15" t="s">
        <v>58</v>
      </c>
      <c r="D14" s="15" t="s">
        <v>5</v>
      </c>
      <c r="E14" s="15" t="s">
        <v>6</v>
      </c>
      <c r="F14" s="48" t="s">
        <v>59</v>
      </c>
      <c r="I14" s="19"/>
      <c r="J14" s="19"/>
      <c r="K14" s="46"/>
    </row>
    <row r="15" spans="1:16" x14ac:dyDescent="0.35">
      <c r="A15" s="49"/>
      <c r="B15" s="21"/>
      <c r="C15" s="21"/>
      <c r="D15" s="21"/>
      <c r="E15" s="21"/>
      <c r="F15" s="50"/>
      <c r="I15" s="204" t="s">
        <v>47</v>
      </c>
      <c r="J15" s="204"/>
      <c r="K15" s="204"/>
      <c r="L15" s="204"/>
      <c r="M15" s="204"/>
      <c r="N15" s="204"/>
      <c r="O15" s="204"/>
      <c r="P15" s="204"/>
    </row>
    <row r="16" spans="1:16" x14ac:dyDescent="0.35">
      <c r="A16" s="51" t="s">
        <v>8</v>
      </c>
      <c r="B16" s="52" t="str">
        <f>TEXT(DATE(YEAR($B$4),MONTH($B$4),DAY($B$4)),"mmmm")</f>
        <v>August</v>
      </c>
      <c r="C16" s="53">
        <f>K16</f>
        <v>15</v>
      </c>
      <c r="D16" s="54">
        <f>IF(K3&gt;0,O11,IF($B$7-SUM($D$15:D15)-$O$12&lt;0,$B$7-SUM($D$15:D15),$O$12))</f>
        <v>15463.917525773197</v>
      </c>
      <c r="E16" s="54">
        <f t="shared" ref="E16" si="0">F16-D16</f>
        <v>-3511.7262907134336</v>
      </c>
      <c r="F16" s="55">
        <f>IF(K3&gt;0,O24,IF($B$7-SUM($F$15:F15)-$O$25&lt;0,$B$7-SUM($F15:F$16),$O$25))</f>
        <v>11952.191235059763</v>
      </c>
      <c r="I16" s="11" t="s">
        <v>49</v>
      </c>
      <c r="J16" s="12" t="s">
        <v>50</v>
      </c>
      <c r="K16" s="13">
        <f>IF(ISBLANK(B5)," ",IF(NETWORKDAYS(B5,EOMONTH(B5,0))&gt;=M16,0,NETWORKDAYS(B5,EOMONTH(B5,0))))</f>
        <v>15</v>
      </c>
      <c r="L16" s="14" t="s">
        <v>11</v>
      </c>
      <c r="M16" s="15">
        <f>IF(ISBLANK(B5)," ",NETWORKDAYS(DATE(YEAR(B5),MONTH(B5),1),DATE(YEAR(B5),MONTH(B5),DAY(EOMONTH(B5,0)))))</f>
        <v>21</v>
      </c>
      <c r="N16" s="14" t="s">
        <v>12</v>
      </c>
      <c r="O16" s="14" t="str">
        <f>TEXT(DATE(YEAR(B5),MONTH(B5),DAY(B5)),"mmmm")</f>
        <v>August</v>
      </c>
      <c r="P16" s="16">
        <f>YEAR(B5)</f>
        <v>2025</v>
      </c>
    </row>
    <row r="17" spans="1:16" x14ac:dyDescent="0.35">
      <c r="A17" s="18" t="s">
        <v>9</v>
      </c>
      <c r="B17" s="1" t="str">
        <f>TEXT(DATE(YEAR($B$4),MONTH($B$4)+1,DAY($B$4)),"mmmm")</f>
        <v>September</v>
      </c>
      <c r="C17" s="1"/>
      <c r="D17" s="56">
        <f>IF($B$7-SUM($D$15:D16)-$O$12&lt;0,$B$7-SUM($D$15:D16),$O$12)</f>
        <v>21649.484536082477</v>
      </c>
      <c r="E17" s="56">
        <f t="shared" ref="E17:E27" si="1">F17-D17</f>
        <v>-4916.4168069988082</v>
      </c>
      <c r="F17" s="57">
        <f>IF($B$7-SUM($F$15:F16)-$O$25&lt;0,$B$7-SUM($F$16:F16),$O$25)</f>
        <v>16733.067729083668</v>
      </c>
      <c r="I17" s="18" t="s">
        <v>49</v>
      </c>
      <c r="J17" s="19" t="s">
        <v>43</v>
      </c>
      <c r="K17" s="20">
        <f>DATEDIF(B5,DATE(YEAR(B5),12,31)+1,"m")</f>
        <v>4</v>
      </c>
      <c r="L17" s="1" t="s">
        <v>11</v>
      </c>
      <c r="M17" s="21">
        <f>IF(DAY(B5)=1,DATEDIF(B5,E5+1,"m"),DATEDIF(B5,E5,"m"))</f>
        <v>11</v>
      </c>
      <c r="N17" s="1" t="s">
        <v>18</v>
      </c>
      <c r="O17" s="1" t="s">
        <v>19</v>
      </c>
      <c r="P17" s="22">
        <f>YEAR(B5)</f>
        <v>2025</v>
      </c>
    </row>
    <row r="18" spans="1:16" x14ac:dyDescent="0.35">
      <c r="A18" s="18" t="s">
        <v>10</v>
      </c>
      <c r="B18" s="1" t="str">
        <f>TEXT(DATE(YEAR($B$4),MONTH($B$4)+2,DAY($B$4)),"mmmm")</f>
        <v>October</v>
      </c>
      <c r="C18" s="1"/>
      <c r="D18" s="56">
        <f>IF($B$7-SUM($D$15:D17)-$O$12&lt;0,$B$7-SUM($D$15:D17),$O$12)</f>
        <v>21649.484536082477</v>
      </c>
      <c r="E18" s="56">
        <f t="shared" si="1"/>
        <v>-4916.4168069988082</v>
      </c>
      <c r="F18" s="57">
        <f>IF($B$7-SUM($F$15:F17)-$O$25&lt;0,$B$7-SUM($F$16:F17),$O$25)</f>
        <v>16733.067729083668</v>
      </c>
      <c r="I18" s="18" t="s">
        <v>49</v>
      </c>
      <c r="J18" s="19" t="s">
        <v>43</v>
      </c>
      <c r="K18" s="20">
        <f>DATEDIF(DATE(YEAR(E5),1,1),E5+1,"m")</f>
        <v>7</v>
      </c>
      <c r="L18" s="1" t="s">
        <v>11</v>
      </c>
      <c r="M18" s="21">
        <f>IF(DAY(B5)=1,DATEDIF(B5,E5+1,"m"),DATEDIF(B5,E5,"m"))</f>
        <v>11</v>
      </c>
      <c r="N18" s="1" t="s">
        <v>18</v>
      </c>
      <c r="O18" s="1" t="s">
        <v>19</v>
      </c>
      <c r="P18" s="22">
        <f>YEAR(E5)</f>
        <v>2026</v>
      </c>
    </row>
    <row r="19" spans="1:16" x14ac:dyDescent="0.35">
      <c r="A19" s="18" t="s">
        <v>17</v>
      </c>
      <c r="B19" s="1" t="str">
        <f>TEXT(DATE(YEAR($B$4),MONTH($B$4)+3,DAY($B$4)),"mmmm")</f>
        <v>November</v>
      </c>
      <c r="C19" s="1"/>
      <c r="D19" s="56">
        <f>IF($B$7-SUM($D$15:D18)-$O$12&lt;0,$B$7-SUM($D$15:D18),$O$12)</f>
        <v>21649.484536082477</v>
      </c>
      <c r="E19" s="56">
        <f t="shared" si="1"/>
        <v>-4916.4168069988082</v>
      </c>
      <c r="F19" s="57">
        <f>IF($B$7-SUM($F$15:F18)-$O$25&lt;0,$B$7-SUM($F$16:F18),$O$25)</f>
        <v>16733.067729083668</v>
      </c>
      <c r="I19" s="18" t="s">
        <v>49</v>
      </c>
      <c r="J19" s="19" t="s">
        <v>50</v>
      </c>
      <c r="K19" s="20">
        <f>IF(ISBLANK(E5)," ",IF(NETWORKDAYS(DATE(YEAR(E5),MONTH(E5),1),E5)&gt;=M19,0,NETWORKDAYS(DATE(YEAR(E5),MONTH(E5),1),E5)))</f>
        <v>5</v>
      </c>
      <c r="L19" s="1" t="s">
        <v>11</v>
      </c>
      <c r="M19" s="21">
        <f>IF(ISBLANK(E5)," ",NETWORKDAYS(DATE(YEAR(E5),MONTH(E5),1),DATE(YEAR(E5),MONTH(E5),DAY(EOMONTH(E5,0)))))</f>
        <v>21</v>
      </c>
      <c r="N19" s="1" t="s">
        <v>12</v>
      </c>
      <c r="O19" s="1" t="str">
        <f>TEXT(DATE(YEAR(E5),MONTH(E5),DAY(E5)),"mmmm")</f>
        <v>August</v>
      </c>
      <c r="P19" s="22">
        <f>YEAR(E5)</f>
        <v>2026</v>
      </c>
    </row>
    <row r="20" spans="1:16" x14ac:dyDescent="0.35">
      <c r="A20" s="18" t="s">
        <v>21</v>
      </c>
      <c r="B20" s="1" t="str">
        <f>TEXT(DATE(YEAR($B$4),MONTH($B$4)+4,DAY($B$4)),"mmmm")</f>
        <v>December</v>
      </c>
      <c r="C20" s="1"/>
      <c r="D20" s="56">
        <f>IF($B$7-SUM($D$15:D19)-$O$12&lt;0,$B$7-SUM($D$15:D19),$O$12)</f>
        <v>21649.484536082477</v>
      </c>
      <c r="E20" s="56">
        <f t="shared" si="1"/>
        <v>-4916.4168069988082</v>
      </c>
      <c r="F20" s="57">
        <f>IF($B$7-SUM($F$15:F19)-$O$25&lt;0,$B$7-SUM($F$16:F19),$O$25)</f>
        <v>16733.067729083668</v>
      </c>
      <c r="I20" s="26"/>
      <c r="P20" s="27"/>
    </row>
    <row r="21" spans="1:16" x14ac:dyDescent="0.35">
      <c r="A21" s="18" t="s">
        <v>24</v>
      </c>
      <c r="B21" s="1" t="str">
        <f>TEXT(DATE(YEAR($B$4),MONTH($B$4)+5,DAY($B$4)),"mmmm")</f>
        <v>January</v>
      </c>
      <c r="C21" s="1"/>
      <c r="D21" s="56">
        <f>IF($B$7-SUM($D$15:D20)-$O$12&lt;0,$B$7-SUM($D$15:D20),$O$12)</f>
        <v>21649.484536082477</v>
      </c>
      <c r="E21" s="56">
        <f t="shared" si="1"/>
        <v>-4916.4168069988082</v>
      </c>
      <c r="F21" s="57">
        <f>IF($B$7-SUM($F$15:F20)-$O$25&lt;0,$B$7-SUM($F$16:F20),$O$25)</f>
        <v>16733.067729083668</v>
      </c>
      <c r="I21" s="205" t="s">
        <v>51</v>
      </c>
      <c r="J21" s="206"/>
      <c r="K21" s="206"/>
      <c r="L21" s="206"/>
      <c r="M21" s="206"/>
      <c r="N21" s="30">
        <f>(K16/M16)+M17+K19/M19</f>
        <v>11.952380952380951</v>
      </c>
      <c r="P21" s="27"/>
    </row>
    <row r="22" spans="1:16" x14ac:dyDescent="0.35">
      <c r="A22" s="18" t="s">
        <v>27</v>
      </c>
      <c r="B22" s="1" t="str">
        <f>TEXT(DATE(YEAR($B$4),MONTH($B$4)+6,DAY($B$4)),"mmmm")</f>
        <v>February</v>
      </c>
      <c r="C22" s="1"/>
      <c r="D22" s="56">
        <f>IF($B$7-SUM($D$15:D21)-$O$12&lt;0,$B$7-SUM($D$15:D21),$O$12)</f>
        <v>21649.484536082477</v>
      </c>
      <c r="E22" s="56">
        <f t="shared" si="1"/>
        <v>-4916.4168069988082</v>
      </c>
      <c r="F22" s="57">
        <f>IF($B$7-SUM($F$15:F21)-$O$25&lt;0,$B$7-SUM($F$16:F21),$O$25)</f>
        <v>16733.067729083668</v>
      </c>
      <c r="I22" s="205" t="s">
        <v>52</v>
      </c>
      <c r="J22" s="206"/>
      <c r="K22" s="206"/>
      <c r="L22" s="206"/>
      <c r="M22" s="206"/>
      <c r="N22" s="33">
        <f>B7/N21</f>
        <v>16733.067729083668</v>
      </c>
      <c r="P22" s="27"/>
    </row>
    <row r="23" spans="1:16" x14ac:dyDescent="0.35">
      <c r="A23" s="18" t="s">
        <v>28</v>
      </c>
      <c r="B23" s="1" t="str">
        <f>TEXT(DATE(YEAR($B$4),MONTH($B$4)+7,DAY($B$4)),"mmmm")</f>
        <v>March</v>
      </c>
      <c r="C23" s="1"/>
      <c r="D23" s="56">
        <f>IF($B$7-SUM($D$15:D22)-$O$12&lt;0,$B$7-SUM($D$15:D22),$O$12)</f>
        <v>21649.484536082477</v>
      </c>
      <c r="E23" s="56">
        <f t="shared" si="1"/>
        <v>-4916.4168069988082</v>
      </c>
      <c r="F23" s="57">
        <f>IF($B$7-SUM($F$15:F22)-$O$25&lt;0,$B$7-SUM($F$16:F22),$O$25)</f>
        <v>16733.067729083668</v>
      </c>
      <c r="I23" s="26"/>
      <c r="P23" s="27"/>
    </row>
    <row r="24" spans="1:16" x14ac:dyDescent="0.35">
      <c r="A24" s="18" t="s">
        <v>31</v>
      </c>
      <c r="B24" s="1" t="str">
        <f>TEXT(DATE(YEAR($B$4),MONTH($B$4)+8,DAY($B$4)),"mmmm")</f>
        <v>April</v>
      </c>
      <c r="D24" s="56">
        <f>IF($B$7-SUM($D$15:D23)-$O$12&lt;0,$B$7-SUM($D$15:D23),$O$12)</f>
        <v>21649.484536082477</v>
      </c>
      <c r="E24" s="160">
        <f t="shared" si="1"/>
        <v>-4916.4168069988082</v>
      </c>
      <c r="F24" s="57">
        <f>IF($B$7-SUM($F$15:F23)-$O$25&lt;0,$B$7-SUM($F$16:F23),$O$25)</f>
        <v>16733.067729083668</v>
      </c>
      <c r="I24" s="18" t="s">
        <v>49</v>
      </c>
      <c r="J24" s="203" t="s">
        <v>38</v>
      </c>
      <c r="K24" s="203"/>
      <c r="L24" s="37">
        <f>K16</f>
        <v>15</v>
      </c>
      <c r="M24" s="206" t="s">
        <v>39</v>
      </c>
      <c r="N24" s="206"/>
      <c r="O24" s="38">
        <f>N22*K16/M16</f>
        <v>11952.191235059763</v>
      </c>
      <c r="P24" s="27"/>
    </row>
    <row r="25" spans="1:16" x14ac:dyDescent="0.35">
      <c r="A25" s="58" t="s">
        <v>33</v>
      </c>
      <c r="B25" s="59" t="str">
        <f>TEXT(DATE(YEAR($B$4),MONTH($B$4)+9,DAY($B$4)),"mmmm")</f>
        <v>May</v>
      </c>
      <c r="C25" s="60" t="str">
        <f>K6&amp;" Paid"</f>
        <v>11 Paid</v>
      </c>
      <c r="D25" s="61">
        <f>IF($B$7-SUM($D$15:D24)-$O$12&lt;0,$B$7-SUM($D$15:D24),$O$12)</f>
        <v>11340.20618556696</v>
      </c>
      <c r="E25" s="62">
        <f t="shared" si="1"/>
        <v>5392.8615435167085</v>
      </c>
      <c r="F25" s="63">
        <f>IF($B$7-SUM($F$15:F24)-$O$25&lt;0,$B$7-SUM($F$16:F24),$O$25)</f>
        <v>16733.067729083668</v>
      </c>
      <c r="I25" s="18" t="s">
        <v>49</v>
      </c>
      <c r="J25" s="203" t="s">
        <v>42</v>
      </c>
      <c r="K25" s="203"/>
      <c r="L25" s="1">
        <f>M17</f>
        <v>11</v>
      </c>
      <c r="M25" s="206" t="s">
        <v>43</v>
      </c>
      <c r="N25" s="206"/>
      <c r="O25" s="38">
        <f>N22</f>
        <v>16733.067729083668</v>
      </c>
      <c r="P25" s="27"/>
    </row>
    <row r="26" spans="1:16" x14ac:dyDescent="0.35">
      <c r="A26" s="18" t="s">
        <v>36</v>
      </c>
      <c r="B26" s="1" t="str">
        <f>TEXT(DATE(YEAR($B$4),MONTH($B$4)+10,DAY($B$4)),"mmmm")</f>
        <v>June</v>
      </c>
      <c r="C26" s="1"/>
      <c r="D26" s="56">
        <f>IF($B$7-SUM($D$15:D25)-$O$12&lt;0,$B$7-SUM($D$15:D25),$O$12)</f>
        <v>0</v>
      </c>
      <c r="E26" s="56">
        <f t="shared" si="1"/>
        <v>16733.067729083668</v>
      </c>
      <c r="F26" s="57">
        <f>IF($B$7-SUM($F$15:F25)-$O$25&lt;0,$B$7-SUM($F$16:F25),$O$25)</f>
        <v>16733.067729083668</v>
      </c>
      <c r="I26" s="42" t="s">
        <v>49</v>
      </c>
      <c r="J26" s="204" t="s">
        <v>45</v>
      </c>
      <c r="K26" s="204"/>
      <c r="L26" s="43">
        <f>K19</f>
        <v>5</v>
      </c>
      <c r="M26" s="207" t="s">
        <v>39</v>
      </c>
      <c r="N26" s="207"/>
      <c r="O26" s="44">
        <f>N22*K19/M19</f>
        <v>3984.0637450199215</v>
      </c>
      <c r="P26" s="64"/>
    </row>
    <row r="27" spans="1:16" x14ac:dyDescent="0.35">
      <c r="A27" s="18" t="s">
        <v>41</v>
      </c>
      <c r="B27" s="1" t="str">
        <f>TEXT(DATE(YEAR($B$4),MONTH($B$4)+11,DAY($B$4)),"mmmm")</f>
        <v>July</v>
      </c>
      <c r="C27" s="1"/>
      <c r="D27" s="56">
        <f>IF($B$7-SUM($D$15:D26)-$O$12&lt;0,$B$7-SUM($D$15:D26),$O$12)</f>
        <v>0</v>
      </c>
      <c r="E27" s="56">
        <f t="shared" si="1"/>
        <v>16733.067729083668</v>
      </c>
      <c r="F27" s="57">
        <f>IF($B$7-SUM($F$15:F26)-$O$25&lt;0,$B$7-SUM($F$16:F26),$O$25)</f>
        <v>16733.067729083668</v>
      </c>
      <c r="P27" s="65"/>
    </row>
    <row r="28" spans="1:16" x14ac:dyDescent="0.35">
      <c r="A28" s="51" t="s">
        <v>44</v>
      </c>
      <c r="B28" s="52" t="str">
        <f>TEXT(DATE(YEAR($B$4),MONTH($B$4)+12,DAY($B$4)),"mmmm")</f>
        <v>August</v>
      </c>
      <c r="C28" s="53">
        <f>K19</f>
        <v>5</v>
      </c>
      <c r="D28" s="54">
        <f>IF($B$7-SUM($D$15:D27)-$O$12&lt;0,$B$7-SUM($D$15:D27),$O$12)</f>
        <v>0</v>
      </c>
      <c r="E28" s="54">
        <f>F28-D27</f>
        <v>3984.063745019841</v>
      </c>
      <c r="F28" s="55">
        <f>IF($B$7-SUM($F$15:F27)-$O$25&lt;0,$B$7-SUM($F$16:F27),$O$25)</f>
        <v>3984.063745019841</v>
      </c>
    </row>
    <row r="29" spans="1:16" x14ac:dyDescent="0.35">
      <c r="A29" s="66"/>
      <c r="B29" s="67"/>
      <c r="C29" s="67"/>
      <c r="D29" s="68">
        <f>SUM(D16:D28)</f>
        <v>200000</v>
      </c>
      <c r="E29" s="68">
        <f>ABS(SUMIF(E16:E28,"&lt;0",E16:E28))</f>
        <v>42843.060746703901</v>
      </c>
      <c r="F29" s="69">
        <f t="shared" ref="F29" si="2">SUM(F16:F28)</f>
        <v>200000</v>
      </c>
    </row>
  </sheetData>
  <mergeCells count="22">
    <mergeCell ref="I15:P15"/>
    <mergeCell ref="J25:K25"/>
    <mergeCell ref="J26:K26"/>
    <mergeCell ref="M24:N24"/>
    <mergeCell ref="M25:N25"/>
    <mergeCell ref="M26:N26"/>
    <mergeCell ref="J24:K24"/>
    <mergeCell ref="I21:M21"/>
    <mergeCell ref="I22:M22"/>
    <mergeCell ref="M12:N12"/>
    <mergeCell ref="M13:N13"/>
    <mergeCell ref="J12:K12"/>
    <mergeCell ref="J13:K13"/>
    <mergeCell ref="A13:F13"/>
    <mergeCell ref="C4:D4"/>
    <mergeCell ref="C5:D5"/>
    <mergeCell ref="J11:K11"/>
    <mergeCell ref="I2:P2"/>
    <mergeCell ref="C9:D9"/>
    <mergeCell ref="I8:M8"/>
    <mergeCell ref="I9:M9"/>
    <mergeCell ref="M11:N11"/>
  </mergeCells>
  <conditionalFormatting sqref="B10">
    <cfRule type="expression" dxfId="3" priority="3">
      <formula>$B$10="Available"</formula>
    </cfRule>
    <cfRule type="expression" dxfId="2" priority="4">
      <formula>$B$10="Not Available"</formula>
    </cfRule>
  </conditionalFormatting>
  <dataValidations count="1">
    <dataValidation type="list" allowBlank="1" showInputMessage="1" showErrorMessage="1" sqref="E2" xr:uid="{00000000-0002-0000-0100-000000000000}">
      <formula1>"Faculty"</formula1>
    </dataValidation>
  </dataValidations>
  <pageMargins left="0.7" right="0.7" top="0.75" bottom="0.75" header="0.3" footer="0.3"/>
  <pageSetup scale="67"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1000000}">
          <x14:formula1>
            <xm:f>'School Calendars'!$A$2:$A$4</xm:f>
          </x14:formula1>
          <xm:sqref>B2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1"/>
  <sheetViews>
    <sheetView zoomScaleNormal="100" workbookViewId="0">
      <selection activeCell="M5" sqref="M5"/>
    </sheetView>
  </sheetViews>
  <sheetFormatPr defaultColWidth="9.08984375" defaultRowHeight="14.5" x14ac:dyDescent="0.35"/>
  <cols>
    <col min="1" max="1" width="28.6328125" bestFit="1" customWidth="1"/>
    <col min="2" max="2" width="14.6328125" bestFit="1" customWidth="1"/>
    <col min="3" max="3" width="7.36328125" bestFit="1" customWidth="1"/>
    <col min="4" max="4" width="23" bestFit="1" customWidth="1"/>
    <col min="5" max="5" width="13" bestFit="1" customWidth="1"/>
    <col min="6" max="6" width="17" bestFit="1" customWidth="1"/>
    <col min="7" max="8" width="3" customWidth="1"/>
    <col min="9" max="9" width="10.453125" bestFit="1" customWidth="1"/>
    <col min="10" max="10" width="18.453125" customWidth="1"/>
    <col min="11" max="11" width="4.453125" bestFit="1" customWidth="1"/>
    <col min="12" max="12" width="4" bestFit="1" customWidth="1"/>
    <col min="13" max="13" width="4.90625" bestFit="1" customWidth="1"/>
    <col min="14" max="14" width="15.54296875" bestFit="1" customWidth="1"/>
    <col min="15" max="15" width="11.36328125" bestFit="1" customWidth="1"/>
    <col min="16" max="16" width="6.36328125" bestFit="1" customWidth="1"/>
    <col min="17" max="17" width="10.08984375" bestFit="1" customWidth="1"/>
    <col min="18" max="18" width="8.6328125" bestFit="1" customWidth="1"/>
  </cols>
  <sheetData>
    <row r="1" spans="1:16" ht="15" thickBot="1" x14ac:dyDescent="0.4">
      <c r="A1" s="3"/>
      <c r="B1" s="4"/>
      <c r="C1" s="4"/>
      <c r="D1" s="4"/>
      <c r="E1" s="4"/>
      <c r="F1" s="4"/>
      <c r="G1" s="5"/>
    </row>
    <row r="2" spans="1:16" ht="15" thickBot="1" x14ac:dyDescent="0.4">
      <c r="A2" s="6" t="s">
        <v>13</v>
      </c>
      <c r="B2" s="73" t="s">
        <v>53</v>
      </c>
      <c r="C2" s="7"/>
      <c r="D2" s="8" t="s">
        <v>15</v>
      </c>
      <c r="E2" s="73" t="s">
        <v>16</v>
      </c>
      <c r="F2" s="9"/>
      <c r="G2" s="5"/>
      <c r="I2" s="204" t="s">
        <v>54</v>
      </c>
      <c r="J2" s="204"/>
      <c r="K2" s="204"/>
      <c r="L2" s="204"/>
      <c r="M2" s="204"/>
      <c r="N2" s="204"/>
      <c r="O2" s="204"/>
      <c r="P2" s="204"/>
    </row>
    <row r="3" spans="1:16" x14ac:dyDescent="0.35">
      <c r="A3" s="6" t="s">
        <v>20</v>
      </c>
      <c r="B3" s="10" t="str">
        <f t="array" ref="B3">IFERROR(INDEX(School_Calendar[#All],MATCH(1,(School_Calendar[[#All],[Business Unit]]=B2)*(School_Calendar[[#All],[Employee Group]]='Max Deferred Comp Calculator'!E2),0),3),"")</f>
        <v>Fclt 9/12</v>
      </c>
      <c r="C3" s="9"/>
      <c r="D3" s="9"/>
      <c r="E3" s="9"/>
      <c r="F3" s="9"/>
      <c r="G3" s="5"/>
      <c r="I3" s="11" t="s">
        <v>37</v>
      </c>
      <c r="J3" s="12" t="s">
        <v>50</v>
      </c>
      <c r="K3" s="13">
        <f>IF(ISBLANK(B4)," ",IF(NETWORKDAYS(B4,EOMONTH(B4,0))&gt;=M3,0,NETWORKDAYS(B4,EOMONTH(B4,0))))</f>
        <v>15</v>
      </c>
      <c r="L3" s="14" t="s">
        <v>11</v>
      </c>
      <c r="M3" s="15">
        <f>IF(ISBLANK(B4)," ",NETWORKDAYS(DATE(YEAR(B4),MONTH(B4),1),DATE(YEAR(B4),MONTH(B4),DAY(EOMONTH(B4,0)))))</f>
        <v>21</v>
      </c>
      <c r="N3" s="14" t="s">
        <v>12</v>
      </c>
      <c r="O3" s="14" t="str">
        <f>TEXT(DATE(YEAR(B4),MONTH(B4),DAY(B4)),"mmmm")</f>
        <v>August</v>
      </c>
      <c r="P3" s="16">
        <f>YEAR(B4)</f>
        <v>2025</v>
      </c>
    </row>
    <row r="4" spans="1:16" x14ac:dyDescent="0.35">
      <c r="A4" s="6" t="s">
        <v>22</v>
      </c>
      <c r="B4" s="17" cm="1">
        <f t="array" ref="B4">IFERROR(INDEX(School_Calendar[#All],MATCH(1,(School_Calendar[[#All],[Business Unit]]=B2)*(School_Calendar[[#All],[Employee Group]]='Deferred Comp Calculator'!E2)*(School_Calendar[[#All],[Contract Pay Type]]='Deferred Comp Calculator'!B3)*(School_Calendar[[#All],[Tax Year]]='Max Deferred Comp Calculator'!E7),0),6),"")</f>
        <v>45880</v>
      </c>
      <c r="C4" s="202" t="s">
        <v>23</v>
      </c>
      <c r="D4" s="202"/>
      <c r="E4" s="17" cm="1">
        <f t="array" ref="E4">IFERROR(INDEX(School_Calendar[#All],MATCH(1,(School_Calendar[[#All],[Business Unit]]=B2)*(School_Calendar[[#All],[Employee Group]]='Deferred Comp Calculator'!E2)*(School_Calendar[[#All],[Contract Pay Type]]='Deferred Comp Calculator'!B3)*(School_Calendar[[#All],[Tax Year]]='Max Deferred Comp Calculator'!E7),0),7),"")</f>
        <v>46157</v>
      </c>
      <c r="F4" s="9"/>
      <c r="G4" s="5"/>
      <c r="I4" s="18" t="s">
        <v>37</v>
      </c>
      <c r="J4" s="19" t="s">
        <v>43</v>
      </c>
      <c r="K4" s="20">
        <f>DATEDIF(B4,DATE(YEAR(B4),12,31)+1,"m")</f>
        <v>4</v>
      </c>
      <c r="L4" s="1" t="s">
        <v>11</v>
      </c>
      <c r="M4" s="21">
        <f>IF(DAY(B4)=1,DATEDIF(B4,E4+1,"m"),DATEDIF(B4,E4,"m")-IF(AND(B2="Denver",E7=2024),1,0)-IF(AND(B2="Denver",E7=2025),1,0))</f>
        <v>8</v>
      </c>
      <c r="N4" s="1" t="s">
        <v>18</v>
      </c>
      <c r="O4" s="1" t="s">
        <v>19</v>
      </c>
      <c r="P4" s="22">
        <f>YEAR(B4)</f>
        <v>2025</v>
      </c>
    </row>
    <row r="5" spans="1:16" x14ac:dyDescent="0.35">
      <c r="A5" s="6" t="s">
        <v>25</v>
      </c>
      <c r="B5" s="17" cm="1">
        <f t="array" ref="B5">IFERROR(INDEX(School_Calendar[#All],MATCH(1,(School_Calendar[[#All],[Business Unit]]=B2)*(School_Calendar[[#All],[Employee Group]]='Deferred Comp Calculator'!E2)*(School_Calendar[[#All],[Contract Pay Type]]='Deferred Comp Calculator'!B3)*(School_Calendar[[#All],[Tax Year]]='Max Deferred Comp Calculator'!E7),0),8),"")</f>
        <v>45880</v>
      </c>
      <c r="C5" s="202" t="s">
        <v>26</v>
      </c>
      <c r="D5" s="202"/>
      <c r="E5" s="17" cm="1">
        <f t="array" ref="E5">IFERROR(INDEX(School_Calendar[#All],MATCH(1,(School_Calendar[[#All],[Business Unit]]=B2)*(School_Calendar[[#All],[Employee Group]]='Deferred Comp Calculator'!E2)*(School_Calendar[[#All],[Contract Pay Type]]='Deferred Comp Calculator'!B3)*(School_Calendar[[#All],[Tax Year]]='Max Deferred Comp Calculator'!E7),0),9),"")</f>
        <v>46241</v>
      </c>
      <c r="F5" s="9"/>
      <c r="G5" s="5"/>
      <c r="I5" s="18" t="s">
        <v>37</v>
      </c>
      <c r="J5" s="19" t="s">
        <v>43</v>
      </c>
      <c r="K5" s="20">
        <f>DATEDIF(DATE(YEAR(E4),1,1),E4+1,"m")</f>
        <v>4</v>
      </c>
      <c r="L5" s="1" t="s">
        <v>11</v>
      </c>
      <c r="M5" s="21">
        <f>IF(DAY(B4)=1,DATEDIF(B4,E4+1,"m"),DATEDIF(B4,E4,"m")-IF(AND(B2="Denver",E7=2024),1,0)-IF(AND(B2="Denver",E7=2025),1,0))</f>
        <v>8</v>
      </c>
      <c r="N5" s="1" t="s">
        <v>18</v>
      </c>
      <c r="O5" s="1" t="s">
        <v>19</v>
      </c>
      <c r="P5" s="22">
        <f>YEAR(E4)</f>
        <v>2026</v>
      </c>
    </row>
    <row r="6" spans="1:16" ht="15" thickBot="1" x14ac:dyDescent="0.4">
      <c r="A6" s="23"/>
      <c r="B6" s="9"/>
      <c r="C6" s="9"/>
      <c r="D6" s="9"/>
      <c r="E6" s="9"/>
      <c r="F6" s="9"/>
      <c r="G6" s="5"/>
      <c r="I6" s="18" t="s">
        <v>37</v>
      </c>
      <c r="J6" s="19" t="s">
        <v>50</v>
      </c>
      <c r="K6" s="20">
        <f>IF(ISBLANK(E4)," ",IF(NETWORKDAYS(DATE(YEAR(E4),MONTH(E4),1),E4)&gt;=M6,0,NETWORKDAYS(DATE(YEAR(E4),MONTH(E4),1),E4)))</f>
        <v>11</v>
      </c>
      <c r="L6" s="1" t="s">
        <v>11</v>
      </c>
      <c r="M6" s="21">
        <f>IF(ISBLANK(E4)," ",NETWORKDAYS(DATE(YEAR(E4),MONTH(E4),1),DATE(YEAR(E4),MONTH(E4),DAY(EOMONTH(E4,0)))))</f>
        <v>21</v>
      </c>
      <c r="N6" s="1" t="s">
        <v>12</v>
      </c>
      <c r="O6" s="1" t="str">
        <f>TEXT(DATE(YEAR(E4),MONTH(E4),DAY(E4)),"mmmm")</f>
        <v>May</v>
      </c>
      <c r="P6" s="22">
        <f>YEAR(E4)</f>
        <v>2026</v>
      </c>
    </row>
    <row r="7" spans="1:16" ht="15" thickBot="1" x14ac:dyDescent="0.4">
      <c r="A7" s="6" t="s">
        <v>61</v>
      </c>
      <c r="B7" s="70">
        <f>((N21*N8*E8)/(N21-N8))/(K3/M3+K4)</f>
        <v>202783.80294169771</v>
      </c>
      <c r="C7" s="24"/>
      <c r="D7" s="25" t="s">
        <v>30</v>
      </c>
      <c r="E7" s="74">
        <v>2025</v>
      </c>
      <c r="F7" s="9"/>
      <c r="G7" s="5"/>
      <c r="I7" s="26"/>
      <c r="P7" s="27"/>
    </row>
    <row r="8" spans="1:16" x14ac:dyDescent="0.35">
      <c r="A8" s="28"/>
      <c r="B8" s="9"/>
      <c r="C8" s="202" t="s">
        <v>35</v>
      </c>
      <c r="D8" s="202"/>
      <c r="E8" s="32">
        <f t="array" ref="E8">IFERROR(INDEX(School_Calendar[#All],MATCH(1,(School_Calendar[[#All],[Business Unit]]=B2)*(School_Calendar[[#All],[Employee Group]]='Max Deferred Comp Calculator'!E2)*(School_Calendar[[#All],[Contract Pay Type]]='Max Deferred Comp Calculator'!B3)*(School_Calendar[[#All],[Tax Year]]='Max Deferred Comp Calculator'!E7),0),5),"")</f>
        <v>23500</v>
      </c>
      <c r="F8" s="9"/>
      <c r="G8" s="5"/>
      <c r="I8" s="205" t="s">
        <v>55</v>
      </c>
      <c r="J8" s="206"/>
      <c r="K8" s="206"/>
      <c r="L8" s="206"/>
      <c r="M8" s="206"/>
      <c r="N8" s="30">
        <f>(K3/M3)+M4+K6/M6</f>
        <v>9.2380952380952372</v>
      </c>
      <c r="P8" s="27"/>
    </row>
    <row r="9" spans="1:16" x14ac:dyDescent="0.35">
      <c r="A9" s="39"/>
      <c r="B9" s="40"/>
      <c r="C9" s="40"/>
      <c r="D9" s="40"/>
      <c r="E9" s="40"/>
      <c r="F9" s="40"/>
      <c r="G9" s="5"/>
      <c r="I9" s="205" t="s">
        <v>56</v>
      </c>
      <c r="J9" s="206"/>
      <c r="K9" s="206"/>
      <c r="L9" s="206"/>
      <c r="M9" s="206"/>
      <c r="N9" s="33">
        <f>B7/N8</f>
        <v>21950.824029771404</v>
      </c>
      <c r="P9" s="27"/>
    </row>
    <row r="10" spans="1:16" x14ac:dyDescent="0.35">
      <c r="A10" s="41"/>
      <c r="B10" s="41"/>
      <c r="C10" s="41"/>
      <c r="D10" s="41"/>
      <c r="E10" s="41"/>
      <c r="F10" s="41"/>
      <c r="G10" s="72"/>
      <c r="I10" s="34"/>
      <c r="J10" s="35"/>
      <c r="K10" s="35"/>
      <c r="L10" s="35"/>
      <c r="M10" s="36"/>
      <c r="N10" s="36"/>
      <c r="P10" s="27"/>
    </row>
    <row r="11" spans="1:16" x14ac:dyDescent="0.35">
      <c r="A11" s="204" t="s">
        <v>57</v>
      </c>
      <c r="B11" s="204"/>
      <c r="C11" s="204"/>
      <c r="D11" s="204"/>
      <c r="E11" s="204"/>
      <c r="F11" s="204"/>
      <c r="G11" s="72"/>
      <c r="I11" s="18" t="s">
        <v>37</v>
      </c>
      <c r="J11" s="203" t="s">
        <v>38</v>
      </c>
      <c r="K11" s="203"/>
      <c r="L11" s="37">
        <f>K3</f>
        <v>15</v>
      </c>
      <c r="M11" s="206" t="s">
        <v>39</v>
      </c>
      <c r="N11" s="206"/>
      <c r="O11" s="38">
        <f>N9*K3/M3</f>
        <v>15679.16002126529</v>
      </c>
      <c r="P11" s="22"/>
    </row>
    <row r="12" spans="1:16" x14ac:dyDescent="0.35">
      <c r="A12" s="47" t="s">
        <v>3</v>
      </c>
      <c r="B12" s="15" t="s">
        <v>4</v>
      </c>
      <c r="C12" s="15" t="s">
        <v>58</v>
      </c>
      <c r="D12" s="15" t="s">
        <v>5</v>
      </c>
      <c r="E12" s="15" t="s">
        <v>6</v>
      </c>
      <c r="F12" s="48" t="s">
        <v>59</v>
      </c>
      <c r="G12" s="5"/>
      <c r="I12" s="18" t="s">
        <v>37</v>
      </c>
      <c r="J12" s="203" t="s">
        <v>42</v>
      </c>
      <c r="K12" s="203"/>
      <c r="L12" s="1">
        <f>M4</f>
        <v>8</v>
      </c>
      <c r="M12" s="206" t="s">
        <v>43</v>
      </c>
      <c r="N12" s="206"/>
      <c r="O12" s="38">
        <f>N9</f>
        <v>21950.824029771404</v>
      </c>
      <c r="P12" s="22"/>
    </row>
    <row r="13" spans="1:16" x14ac:dyDescent="0.35">
      <c r="A13" s="49"/>
      <c r="B13" s="21"/>
      <c r="C13" s="21"/>
      <c r="D13" s="21"/>
      <c r="E13" s="21"/>
      <c r="F13" s="50"/>
      <c r="I13" s="42" t="s">
        <v>37</v>
      </c>
      <c r="J13" s="204" t="s">
        <v>45</v>
      </c>
      <c r="K13" s="204"/>
      <c r="L13" s="43">
        <f>K6</f>
        <v>11</v>
      </c>
      <c r="M13" s="207" t="s">
        <v>39</v>
      </c>
      <c r="N13" s="207"/>
      <c r="O13" s="44">
        <f>N9*K6/M6</f>
        <v>11498.050682261211</v>
      </c>
      <c r="P13" s="45"/>
    </row>
    <row r="14" spans="1:16" x14ac:dyDescent="0.35">
      <c r="A14" s="51" t="s">
        <v>8</v>
      </c>
      <c r="B14" s="52" t="str">
        <f>TEXT(DATE(YEAR($B$4),MONTH($B$4),DAY($B$4)),"mmmm")</f>
        <v>August</v>
      </c>
      <c r="C14" s="53">
        <f>K16</f>
        <v>15</v>
      </c>
      <c r="D14" s="54">
        <f>IF(K3&gt;0,$O$11,IF($B$7-SUM($D$13:D13)-$O$12&lt;0,$B$7-SUM($D$13:D13),$O$12))</f>
        <v>15679.16002126529</v>
      </c>
      <c r="E14" s="54">
        <f>F14-D14</f>
        <v>-3560.6060606060619</v>
      </c>
      <c r="F14" s="55">
        <f>IF(K3&gt;0,$O$24,IF($B$7-SUM($F$13:F13)-$O$25&lt;0,$B$7-SUM($F13:F$13),$O$25))</f>
        <v>12118.553960659228</v>
      </c>
      <c r="I14" s="19"/>
      <c r="J14" s="19"/>
      <c r="K14" s="46"/>
    </row>
    <row r="15" spans="1:16" x14ac:dyDescent="0.35">
      <c r="A15" s="18" t="s">
        <v>9</v>
      </c>
      <c r="B15" s="1" t="str">
        <f>TEXT(DATE(YEAR($B$4),MONTH($B$4)+1,DAY($B$4)),"mmmm")</f>
        <v>September</v>
      </c>
      <c r="C15" s="1"/>
      <c r="D15" s="56">
        <f>IF($B$7-SUM($D$13:D14)-$O$12&lt;0,$B$7-SUM($D$13:D14),$O$12)</f>
        <v>21950.824029771404</v>
      </c>
      <c r="E15" s="56">
        <f t="shared" ref="E15:E25" si="0">F15-D15</f>
        <v>-4984.8484848484841</v>
      </c>
      <c r="F15" s="57">
        <f>IF($B$7-SUM($F$13:F14)-$O$25&lt;0,$B$7-SUM($F$13:F14),$O$25)</f>
        <v>16965.97554492292</v>
      </c>
      <c r="I15" s="204" t="s">
        <v>47</v>
      </c>
      <c r="J15" s="204"/>
      <c r="K15" s="204"/>
      <c r="L15" s="204"/>
      <c r="M15" s="204"/>
      <c r="N15" s="204"/>
      <c r="O15" s="204"/>
      <c r="P15" s="204"/>
    </row>
    <row r="16" spans="1:16" x14ac:dyDescent="0.35">
      <c r="A16" s="18" t="s">
        <v>10</v>
      </c>
      <c r="B16" s="1" t="str">
        <f>TEXT(DATE(YEAR($B$4),MONTH($B$4)+2,DAY($B$4)),"mmmm")</f>
        <v>October</v>
      </c>
      <c r="C16" s="1"/>
      <c r="D16" s="56">
        <f>IF($B$7-SUM($D$13:D15)-$O$12&lt;0,$B$7-SUM($D$13:D15),$O$12)</f>
        <v>21950.824029771404</v>
      </c>
      <c r="E16" s="56">
        <f t="shared" si="0"/>
        <v>-4984.8484848484841</v>
      </c>
      <c r="F16" s="57">
        <f>IF($B$7-SUM($F$13:F15)-$O$25&lt;0,$B$7-SUM($F$13:F15),$O$25)</f>
        <v>16965.97554492292</v>
      </c>
      <c r="I16" s="11" t="s">
        <v>49</v>
      </c>
      <c r="J16" s="12" t="s">
        <v>50</v>
      </c>
      <c r="K16" s="13">
        <f>IF(ISBLANK(B5)," ",IF(NETWORKDAYS(B5,EOMONTH(B5,0))&gt;=M16,0,NETWORKDAYS(B5,EOMONTH(B5,0))))</f>
        <v>15</v>
      </c>
      <c r="L16" s="14" t="s">
        <v>11</v>
      </c>
      <c r="M16" s="15">
        <f>IF(ISBLANK(B5)," ",NETWORKDAYS(DATE(YEAR(B5),MONTH(B5),1),DATE(YEAR(B5),MONTH(B5),DAY(EOMONTH(B5,0)))))</f>
        <v>21</v>
      </c>
      <c r="N16" s="14" t="s">
        <v>12</v>
      </c>
      <c r="O16" s="14" t="str">
        <f>TEXT(DATE(YEAR(B5),MONTH(B5),DAY(B5)),"mmmm")</f>
        <v>August</v>
      </c>
      <c r="P16" s="16">
        <f>YEAR(B5)</f>
        <v>2025</v>
      </c>
    </row>
    <row r="17" spans="1:16" x14ac:dyDescent="0.35">
      <c r="A17" s="18" t="s">
        <v>17</v>
      </c>
      <c r="B17" s="1" t="str">
        <f>TEXT(DATE(YEAR($B$4),MONTH($B$4)+3,DAY($B$4)),"mmmm")</f>
        <v>November</v>
      </c>
      <c r="C17" s="1"/>
      <c r="D17" s="56">
        <f>IF($B$7-SUM($D$13:D16)-$O$12&lt;0,$B$7-SUM($D$13:D16),$O$12)</f>
        <v>21950.824029771404</v>
      </c>
      <c r="E17" s="56">
        <f t="shared" si="0"/>
        <v>-4984.8484848484841</v>
      </c>
      <c r="F17" s="57">
        <f>IF($B$7-SUM($F$13:F16)-$O$25&lt;0,$B$7-SUM($F$13:F16),$O$25)</f>
        <v>16965.97554492292</v>
      </c>
      <c r="I17" s="18" t="s">
        <v>49</v>
      </c>
      <c r="J17" s="19" t="s">
        <v>43</v>
      </c>
      <c r="K17" s="20">
        <f>DATEDIF(B5,DATE(YEAR(B5),12,31)+1,"m")</f>
        <v>4</v>
      </c>
      <c r="L17" s="1" t="s">
        <v>11</v>
      </c>
      <c r="M17" s="21">
        <f>IF(DAY(B5)=1,DATEDIF(B5,E5+1,"m"),DATEDIF(B5,E5,"m"))</f>
        <v>11</v>
      </c>
      <c r="N17" s="1" t="s">
        <v>18</v>
      </c>
      <c r="O17" s="1" t="s">
        <v>19</v>
      </c>
      <c r="P17" s="22">
        <f>YEAR(B5)</f>
        <v>2025</v>
      </c>
    </row>
    <row r="18" spans="1:16" x14ac:dyDescent="0.35">
      <c r="A18" s="18" t="s">
        <v>21</v>
      </c>
      <c r="B18" s="1" t="str">
        <f>TEXT(DATE(YEAR($B$4),MONTH($B$4)+4,DAY($B$4)),"mmmm")</f>
        <v>December</v>
      </c>
      <c r="C18" s="1"/>
      <c r="D18" s="56">
        <f>IF($B$7-SUM($D$13:D17)-$O$12&lt;0,$B$7-SUM($D$13:D17),$O$12)</f>
        <v>21950.824029771404</v>
      </c>
      <c r="E18" s="56">
        <f t="shared" si="0"/>
        <v>-4984.8484848484841</v>
      </c>
      <c r="F18" s="57">
        <f>IF($B$7-SUM($F$13:F17)-$O$25&lt;0,$B$7-SUM($F$13:F17),$O$25)</f>
        <v>16965.97554492292</v>
      </c>
      <c r="I18" s="18" t="s">
        <v>49</v>
      </c>
      <c r="J18" s="19" t="s">
        <v>43</v>
      </c>
      <c r="K18" s="20">
        <f>DATEDIF(DATE(YEAR(E5),1,1),E5+1,"m")</f>
        <v>7</v>
      </c>
      <c r="L18" s="1" t="s">
        <v>11</v>
      </c>
      <c r="M18" s="21">
        <f>IF(DAY(B5)=1,DATEDIF(B5,E5+1,"m"),DATEDIF(B5,E5,"m"))</f>
        <v>11</v>
      </c>
      <c r="N18" s="1" t="s">
        <v>18</v>
      </c>
      <c r="O18" s="1" t="s">
        <v>19</v>
      </c>
      <c r="P18" s="22">
        <f>YEAR(E5)</f>
        <v>2026</v>
      </c>
    </row>
    <row r="19" spans="1:16" x14ac:dyDescent="0.35">
      <c r="A19" s="18" t="s">
        <v>24</v>
      </c>
      <c r="B19" s="1" t="str">
        <f>TEXT(DATE(YEAR($B$4),MONTH($B$4)+5,DAY($B$4)),"mmmm")</f>
        <v>January</v>
      </c>
      <c r="C19" s="1"/>
      <c r="D19" s="56">
        <f>IF($B$7-SUM($D$13:D18)-$O$12&lt;0,$B$7-SUM($D$13:D18),$O$12)</f>
        <v>21950.824029771404</v>
      </c>
      <c r="E19" s="56">
        <f t="shared" si="0"/>
        <v>-4984.8484848484841</v>
      </c>
      <c r="F19" s="57">
        <f>IF($B$7-SUM($F$13:F18)-$O$25&lt;0,$B$7-SUM($F$13:F18),$O$25)</f>
        <v>16965.97554492292</v>
      </c>
      <c r="I19" s="18" t="s">
        <v>49</v>
      </c>
      <c r="J19" s="19" t="s">
        <v>50</v>
      </c>
      <c r="K19" s="20">
        <f>IF(ISBLANK(E5)," ",IF(NETWORKDAYS(DATE(YEAR(E5),MONTH(E5),1),E5)&gt;=M19,0,NETWORKDAYS(DATE(YEAR(E5),MONTH(E5),1),E5)))</f>
        <v>5</v>
      </c>
      <c r="L19" s="1" t="s">
        <v>11</v>
      </c>
      <c r="M19" s="21">
        <f>IF(ISBLANK(E5)," ",NETWORKDAYS(DATE(YEAR(E5),MONTH(E5),1),DATE(YEAR(E5),MONTH(E5),DAY(EOMONTH(E5,0)))))</f>
        <v>21</v>
      </c>
      <c r="N19" s="1" t="s">
        <v>12</v>
      </c>
      <c r="O19" s="1" t="str">
        <f>TEXT(DATE(YEAR(E5),MONTH(E5),DAY(E5)),"mmmm")</f>
        <v>August</v>
      </c>
      <c r="P19" s="22">
        <f>YEAR(E5)</f>
        <v>2026</v>
      </c>
    </row>
    <row r="20" spans="1:16" x14ac:dyDescent="0.35">
      <c r="A20" s="18" t="s">
        <v>27</v>
      </c>
      <c r="B20" s="1" t="str">
        <f>TEXT(DATE(YEAR($B$4),MONTH($B$4)+6,DAY($B$4)),"mmmm")</f>
        <v>February</v>
      </c>
      <c r="C20" s="1"/>
      <c r="D20" s="56">
        <f>IF($B$7-SUM($D$13:D19)-$O$12&lt;0,$B$7-SUM($D$13:D19),$O$12)</f>
        <v>21950.824029771404</v>
      </c>
      <c r="E20" s="56">
        <f t="shared" si="0"/>
        <v>-4984.8484848484841</v>
      </c>
      <c r="F20" s="57">
        <f>IF($B$7-SUM($F$13:F19)-$O$25&lt;0,$B$7-SUM($F$13:F19),$O$25)</f>
        <v>16965.97554492292</v>
      </c>
      <c r="I20" s="26"/>
      <c r="P20" s="27"/>
    </row>
    <row r="21" spans="1:16" x14ac:dyDescent="0.35">
      <c r="A21" s="18" t="s">
        <v>28</v>
      </c>
      <c r="B21" s="1" t="str">
        <f>TEXT(DATE(YEAR($B$4),MONTH($B$4)+7,DAY($B$4)),"mmmm")</f>
        <v>March</v>
      </c>
      <c r="C21" s="1"/>
      <c r="D21" s="56">
        <f>IF($B$7-SUM($D$13:D20)-$O$12&lt;0,$B$7-SUM($D$13:D20),$O$12)</f>
        <v>21950.824029771404</v>
      </c>
      <c r="E21" s="56">
        <f t="shared" si="0"/>
        <v>-4984.8484848484841</v>
      </c>
      <c r="F21" s="57">
        <f>IF($B$7-SUM($F$13:F20)-$O$25&lt;0,$B$7-SUM($F$13:F20),$O$25)</f>
        <v>16965.97554492292</v>
      </c>
      <c r="I21" s="205" t="s">
        <v>51</v>
      </c>
      <c r="J21" s="206"/>
      <c r="K21" s="206"/>
      <c r="L21" s="206"/>
      <c r="M21" s="206"/>
      <c r="N21" s="30">
        <f>(K16/M16)+M17+K19/M19</f>
        <v>11.952380952380951</v>
      </c>
      <c r="P21" s="27"/>
    </row>
    <row r="22" spans="1:16" x14ac:dyDescent="0.35">
      <c r="A22" s="18" t="s">
        <v>31</v>
      </c>
      <c r="B22" s="1" t="str">
        <f>TEXT(DATE(YEAR($B$4),MONTH($B$4)+8,DAY($B$4)),"mmmm")</f>
        <v>April</v>
      </c>
      <c r="D22" s="56">
        <f>IF($B$7-SUM($D$13:D21)-$O$12&lt;0,$B$7-SUM($D$13:D21),$O$12)</f>
        <v>21950.824029771404</v>
      </c>
      <c r="E22" s="56">
        <f t="shared" si="0"/>
        <v>-4984.8484848484841</v>
      </c>
      <c r="F22" s="57">
        <f>IF($B$7-SUM($F$13:F21)-$O$25&lt;0,$B$7-SUM($F$13:F21),$O$25)</f>
        <v>16965.97554492292</v>
      </c>
      <c r="I22" s="205" t="s">
        <v>52</v>
      </c>
      <c r="J22" s="206"/>
      <c r="K22" s="206"/>
      <c r="L22" s="206"/>
      <c r="M22" s="206"/>
      <c r="N22" s="33">
        <f>B7/N21</f>
        <v>16965.97554492292</v>
      </c>
      <c r="P22" s="27"/>
    </row>
    <row r="23" spans="1:16" x14ac:dyDescent="0.35">
      <c r="A23" s="58" t="s">
        <v>33</v>
      </c>
      <c r="B23" s="59" t="str">
        <f>TEXT(DATE(YEAR($B$4),MONTH($B$4)+9,DAY($B$4)),"mmmm")</f>
        <v>May</v>
      </c>
      <c r="C23" s="60" t="str">
        <f>K6&amp;" Paid"</f>
        <v>11 Paid</v>
      </c>
      <c r="D23" s="61">
        <f>IF($B$7-SUM($D$13:D22)-$O$12&lt;0,$B$7-SUM($D$13:D22),$O$12)</f>
        <v>11498.050682261179</v>
      </c>
      <c r="E23" s="61">
        <f t="shared" si="0"/>
        <v>5467.9248626617409</v>
      </c>
      <c r="F23" s="63">
        <f>IF($B$7-SUM($F$13:F22)-$O$25&lt;0,$B$7-SUM($F$13:F22),$O$25)</f>
        <v>16965.97554492292</v>
      </c>
      <c r="I23" s="26"/>
      <c r="P23" s="27"/>
    </row>
    <row r="24" spans="1:16" x14ac:dyDescent="0.35">
      <c r="A24" s="18" t="s">
        <v>36</v>
      </c>
      <c r="B24" s="1" t="str">
        <f>TEXT(DATE(YEAR($B$4),MONTH($B$4)+10,DAY($B$4)),"mmmm")</f>
        <v>June</v>
      </c>
      <c r="C24" s="1"/>
      <c r="D24" s="56">
        <f>IF($B$7-SUM($D$13:D23)-$O$12&lt;0,$B$7-SUM($D$13:D23),$O$12)</f>
        <v>0</v>
      </c>
      <c r="E24" s="56">
        <f t="shared" si="0"/>
        <v>16965.97554492292</v>
      </c>
      <c r="F24" s="57">
        <f>IF($B$7-SUM($F$13:F23)-$O$25&lt;0,$B$7-SUM($F$13:F23),$O$25)</f>
        <v>16965.97554492292</v>
      </c>
      <c r="I24" s="18" t="s">
        <v>49</v>
      </c>
      <c r="J24" s="203" t="s">
        <v>38</v>
      </c>
      <c r="K24" s="203"/>
      <c r="L24" s="37">
        <f>K16</f>
        <v>15</v>
      </c>
      <c r="M24" s="206" t="s">
        <v>39</v>
      </c>
      <c r="N24" s="206"/>
      <c r="O24" s="38">
        <f>N22*K16/M16</f>
        <v>12118.553960659228</v>
      </c>
      <c r="P24" s="27"/>
    </row>
    <row r="25" spans="1:16" x14ac:dyDescent="0.35">
      <c r="A25" s="18" t="s">
        <v>41</v>
      </c>
      <c r="B25" s="1" t="str">
        <f>TEXT(DATE(YEAR($B$4),MONTH($B$4)+11,DAY($B$4)),"mmmm")</f>
        <v>July</v>
      </c>
      <c r="C25" s="1"/>
      <c r="D25" s="56">
        <f>IF($B$7-SUM($D$13:D24)-$O$12&lt;0,$B$7-SUM($D$13:D24),$O$12)</f>
        <v>0</v>
      </c>
      <c r="E25" s="56">
        <f t="shared" si="0"/>
        <v>16965.97554492292</v>
      </c>
      <c r="F25" s="57">
        <f>IF($B$7-SUM($F$13:F24)-$O$25&lt;0,$B$7-SUM($F$13:F24),$O$25)</f>
        <v>16965.97554492292</v>
      </c>
      <c r="I25" s="18" t="s">
        <v>49</v>
      </c>
      <c r="J25" s="203" t="s">
        <v>42</v>
      </c>
      <c r="K25" s="203"/>
      <c r="L25" s="1">
        <f>M17</f>
        <v>11</v>
      </c>
      <c r="M25" s="206" t="s">
        <v>43</v>
      </c>
      <c r="N25" s="206"/>
      <c r="O25" s="38">
        <f>N22</f>
        <v>16965.97554492292</v>
      </c>
      <c r="P25" s="27"/>
    </row>
    <row r="26" spans="1:16" x14ac:dyDescent="0.35">
      <c r="A26" s="51" t="s">
        <v>44</v>
      </c>
      <c r="B26" s="52" t="str">
        <f>TEXT(DATE(YEAR($B$4),MONTH($B$4)+12,DAY($B$4)),"mmmm")</f>
        <v>August</v>
      </c>
      <c r="C26" s="53">
        <f>K19</f>
        <v>5</v>
      </c>
      <c r="D26" s="54">
        <f>IF($B$7-SUM($D$13:D25)-$O$12&lt;0,$B$7-SUM($D$13:D25),$O$12)</f>
        <v>0</v>
      </c>
      <c r="E26" s="54">
        <f>F26-D25</f>
        <v>4039.5179868863197</v>
      </c>
      <c r="F26" s="55">
        <f>IF($B$7-SUM($F$13:F25)-$O$25&lt;0,$B$7-SUM($F$13:F25),$O$25)</f>
        <v>4039.5179868863197</v>
      </c>
      <c r="I26" s="42" t="s">
        <v>49</v>
      </c>
      <c r="J26" s="204" t="s">
        <v>45</v>
      </c>
      <c r="K26" s="204"/>
      <c r="L26" s="43">
        <f>K19</f>
        <v>5</v>
      </c>
      <c r="M26" s="207" t="s">
        <v>39</v>
      </c>
      <c r="N26" s="207"/>
      <c r="O26" s="44">
        <f>N22*K19/M19</f>
        <v>4039.5179868864097</v>
      </c>
      <c r="P26" s="64"/>
    </row>
    <row r="27" spans="1:16" x14ac:dyDescent="0.35">
      <c r="A27" s="66"/>
      <c r="B27" s="67"/>
      <c r="C27" s="67"/>
      <c r="D27" s="68">
        <f>SUM(D14:D26)</f>
        <v>202783.80294169771</v>
      </c>
      <c r="E27" s="68">
        <f>ABS(SUMIF(E14:E26,"&lt;0",E14:E26))</f>
        <v>43439.393939393922</v>
      </c>
      <c r="F27" s="69">
        <f t="shared" ref="F27" si="1">SUM(F14:F26)</f>
        <v>202783.80294169771</v>
      </c>
      <c r="P27" s="65"/>
    </row>
    <row r="30" spans="1:16" x14ac:dyDescent="0.35">
      <c r="D30" s="65"/>
      <c r="E30" s="65"/>
      <c r="J30" s="38"/>
    </row>
    <row r="31" spans="1:16" x14ac:dyDescent="0.35">
      <c r="D31" s="65"/>
      <c r="E31" s="65"/>
    </row>
  </sheetData>
  <mergeCells count="22">
    <mergeCell ref="M24:N24"/>
    <mergeCell ref="J25:K25"/>
    <mergeCell ref="M25:N25"/>
    <mergeCell ref="J26:K26"/>
    <mergeCell ref="M26:N26"/>
    <mergeCell ref="J24:K24"/>
    <mergeCell ref="I2:P2"/>
    <mergeCell ref="C4:D4"/>
    <mergeCell ref="C5:D5"/>
    <mergeCell ref="I8:M8"/>
    <mergeCell ref="I9:M9"/>
    <mergeCell ref="C8:D8"/>
    <mergeCell ref="A11:F11"/>
    <mergeCell ref="I15:P15"/>
    <mergeCell ref="I21:M21"/>
    <mergeCell ref="I22:M22"/>
    <mergeCell ref="J11:K11"/>
    <mergeCell ref="M11:N11"/>
    <mergeCell ref="J12:K12"/>
    <mergeCell ref="M12:N12"/>
    <mergeCell ref="J13:K13"/>
    <mergeCell ref="M13:N13"/>
  </mergeCells>
  <dataValidations count="1">
    <dataValidation type="list" allowBlank="1" showInputMessage="1" showErrorMessage="1" sqref="E2" xr:uid="{00000000-0002-0000-0200-000000000000}">
      <formula1>"Faculty"</formula1>
    </dataValidation>
  </dataValidations>
  <pageMargins left="0.7" right="0.7" top="0.75" bottom="0.75" header="0.3" footer="0.3"/>
  <pageSetup scale="66"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1000000}">
          <x14:formula1>
            <xm:f>'School Calendars'!$A$2:$A$4</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29"/>
  <sheetViews>
    <sheetView zoomScaleNormal="100" workbookViewId="0">
      <selection activeCell="M5" sqref="M5"/>
    </sheetView>
  </sheetViews>
  <sheetFormatPr defaultColWidth="9.08984375" defaultRowHeight="14.5" x14ac:dyDescent="0.35"/>
  <cols>
    <col min="1" max="1" width="28.6328125" bestFit="1" customWidth="1"/>
    <col min="2" max="2" width="14.6328125" bestFit="1" customWidth="1"/>
    <col min="3" max="3" width="6.36328125" bestFit="1" customWidth="1"/>
    <col min="4" max="4" width="23" bestFit="1" customWidth="1"/>
    <col min="5" max="5" width="13" bestFit="1" customWidth="1"/>
    <col min="6" max="6" width="17" bestFit="1" customWidth="1"/>
    <col min="7" max="8" width="3" customWidth="1"/>
    <col min="9" max="9" width="10.453125" bestFit="1" customWidth="1"/>
    <col min="10" max="10" width="16.54296875" bestFit="1" customWidth="1"/>
    <col min="11" max="11" width="4.453125" bestFit="1" customWidth="1"/>
    <col min="12" max="12" width="4" bestFit="1" customWidth="1"/>
    <col min="13" max="13" width="4.90625" bestFit="1" customWidth="1"/>
    <col min="14" max="14" width="15.54296875" bestFit="1" customWidth="1"/>
    <col min="15" max="15" width="11.36328125" bestFit="1" customWidth="1"/>
    <col min="16" max="16" width="6.36328125" bestFit="1" customWidth="1"/>
    <col min="17" max="17" width="10.08984375" bestFit="1" customWidth="1"/>
    <col min="18" max="18" width="8.6328125" bestFit="1" customWidth="1"/>
  </cols>
  <sheetData>
    <row r="1" spans="1:16" ht="15" thickBot="1" x14ac:dyDescent="0.4">
      <c r="A1" s="3"/>
      <c r="B1" s="4"/>
      <c r="C1" s="4"/>
      <c r="D1" s="4"/>
      <c r="E1" s="4"/>
      <c r="F1" s="4"/>
      <c r="G1" s="5"/>
    </row>
    <row r="2" spans="1:16" ht="15" thickBot="1" x14ac:dyDescent="0.4">
      <c r="A2" s="6" t="s">
        <v>13</v>
      </c>
      <c r="B2" s="76" t="s">
        <v>53</v>
      </c>
      <c r="C2" s="7"/>
      <c r="D2" s="8" t="s">
        <v>15</v>
      </c>
      <c r="E2" s="76" t="s">
        <v>16</v>
      </c>
      <c r="F2" s="9"/>
      <c r="G2" s="5"/>
      <c r="I2" s="204" t="s">
        <v>54</v>
      </c>
      <c r="J2" s="204"/>
      <c r="K2" s="204"/>
      <c r="L2" s="204"/>
      <c r="M2" s="204"/>
      <c r="N2" s="204"/>
      <c r="O2" s="204"/>
      <c r="P2" s="204"/>
    </row>
    <row r="3" spans="1:16" ht="15" thickBot="1" x14ac:dyDescent="0.4">
      <c r="A3" s="6" t="s">
        <v>20</v>
      </c>
      <c r="B3" s="10" t="str">
        <f t="array" ref="B3">IFERROR(INDEX(School_Calendar[#All],MATCH(1,(School_Calendar[[#All],[Business Unit]]=B2)*(School_Calendar[[#All],[Employee Group]]='Calculator - Custom Dates'!E2),0),3),"")</f>
        <v>Fclt 9/12</v>
      </c>
      <c r="C3" s="9"/>
      <c r="D3" s="9"/>
      <c r="E3" s="9"/>
      <c r="F3" s="9"/>
      <c r="G3" s="5"/>
      <c r="I3" s="11" t="s">
        <v>37</v>
      </c>
      <c r="J3" s="12" t="s">
        <v>50</v>
      </c>
      <c r="K3" s="13">
        <f>IF(ISBLANK(B4)," ",IF(NETWORKDAYS(B4,EOMONTH(B4,0))&gt;=M3,0,NETWORKDAYS(B4,EOMONTH(B4,0))))</f>
        <v>15</v>
      </c>
      <c r="L3" s="14" t="s">
        <v>11</v>
      </c>
      <c r="M3" s="15">
        <f>IF(ISBLANK(B4)," ",NETWORKDAYS(DATE(YEAR(B4),MONTH(B4),1),DATE(YEAR(B4),MONTH(B4),DAY(EOMONTH(B4,0)))))</f>
        <v>22</v>
      </c>
      <c r="N3" s="14" t="s">
        <v>12</v>
      </c>
      <c r="O3" s="14" t="str">
        <f>TEXT(DATE(YEAR(B4),MONTH(B4),DAY(B4)),"mmmm")</f>
        <v>August</v>
      </c>
      <c r="P3" s="16">
        <f>YEAR(B4)</f>
        <v>2024</v>
      </c>
    </row>
    <row r="4" spans="1:16" ht="15" thickBot="1" x14ac:dyDescent="0.4">
      <c r="A4" s="6" t="s">
        <v>22</v>
      </c>
      <c r="B4" s="77">
        <v>45516</v>
      </c>
      <c r="C4" s="202" t="s">
        <v>23</v>
      </c>
      <c r="D4" s="202"/>
      <c r="E4" s="77">
        <v>45793</v>
      </c>
      <c r="F4" s="9"/>
      <c r="G4" s="5"/>
      <c r="I4" s="18" t="s">
        <v>37</v>
      </c>
      <c r="J4" s="19" t="s">
        <v>43</v>
      </c>
      <c r="K4" s="20">
        <f>DATEDIF(B4,DATE(YEAR(B4),12,31)+1,"m")</f>
        <v>4</v>
      </c>
      <c r="L4" s="1" t="s">
        <v>11</v>
      </c>
      <c r="M4" s="21">
        <f>IF(DAY(B4)=1,DATEDIF(B4,E4+1,"m"),DATEDIF(B4,E4,"m")-IF(AND(B2="Denver",E7=2024),1,0)-IF(AND(B2="Denver",E7=2025),1,0))</f>
        <v>8</v>
      </c>
      <c r="N4" s="1" t="s">
        <v>18</v>
      </c>
      <c r="O4" s="1" t="s">
        <v>19</v>
      </c>
      <c r="P4" s="22">
        <f>YEAR(B4)</f>
        <v>2024</v>
      </c>
    </row>
    <row r="5" spans="1:16" ht="15" thickBot="1" x14ac:dyDescent="0.4">
      <c r="A5" s="6" t="s">
        <v>25</v>
      </c>
      <c r="B5" s="77">
        <v>45516</v>
      </c>
      <c r="C5" s="202" t="s">
        <v>26</v>
      </c>
      <c r="D5" s="202"/>
      <c r="E5" s="77">
        <v>45877</v>
      </c>
      <c r="F5" s="9"/>
      <c r="G5" s="5"/>
      <c r="I5" s="18" t="s">
        <v>37</v>
      </c>
      <c r="J5" s="19" t="s">
        <v>43</v>
      </c>
      <c r="K5" s="20">
        <f>DATEDIF(DATE(YEAR(E4),1,1),E4+1,"m")</f>
        <v>4</v>
      </c>
      <c r="L5" s="1" t="s">
        <v>11</v>
      </c>
      <c r="M5" s="21">
        <f>IF(DAY(B4)=1,DATEDIF(B4,E4+1,"m"),DATEDIF(B4,E4,"m")-IF(AND(B2="Denver",E7=2024),1,0)-IF(AND(B2="Denver",E7=2025),1,0))</f>
        <v>8</v>
      </c>
      <c r="N5" s="1" t="s">
        <v>18</v>
      </c>
      <c r="O5" s="1" t="s">
        <v>19</v>
      </c>
      <c r="P5" s="22">
        <f>YEAR(E4)</f>
        <v>2025</v>
      </c>
    </row>
    <row r="6" spans="1:16" ht="15" thickBot="1" x14ac:dyDescent="0.4">
      <c r="A6" s="23"/>
      <c r="B6" s="9"/>
      <c r="C6" s="9"/>
      <c r="D6" s="9"/>
      <c r="E6" s="9"/>
      <c r="F6" s="9"/>
      <c r="G6" s="5"/>
      <c r="I6" s="18" t="s">
        <v>37</v>
      </c>
      <c r="J6" s="19" t="s">
        <v>50</v>
      </c>
      <c r="K6" s="20">
        <f>IF(ISBLANK(E4)," ",IF(NETWORKDAYS(DATE(YEAR(E4),MONTH(E4),1),E4)&gt;=M6,0,NETWORKDAYS(DATE(YEAR(E4),MONTH(E4),1),E4)))</f>
        <v>12</v>
      </c>
      <c r="L6" s="1" t="s">
        <v>11</v>
      </c>
      <c r="M6" s="21">
        <f>IF(ISBLANK(E4)," ",NETWORKDAYS(DATE(YEAR(E4),MONTH(E4),1),DATE(YEAR(E4),MONTH(E4),DAY(EOMONTH(E4,0)))))</f>
        <v>22</v>
      </c>
      <c r="N6" s="1" t="s">
        <v>12</v>
      </c>
      <c r="O6" s="1" t="str">
        <f>TEXT(DATE(YEAR(E4),MONTH(E4),DAY(E4)),"mmmm")</f>
        <v>May</v>
      </c>
      <c r="P6" s="22">
        <f>YEAR(E4)</f>
        <v>2025</v>
      </c>
    </row>
    <row r="7" spans="1:16" ht="15" thickBot="1" x14ac:dyDescent="0.4">
      <c r="A7" s="6" t="s">
        <v>29</v>
      </c>
      <c r="B7" s="79">
        <v>24000</v>
      </c>
      <c r="C7" s="24"/>
      <c r="D7" s="25" t="s">
        <v>30</v>
      </c>
      <c r="E7" s="78">
        <f>'Contract Def Comp Calculator'!F13</f>
        <v>2025</v>
      </c>
      <c r="F7" s="9"/>
      <c r="G7" s="5"/>
      <c r="I7" s="26"/>
      <c r="P7" s="27"/>
    </row>
    <row r="8" spans="1:16" x14ac:dyDescent="0.35">
      <c r="A8" s="28"/>
      <c r="B8" s="9"/>
      <c r="C8" s="24"/>
      <c r="D8" s="29"/>
      <c r="E8" s="9"/>
      <c r="F8" s="9"/>
      <c r="G8" s="5"/>
      <c r="I8" s="205" t="s">
        <v>55</v>
      </c>
      <c r="J8" s="206"/>
      <c r="K8" s="206"/>
      <c r="L8" s="206"/>
      <c r="M8" s="206"/>
      <c r="N8" s="30">
        <f>(K3/M3)+M4+K6/M6</f>
        <v>9.2272727272727266</v>
      </c>
      <c r="P8" s="27"/>
    </row>
    <row r="9" spans="1:16" ht="15" thickBot="1" x14ac:dyDescent="0.4">
      <c r="A9" s="25" t="s">
        <v>34</v>
      </c>
      <c r="B9" s="31">
        <f>IFERROR(ROUNDUP(N9*((K3/M3)+K4)-N22*((K16/M16)+K17),2),"")</f>
        <v>2788.3100000000004</v>
      </c>
      <c r="C9" s="202" t="s">
        <v>35</v>
      </c>
      <c r="D9" s="202"/>
      <c r="E9" s="32">
        <f t="array" ref="E9">IFERROR(INDEX(School_Calendar[#All],MATCH(1,(School_Calendar[[#All],[Business Unit]]=B2)*(School_Calendar[[#All],[Employee Group]]='Calculator - Custom Dates'!E2)*(School_Calendar[[#All],[Contract Pay Type]]='Calculator - Custom Dates'!B3)*(School_Calendar[[#All],[Tax Year]]='Calculator - Custom Dates'!E7),0),5),"")</f>
        <v>23500</v>
      </c>
      <c r="F9" s="9"/>
      <c r="G9" s="5"/>
      <c r="I9" s="205" t="s">
        <v>56</v>
      </c>
      <c r="J9" s="206"/>
      <c r="K9" s="206"/>
      <c r="L9" s="206"/>
      <c r="M9" s="206"/>
      <c r="N9" s="33">
        <f>B7/N8</f>
        <v>2600.9852216748768</v>
      </c>
      <c r="P9" s="27"/>
    </row>
    <row r="10" spans="1:16" ht="15" thickBot="1" x14ac:dyDescent="0.4">
      <c r="A10" s="25" t="s">
        <v>40</v>
      </c>
      <c r="B10" s="71" t="str">
        <f>IF(B9="","",IF(B9&lt;=E9,"Available","Not Available"))</f>
        <v>Available</v>
      </c>
      <c r="C10" s="9"/>
      <c r="D10" s="6" t="s">
        <v>61</v>
      </c>
      <c r="E10" s="70">
        <f>IFERROR(((N21*N8*E9)/(N21-N8))/(K3/M3+K4),"")</f>
        <v>202273.76570192788</v>
      </c>
      <c r="F10" s="9"/>
      <c r="G10" s="5"/>
      <c r="I10" s="34"/>
      <c r="J10" s="35"/>
      <c r="K10" s="35"/>
      <c r="L10" s="35"/>
      <c r="M10" s="36"/>
      <c r="N10" s="36"/>
      <c r="P10" s="27"/>
    </row>
    <row r="11" spans="1:16" x14ac:dyDescent="0.35">
      <c r="A11" s="39"/>
      <c r="B11" s="40"/>
      <c r="C11" s="40"/>
      <c r="D11" s="40"/>
      <c r="E11" s="40"/>
      <c r="F11" s="40"/>
      <c r="G11" s="5"/>
      <c r="I11" s="18" t="s">
        <v>37</v>
      </c>
      <c r="J11" s="203" t="s">
        <v>38</v>
      </c>
      <c r="K11" s="203"/>
      <c r="L11" s="37">
        <f>K3</f>
        <v>15</v>
      </c>
      <c r="M11" s="206" t="s">
        <v>39</v>
      </c>
      <c r="N11" s="206"/>
      <c r="O11" s="38">
        <f>N9*K3/M3</f>
        <v>1773.3990147783252</v>
      </c>
      <c r="P11" s="22"/>
    </row>
    <row r="12" spans="1:16" x14ac:dyDescent="0.35">
      <c r="A12" s="41"/>
      <c r="B12" s="41"/>
      <c r="C12" s="41"/>
      <c r="D12" s="41"/>
      <c r="E12" s="41"/>
      <c r="F12" s="41"/>
      <c r="G12" s="72"/>
      <c r="I12" s="18" t="s">
        <v>37</v>
      </c>
      <c r="J12" s="203" t="s">
        <v>42</v>
      </c>
      <c r="K12" s="203"/>
      <c r="L12" s="1">
        <f>M4</f>
        <v>8</v>
      </c>
      <c r="M12" s="206" t="s">
        <v>43</v>
      </c>
      <c r="N12" s="206"/>
      <c r="O12" s="38">
        <f>N9</f>
        <v>2600.9852216748768</v>
      </c>
      <c r="P12" s="22"/>
    </row>
    <row r="13" spans="1:16" x14ac:dyDescent="0.35">
      <c r="A13" s="204" t="s">
        <v>57</v>
      </c>
      <c r="B13" s="204"/>
      <c r="C13" s="204"/>
      <c r="D13" s="204"/>
      <c r="E13" s="204"/>
      <c r="F13" s="204"/>
      <c r="I13" s="42" t="s">
        <v>37</v>
      </c>
      <c r="J13" s="204" t="s">
        <v>45</v>
      </c>
      <c r="K13" s="204"/>
      <c r="L13" s="43">
        <f>K6</f>
        <v>12</v>
      </c>
      <c r="M13" s="207" t="s">
        <v>39</v>
      </c>
      <c r="N13" s="207"/>
      <c r="O13" s="44">
        <f>N9*K6/M6</f>
        <v>1418.7192118226601</v>
      </c>
      <c r="P13" s="45"/>
    </row>
    <row r="14" spans="1:16" x14ac:dyDescent="0.35">
      <c r="A14" s="47" t="s">
        <v>3</v>
      </c>
      <c r="B14" s="15" t="s">
        <v>4</v>
      </c>
      <c r="C14" s="15" t="s">
        <v>58</v>
      </c>
      <c r="D14" s="15" t="s">
        <v>5</v>
      </c>
      <c r="E14" s="15" t="s">
        <v>6</v>
      </c>
      <c r="F14" s="48" t="s">
        <v>59</v>
      </c>
      <c r="I14" s="19"/>
      <c r="J14" s="19"/>
      <c r="K14" s="46"/>
    </row>
    <row r="15" spans="1:16" x14ac:dyDescent="0.35">
      <c r="A15" s="49"/>
      <c r="B15" s="21"/>
      <c r="C15" s="21"/>
      <c r="D15" s="21"/>
      <c r="E15" s="21"/>
      <c r="F15" s="50"/>
      <c r="I15" s="204" t="s">
        <v>47</v>
      </c>
      <c r="J15" s="204"/>
      <c r="K15" s="204"/>
      <c r="L15" s="204"/>
      <c r="M15" s="204"/>
      <c r="N15" s="204"/>
      <c r="O15" s="204"/>
      <c r="P15" s="204"/>
    </row>
    <row r="16" spans="1:16" x14ac:dyDescent="0.35">
      <c r="A16" s="51" t="s">
        <v>8</v>
      </c>
      <c r="B16" s="52" t="str">
        <f>TEXT(DATE(YEAR($B$4),MONTH($B$4),DAY($B$4)),"mmmm")</f>
        <v>August</v>
      </c>
      <c r="C16" s="53">
        <f>K16</f>
        <v>15</v>
      </c>
      <c r="D16" s="54">
        <f>IF(K3&gt;0,O11,IF($B$7-SUM($D$15:D15)-$O$12&lt;0,$B$7-SUM($D$15:D15),$O$12))</f>
        <v>1773.3990147783252</v>
      </c>
      <c r="E16" s="54">
        <f t="shared" ref="E16:E27" si="0">F16-D16</f>
        <v>-406.06314934153738</v>
      </c>
      <c r="F16" s="55">
        <f>IF(K3&gt;0,O24,IF($B$7-SUM($F$15:F15)-$O$25&lt;0,$B$7-SUM($F15:F$16),$O$25))</f>
        <v>1367.3358654367878</v>
      </c>
      <c r="I16" s="11" t="s">
        <v>49</v>
      </c>
      <c r="J16" s="12" t="s">
        <v>50</v>
      </c>
      <c r="K16" s="13">
        <f>IF(ISBLANK(B5)," ",IF(NETWORKDAYS(B5,EOMONTH(B5,0))&gt;=M16,0,NETWORKDAYS(B5,EOMONTH(B5,0))))</f>
        <v>15</v>
      </c>
      <c r="L16" s="14" t="s">
        <v>11</v>
      </c>
      <c r="M16" s="15">
        <f>IF(ISBLANK(B5)," ",NETWORKDAYS(DATE(YEAR(B5),MONTH(B5),1),DATE(YEAR(B5),MONTH(B5),DAY(EOMONTH(B5,0)))))</f>
        <v>22</v>
      </c>
      <c r="N16" s="14" t="s">
        <v>12</v>
      </c>
      <c r="O16" s="14" t="str">
        <f>TEXT(DATE(YEAR(B5),MONTH(B5),DAY(B5)),"mmmm")</f>
        <v>August</v>
      </c>
      <c r="P16" s="16">
        <f>YEAR(B5)</f>
        <v>2024</v>
      </c>
    </row>
    <row r="17" spans="1:16" x14ac:dyDescent="0.35">
      <c r="A17" s="18" t="s">
        <v>9</v>
      </c>
      <c r="B17" s="1" t="str">
        <f>TEXT(DATE(YEAR($B$4),MONTH($B$4)+1,DAY($B$4)),"mmmm")</f>
        <v>September</v>
      </c>
      <c r="C17" s="1">
        <v>21</v>
      </c>
      <c r="D17" s="56">
        <f>IF($B$7-SUM($D$15:D16)-$O$12&lt;0,$B$7-SUM($D$15:D16),$O$12)</f>
        <v>2600.9852216748768</v>
      </c>
      <c r="E17" s="56">
        <f t="shared" si="0"/>
        <v>-595.55928570092146</v>
      </c>
      <c r="F17" s="57">
        <f>IF($B$7-SUM($F$15:F16)-$O$25&lt;0,$B$7-SUM($F$16:F16),$O$25)</f>
        <v>2005.4259359739553</v>
      </c>
      <c r="I17" s="18" t="s">
        <v>49</v>
      </c>
      <c r="J17" s="19" t="s">
        <v>43</v>
      </c>
      <c r="K17" s="20">
        <f>DATEDIF(B5,DATE(YEAR(B5),12,31)+1,"m")</f>
        <v>4</v>
      </c>
      <c r="L17" s="1" t="s">
        <v>11</v>
      </c>
      <c r="M17" s="21">
        <f>IF(DAY(B5)=1,DATEDIF(B5,E5+1,"m"),DATEDIF(B5,E5,"m"))</f>
        <v>11</v>
      </c>
      <c r="N17" s="1" t="s">
        <v>18</v>
      </c>
      <c r="O17" s="1" t="s">
        <v>19</v>
      </c>
      <c r="P17" s="22">
        <f>YEAR(B5)</f>
        <v>2024</v>
      </c>
    </row>
    <row r="18" spans="1:16" x14ac:dyDescent="0.35">
      <c r="A18" s="18" t="s">
        <v>10</v>
      </c>
      <c r="B18" s="1" t="str">
        <f>TEXT(DATE(YEAR($B$4),MONTH($B$4)+2,DAY($B$4)),"mmmm")</f>
        <v>October</v>
      </c>
      <c r="C18" s="1">
        <v>23</v>
      </c>
      <c r="D18" s="56">
        <f>IF($B$7-SUM($D$15:D17)-$O$12&lt;0,$B$7-SUM($D$15:D17),$O$12)</f>
        <v>2600.9852216748768</v>
      </c>
      <c r="E18" s="56">
        <f t="shared" si="0"/>
        <v>-595.55928570092146</v>
      </c>
      <c r="F18" s="57">
        <f>IF($B$7-SUM($F$15:F17)-$O$25&lt;0,$B$7-SUM($F$16:F17),$O$25)</f>
        <v>2005.4259359739553</v>
      </c>
      <c r="I18" s="18" t="s">
        <v>49</v>
      </c>
      <c r="J18" s="19" t="s">
        <v>43</v>
      </c>
      <c r="K18" s="20">
        <f>DATEDIF(DATE(YEAR(E5),1,1),E5+1,"m")</f>
        <v>7</v>
      </c>
      <c r="L18" s="1" t="s">
        <v>11</v>
      </c>
      <c r="M18" s="21">
        <f>IF(DAY(B5)=1,DATEDIF(B5,E5+1,"m"),DATEDIF(B5,E5,"m"))</f>
        <v>11</v>
      </c>
      <c r="N18" s="1" t="s">
        <v>18</v>
      </c>
      <c r="O18" s="1" t="s">
        <v>19</v>
      </c>
      <c r="P18" s="22">
        <f>YEAR(E5)</f>
        <v>2025</v>
      </c>
    </row>
    <row r="19" spans="1:16" x14ac:dyDescent="0.35">
      <c r="A19" s="18" t="s">
        <v>17</v>
      </c>
      <c r="B19" s="1" t="str">
        <f>TEXT(DATE(YEAR($B$4),MONTH($B$4)+3,DAY($B$4)),"mmmm")</f>
        <v>November</v>
      </c>
      <c r="C19" s="1">
        <v>21</v>
      </c>
      <c r="D19" s="56">
        <f>IF($B$7-SUM($D$15:D18)-$O$12&lt;0,$B$7-SUM($D$15:D18),$O$12)</f>
        <v>2600.9852216748768</v>
      </c>
      <c r="E19" s="56">
        <f t="shared" si="0"/>
        <v>-595.55928570092146</v>
      </c>
      <c r="F19" s="57">
        <f>IF($B$7-SUM($F$15:F18)-$O$25&lt;0,$B$7-SUM($F$16:F18),$O$25)</f>
        <v>2005.4259359739553</v>
      </c>
      <c r="I19" s="18" t="s">
        <v>49</v>
      </c>
      <c r="J19" s="19" t="s">
        <v>50</v>
      </c>
      <c r="K19" s="20">
        <f>IF(ISBLANK(E5)," ",IF(NETWORKDAYS(DATE(YEAR(E5),MONTH(E5),1),E5)&gt;=M19,0,NETWORKDAYS(DATE(YEAR(E5),MONTH(E5),1),E5)))</f>
        <v>6</v>
      </c>
      <c r="L19" s="1" t="s">
        <v>11</v>
      </c>
      <c r="M19" s="21">
        <f>IF(ISBLANK(E5)," ",NETWORKDAYS(DATE(YEAR(E5),MONTH(E5),1),DATE(YEAR(E5),MONTH(E5),DAY(EOMONTH(E5,0)))))</f>
        <v>21</v>
      </c>
      <c r="N19" s="1" t="s">
        <v>12</v>
      </c>
      <c r="O19" s="1" t="str">
        <f>TEXT(DATE(YEAR(E5),MONTH(E5),DAY(E5)),"mmmm")</f>
        <v>August</v>
      </c>
      <c r="P19" s="22">
        <f>YEAR(E5)</f>
        <v>2025</v>
      </c>
    </row>
    <row r="20" spans="1:16" x14ac:dyDescent="0.35">
      <c r="A20" s="18" t="s">
        <v>21</v>
      </c>
      <c r="B20" s="1" t="str">
        <f>TEXT(DATE(YEAR($B$4),MONTH($B$4)+4,DAY($B$4)),"mmmm")</f>
        <v>December</v>
      </c>
      <c r="C20" s="1">
        <v>22</v>
      </c>
      <c r="D20" s="56">
        <f>IF($B$7-SUM($D$15:D19)-$O$12&lt;0,$B$7-SUM($D$15:D19),$O$12)</f>
        <v>2600.9852216748768</v>
      </c>
      <c r="E20" s="56">
        <f t="shared" si="0"/>
        <v>-595.55928570092146</v>
      </c>
      <c r="F20" s="57">
        <f>IF($B$7-SUM($F$15:F19)-$O$25&lt;0,$B$7-SUM($F$16:F19),$O$25)</f>
        <v>2005.4259359739553</v>
      </c>
      <c r="I20" s="26"/>
      <c r="P20" s="27"/>
    </row>
    <row r="21" spans="1:16" x14ac:dyDescent="0.35">
      <c r="A21" s="18" t="s">
        <v>24</v>
      </c>
      <c r="B21" s="1" t="str">
        <f>TEXT(DATE(YEAR($B$4),MONTH($B$4)+5,DAY($B$4)),"mmmm")</f>
        <v>January</v>
      </c>
      <c r="C21" s="1">
        <v>23</v>
      </c>
      <c r="D21" s="56">
        <f>IF($B$7-SUM($D$15:D20)-$O$12&lt;0,$B$7-SUM($D$15:D20),$O$12)</f>
        <v>2600.9852216748768</v>
      </c>
      <c r="E21" s="56">
        <f t="shared" si="0"/>
        <v>-595.55928570092146</v>
      </c>
      <c r="F21" s="57">
        <f>IF($B$7-SUM($F$15:F20)-$O$25&lt;0,$B$7-SUM($F$16:F20),$O$25)</f>
        <v>2005.4259359739553</v>
      </c>
      <c r="I21" s="205" t="s">
        <v>51</v>
      </c>
      <c r="J21" s="206"/>
      <c r="K21" s="206"/>
      <c r="L21" s="206"/>
      <c r="M21" s="206"/>
      <c r="N21" s="30">
        <f>(K16/M16)+M17+K19/M19</f>
        <v>11.967532467532468</v>
      </c>
      <c r="P21" s="27"/>
    </row>
    <row r="22" spans="1:16" x14ac:dyDescent="0.35">
      <c r="A22" s="18" t="s">
        <v>27</v>
      </c>
      <c r="B22" s="1" t="str">
        <f>TEXT(DATE(YEAR($B$4),MONTH($B$4)+6,DAY($B$4)),"mmmm")</f>
        <v>February</v>
      </c>
      <c r="C22" s="1">
        <v>20</v>
      </c>
      <c r="D22" s="56">
        <f>IF($B$7-SUM($D$15:D21)-$O$12&lt;0,$B$7-SUM($D$15:D21),$O$12)</f>
        <v>2600.9852216748768</v>
      </c>
      <c r="E22" s="56">
        <f t="shared" si="0"/>
        <v>-595.55928570092146</v>
      </c>
      <c r="F22" s="57">
        <f>IF($B$7-SUM($F$15:F21)-$O$25&lt;0,$B$7-SUM($F$16:F21),$O$25)</f>
        <v>2005.4259359739553</v>
      </c>
      <c r="I22" s="205" t="s">
        <v>52</v>
      </c>
      <c r="J22" s="206"/>
      <c r="K22" s="206"/>
      <c r="L22" s="206"/>
      <c r="M22" s="206"/>
      <c r="N22" s="33">
        <f>B7/N21</f>
        <v>2005.4259359739553</v>
      </c>
      <c r="P22" s="27"/>
    </row>
    <row r="23" spans="1:16" x14ac:dyDescent="0.35">
      <c r="A23" s="18" t="s">
        <v>28</v>
      </c>
      <c r="B23" s="1" t="str">
        <f>TEXT(DATE(YEAR($B$4),MONTH($B$4)+7,DAY($B$4)),"mmmm")</f>
        <v>March</v>
      </c>
      <c r="C23" s="1">
        <v>21</v>
      </c>
      <c r="D23" s="56">
        <f>IF($B$7-SUM($D$15:D22)-$O$12&lt;0,$B$7-SUM($D$15:D22),$O$12)</f>
        <v>2600.9852216748768</v>
      </c>
      <c r="E23" s="56">
        <f t="shared" si="0"/>
        <v>-595.55928570092146</v>
      </c>
      <c r="F23" s="57">
        <f>IF($B$7-SUM($F$15:F22)-$O$25&lt;0,$B$7-SUM($F$16:F22),$O$25)</f>
        <v>2005.4259359739553</v>
      </c>
      <c r="I23" s="26"/>
      <c r="P23" s="27"/>
    </row>
    <row r="24" spans="1:16" x14ac:dyDescent="0.35">
      <c r="A24" s="18" t="s">
        <v>31</v>
      </c>
      <c r="B24" s="1" t="str">
        <f>TEXT(DATE(YEAR($B$4),MONTH($B$4)+8,DAY($B$4)),"mmmm")</f>
        <v>April</v>
      </c>
      <c r="C24" s="1">
        <v>22</v>
      </c>
      <c r="D24" s="56">
        <f>IF($B$7-SUM($D$15:D23)-$O$12&lt;0,$B$7-SUM($D$15:D23),$O$12)</f>
        <v>2600.9852216748768</v>
      </c>
      <c r="E24" s="160">
        <f t="shared" si="0"/>
        <v>-595.55928570092146</v>
      </c>
      <c r="F24" s="57">
        <f>IF($B$7-SUM($F$15:F23)-$O$25&lt;0,$B$7-SUM($F$16:F23),$O$25)</f>
        <v>2005.4259359739553</v>
      </c>
      <c r="I24" s="18" t="s">
        <v>49</v>
      </c>
      <c r="J24" s="203" t="s">
        <v>38</v>
      </c>
      <c r="K24" s="203"/>
      <c r="L24" s="37">
        <f>K16</f>
        <v>15</v>
      </c>
      <c r="M24" s="206" t="s">
        <v>39</v>
      </c>
      <c r="N24" s="206"/>
      <c r="O24" s="38">
        <f>N22*K16/M16</f>
        <v>1367.3358654367878</v>
      </c>
      <c r="P24" s="27"/>
    </row>
    <row r="25" spans="1:16" x14ac:dyDescent="0.35">
      <c r="A25" s="58" t="s">
        <v>33</v>
      </c>
      <c r="B25" s="59" t="str">
        <f>TEXT(DATE(YEAR($B$4),MONTH($B$4)+9,DAY($B$4)),"mmmm")</f>
        <v>May</v>
      </c>
      <c r="C25" s="60" t="str">
        <f>K6&amp;" Paid"</f>
        <v>12 Paid</v>
      </c>
      <c r="D25" s="61">
        <f>IF($B$7-SUM($D$15:D24)-$O$12&lt;0,$B$7-SUM($D$15:D24),$O$12)</f>
        <v>1418.7192118226594</v>
      </c>
      <c r="E25" s="62">
        <f t="shared" si="0"/>
        <v>586.70672415129593</v>
      </c>
      <c r="F25" s="63">
        <f>IF($B$7-SUM($F$15:F24)-$O$25&lt;0,$B$7-SUM($F$16:F24),$O$25)</f>
        <v>2005.4259359739553</v>
      </c>
      <c r="I25" s="18" t="s">
        <v>49</v>
      </c>
      <c r="J25" s="203" t="s">
        <v>42</v>
      </c>
      <c r="K25" s="203"/>
      <c r="L25" s="1">
        <f>M17</f>
        <v>11</v>
      </c>
      <c r="M25" s="206" t="s">
        <v>43</v>
      </c>
      <c r="N25" s="206"/>
      <c r="O25" s="38">
        <f>N22</f>
        <v>2005.4259359739553</v>
      </c>
      <c r="P25" s="27"/>
    </row>
    <row r="26" spans="1:16" x14ac:dyDescent="0.35">
      <c r="A26" s="18" t="s">
        <v>36</v>
      </c>
      <c r="B26" s="1" t="str">
        <f>TEXT(DATE(YEAR($B$4),MONTH($B$4)+10,DAY($B$4)),"mmmm")</f>
        <v>June</v>
      </c>
      <c r="C26" s="1"/>
      <c r="D26" s="56">
        <f>IF($B$7-SUM($D$15:D25)-$O$12&lt;0,$B$7-SUM($D$15:D25),$O$12)</f>
        <v>0</v>
      </c>
      <c r="E26" s="56">
        <f t="shared" si="0"/>
        <v>2005.4259359739553</v>
      </c>
      <c r="F26" s="57">
        <f>IF($B$7-SUM($F$15:F25)-$O$25&lt;0,$B$7-SUM($F$16:F25),$O$25)</f>
        <v>2005.4259359739553</v>
      </c>
      <c r="I26" s="42" t="s">
        <v>49</v>
      </c>
      <c r="J26" s="204" t="s">
        <v>45</v>
      </c>
      <c r="K26" s="204"/>
      <c r="L26" s="43">
        <f>K19</f>
        <v>6</v>
      </c>
      <c r="M26" s="207" t="s">
        <v>39</v>
      </c>
      <c r="N26" s="207"/>
      <c r="O26" s="44">
        <f>N22*K19/M19</f>
        <v>572.97883884970156</v>
      </c>
      <c r="P26" s="64"/>
    </row>
    <row r="27" spans="1:16" x14ac:dyDescent="0.35">
      <c r="A27" s="18" t="s">
        <v>41</v>
      </c>
      <c r="B27" s="1" t="str">
        <f>TEXT(DATE(YEAR($B$4),MONTH($B$4)+11,DAY($B$4)),"mmmm")</f>
        <v>July</v>
      </c>
      <c r="C27" s="1"/>
      <c r="D27" s="56">
        <f>IF($B$7-SUM($D$15:D26)-$O$12&lt;0,$B$7-SUM($D$15:D26),$O$12)</f>
        <v>0</v>
      </c>
      <c r="E27" s="56">
        <f t="shared" si="0"/>
        <v>2005.4259359739553</v>
      </c>
      <c r="F27" s="57">
        <f>IF($B$7-SUM($F$15:F26)-$O$25&lt;0,$B$7-SUM($F$16:F26),$O$25)</f>
        <v>2005.4259359739553</v>
      </c>
      <c r="P27" s="65"/>
    </row>
    <row r="28" spans="1:16" x14ac:dyDescent="0.35">
      <c r="A28" s="51" t="s">
        <v>44</v>
      </c>
      <c r="B28" s="52" t="str">
        <f>TEXT(DATE(YEAR($B$4),MONTH($B$4)+12,DAY($B$4)),"mmmm")</f>
        <v>August</v>
      </c>
      <c r="C28" s="53">
        <f>K19</f>
        <v>6</v>
      </c>
      <c r="D28" s="54">
        <f>IF($B$7-SUM($D$15:D27)-$O$12&lt;0,$B$7-SUM($D$15:D27),$O$12)</f>
        <v>0</v>
      </c>
      <c r="E28" s="54">
        <f>F28-D27</f>
        <v>572.97883884970361</v>
      </c>
      <c r="F28" s="55">
        <f>IF($B$7-SUM($F$15:F27)-$O$25&lt;0,$B$7-SUM($F$16:F27),$O$25)</f>
        <v>572.97883884970361</v>
      </c>
    </row>
    <row r="29" spans="1:16" x14ac:dyDescent="0.35">
      <c r="A29" s="66"/>
      <c r="B29" s="67"/>
      <c r="C29" s="67"/>
      <c r="D29" s="68">
        <f>SUM(D16:D28)</f>
        <v>24000</v>
      </c>
      <c r="E29" s="68">
        <f>ABS(SUMIF(E16:E28,"&lt;0",E16:E28))</f>
        <v>5170.5374349489093</v>
      </c>
      <c r="F29" s="69">
        <f t="shared" ref="F29" si="1">SUM(F16:F28)</f>
        <v>24000</v>
      </c>
    </row>
  </sheetData>
  <mergeCells count="22">
    <mergeCell ref="I2:P2"/>
    <mergeCell ref="C4:D4"/>
    <mergeCell ref="C5:D5"/>
    <mergeCell ref="I8:M8"/>
    <mergeCell ref="C9:D9"/>
    <mergeCell ref="I9:M9"/>
    <mergeCell ref="J11:K11"/>
    <mergeCell ref="M11:N11"/>
    <mergeCell ref="J12:K12"/>
    <mergeCell ref="M12:N12"/>
    <mergeCell ref="J13:K13"/>
    <mergeCell ref="M13:N13"/>
    <mergeCell ref="J25:K25"/>
    <mergeCell ref="M25:N25"/>
    <mergeCell ref="J26:K26"/>
    <mergeCell ref="M26:N26"/>
    <mergeCell ref="A13:F13"/>
    <mergeCell ref="I15:P15"/>
    <mergeCell ref="I21:M21"/>
    <mergeCell ref="I22:M22"/>
    <mergeCell ref="J24:K24"/>
    <mergeCell ref="M24:N24"/>
  </mergeCells>
  <conditionalFormatting sqref="B10">
    <cfRule type="expression" dxfId="1" priority="1">
      <formula>$B$10="Available"</formula>
    </cfRule>
    <cfRule type="expression" dxfId="0" priority="2">
      <formula>$B$10="Not Available"</formula>
    </cfRule>
  </conditionalFormatting>
  <dataValidations count="1">
    <dataValidation type="list" allowBlank="1" showInputMessage="1" showErrorMessage="1" sqref="E2" xr:uid="{00000000-0002-0000-0300-000000000000}">
      <formula1>"Faculty"</formula1>
    </dataValidation>
  </dataValidations>
  <pageMargins left="0.7" right="0.7" top="0.75" bottom="0.75" header="0.3" footer="0.3"/>
  <pageSetup scale="61"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1000000}">
          <x14:formula1>
            <xm:f>'School Calendars'!$A$2:$A$4</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25"/>
  <sheetViews>
    <sheetView workbookViewId="0">
      <pane ySplit="1" topLeftCell="A2" activePane="bottomLeft" state="frozen"/>
      <selection activeCell="B1" sqref="B1"/>
      <selection pane="bottomLeft" activeCell="G24" sqref="G24"/>
    </sheetView>
  </sheetViews>
  <sheetFormatPr defaultColWidth="9.08984375" defaultRowHeight="14.5" x14ac:dyDescent="0.35"/>
  <cols>
    <col min="1" max="1" width="14" style="1" customWidth="1"/>
    <col min="2" max="2" width="16.81640625" style="1" customWidth="1"/>
    <col min="3" max="3" width="17.1796875" style="1" customWidth="1"/>
    <col min="4" max="4" width="10.54296875" style="1" customWidth="1"/>
    <col min="5" max="5" width="24.90625" style="2" customWidth="1"/>
    <col min="6" max="6" width="19.1796875" style="1" customWidth="1"/>
    <col min="7" max="8" width="18.453125" style="1" customWidth="1"/>
    <col min="9" max="9" width="17.90625" style="1" customWidth="1"/>
    <col min="10" max="16384" width="9.08984375" style="1"/>
  </cols>
  <sheetData>
    <row r="1" spans="1:9" x14ac:dyDescent="0.35">
      <c r="A1" s="1" t="s">
        <v>62</v>
      </c>
      <c r="B1" s="1" t="s">
        <v>63</v>
      </c>
      <c r="C1" s="1" t="s">
        <v>64</v>
      </c>
      <c r="D1" s="1" t="s">
        <v>65</v>
      </c>
      <c r="E1" s="2" t="s">
        <v>66</v>
      </c>
      <c r="F1" s="1" t="s">
        <v>67</v>
      </c>
      <c r="G1" s="1" t="s">
        <v>68</v>
      </c>
      <c r="H1" s="1" t="s">
        <v>69</v>
      </c>
      <c r="I1" s="1" t="s">
        <v>70</v>
      </c>
    </row>
    <row r="2" spans="1:9" x14ac:dyDescent="0.35">
      <c r="A2" s="52" t="s">
        <v>60</v>
      </c>
      <c r="B2" s="52" t="s">
        <v>16</v>
      </c>
      <c r="C2" s="52" t="s">
        <v>71</v>
      </c>
      <c r="D2" s="52">
        <v>2018</v>
      </c>
      <c r="E2" s="126">
        <v>19000</v>
      </c>
      <c r="F2" s="127">
        <v>43332</v>
      </c>
      <c r="G2" s="127">
        <v>43595</v>
      </c>
      <c r="H2" s="127">
        <v>43332</v>
      </c>
      <c r="I2" s="127">
        <v>43693</v>
      </c>
    </row>
    <row r="3" spans="1:9" x14ac:dyDescent="0.35">
      <c r="A3" s="52" t="s">
        <v>53</v>
      </c>
      <c r="B3" s="52" t="s">
        <v>16</v>
      </c>
      <c r="C3" s="52" t="s">
        <v>71</v>
      </c>
      <c r="D3" s="52">
        <v>2018</v>
      </c>
      <c r="E3" s="126">
        <v>19000</v>
      </c>
      <c r="F3" s="127">
        <v>43344</v>
      </c>
      <c r="G3" s="127">
        <v>43616</v>
      </c>
      <c r="H3" s="127">
        <v>43344</v>
      </c>
      <c r="I3" s="127">
        <v>43708</v>
      </c>
    </row>
    <row r="4" spans="1:9" x14ac:dyDescent="0.35">
      <c r="A4" s="52" t="s">
        <v>14</v>
      </c>
      <c r="B4" s="52" t="s">
        <v>16</v>
      </c>
      <c r="C4" s="52" t="s">
        <v>71</v>
      </c>
      <c r="D4" s="52">
        <v>2018</v>
      </c>
      <c r="E4" s="126">
        <v>19000</v>
      </c>
      <c r="F4" s="127">
        <v>43325</v>
      </c>
      <c r="G4" s="127">
        <v>43603</v>
      </c>
      <c r="H4" s="127">
        <v>43325</v>
      </c>
      <c r="I4" s="127">
        <v>43687</v>
      </c>
    </row>
    <row r="5" spans="1:9" x14ac:dyDescent="0.35">
      <c r="A5" s="128" t="s">
        <v>60</v>
      </c>
      <c r="B5" s="128" t="s">
        <v>16</v>
      </c>
      <c r="C5" s="128" t="s">
        <v>71</v>
      </c>
      <c r="D5" s="128">
        <v>2019</v>
      </c>
      <c r="E5" s="129">
        <v>19000</v>
      </c>
      <c r="F5" s="130">
        <v>43696</v>
      </c>
      <c r="G5" s="130">
        <v>43959</v>
      </c>
      <c r="H5" s="130">
        <v>43696</v>
      </c>
      <c r="I5" s="130">
        <v>44057</v>
      </c>
    </row>
    <row r="6" spans="1:9" x14ac:dyDescent="0.35">
      <c r="A6" s="128" t="s">
        <v>53</v>
      </c>
      <c r="B6" s="128" t="s">
        <v>16</v>
      </c>
      <c r="C6" s="128" t="s">
        <v>71</v>
      </c>
      <c r="D6" s="128">
        <v>2019</v>
      </c>
      <c r="E6" s="129">
        <v>19000</v>
      </c>
      <c r="F6" s="130">
        <v>43709</v>
      </c>
      <c r="G6" s="130">
        <v>43982</v>
      </c>
      <c r="H6" s="130">
        <v>43709</v>
      </c>
      <c r="I6" s="130">
        <v>44074</v>
      </c>
    </row>
    <row r="7" spans="1:9" x14ac:dyDescent="0.35">
      <c r="A7" s="128" t="s">
        <v>14</v>
      </c>
      <c r="B7" s="128" t="s">
        <v>16</v>
      </c>
      <c r="C7" s="128" t="s">
        <v>71</v>
      </c>
      <c r="D7" s="128">
        <v>2019</v>
      </c>
      <c r="E7" s="129">
        <v>19000</v>
      </c>
      <c r="F7" s="130">
        <v>43696</v>
      </c>
      <c r="G7" s="130">
        <v>43967</v>
      </c>
      <c r="H7" s="130">
        <v>43696</v>
      </c>
      <c r="I7" s="130">
        <v>44059</v>
      </c>
    </row>
    <row r="8" spans="1:9" x14ac:dyDescent="0.35">
      <c r="A8" s="131" t="s">
        <v>60</v>
      </c>
      <c r="B8" s="131" t="s">
        <v>16</v>
      </c>
      <c r="C8" s="131" t="s">
        <v>71</v>
      </c>
      <c r="D8" s="131">
        <v>2020</v>
      </c>
      <c r="E8" s="132">
        <v>19500</v>
      </c>
      <c r="F8" s="133">
        <v>44060</v>
      </c>
      <c r="G8" s="133">
        <v>44323</v>
      </c>
      <c r="H8" s="133">
        <v>44060</v>
      </c>
      <c r="I8" s="133">
        <v>44421</v>
      </c>
    </row>
    <row r="9" spans="1:9" x14ac:dyDescent="0.35">
      <c r="A9" s="131" t="s">
        <v>53</v>
      </c>
      <c r="B9" s="131" t="s">
        <v>16</v>
      </c>
      <c r="C9" s="131" t="s">
        <v>71</v>
      </c>
      <c r="D9" s="131">
        <v>2020</v>
      </c>
      <c r="E9" s="132">
        <v>19500</v>
      </c>
      <c r="F9" s="133">
        <v>44075</v>
      </c>
      <c r="G9" s="133">
        <v>44347</v>
      </c>
      <c r="H9" s="133">
        <v>44075</v>
      </c>
      <c r="I9" s="133">
        <v>44439</v>
      </c>
    </row>
    <row r="10" spans="1:9" x14ac:dyDescent="0.35">
      <c r="A10" s="131" t="s">
        <v>14</v>
      </c>
      <c r="B10" s="131" t="s">
        <v>16</v>
      </c>
      <c r="C10" s="131" t="s">
        <v>71</v>
      </c>
      <c r="D10" s="131">
        <v>2020</v>
      </c>
      <c r="E10" s="132">
        <v>19500</v>
      </c>
      <c r="F10" s="133">
        <v>44060</v>
      </c>
      <c r="G10" s="133">
        <v>44331</v>
      </c>
      <c r="H10" s="133">
        <v>44060</v>
      </c>
      <c r="I10" s="133">
        <v>44423</v>
      </c>
    </row>
    <row r="11" spans="1:9" x14ac:dyDescent="0.35">
      <c r="A11" s="134" t="s">
        <v>60</v>
      </c>
      <c r="B11" s="134" t="s">
        <v>16</v>
      </c>
      <c r="C11" s="134" t="s">
        <v>71</v>
      </c>
      <c r="D11" s="134">
        <v>2021</v>
      </c>
      <c r="E11" s="135">
        <v>19500</v>
      </c>
      <c r="F11" s="136">
        <v>44424</v>
      </c>
      <c r="G11" s="136">
        <v>44687</v>
      </c>
      <c r="H11" s="136">
        <v>44424</v>
      </c>
      <c r="I11" s="136">
        <v>44785</v>
      </c>
    </row>
    <row r="12" spans="1:9" x14ac:dyDescent="0.35">
      <c r="A12" s="134" t="s">
        <v>53</v>
      </c>
      <c r="B12" s="134" t="s">
        <v>16</v>
      </c>
      <c r="C12" s="134" t="s">
        <v>71</v>
      </c>
      <c r="D12" s="134">
        <v>2021</v>
      </c>
      <c r="E12" s="135">
        <v>19500</v>
      </c>
      <c r="F12" s="136">
        <v>44440</v>
      </c>
      <c r="G12" s="136">
        <v>44712</v>
      </c>
      <c r="H12" s="136">
        <v>44440</v>
      </c>
      <c r="I12" s="136">
        <v>44804</v>
      </c>
    </row>
    <row r="13" spans="1:9" x14ac:dyDescent="0.35">
      <c r="A13" s="134" t="s">
        <v>14</v>
      </c>
      <c r="B13" s="134" t="s">
        <v>16</v>
      </c>
      <c r="C13" s="134" t="s">
        <v>71</v>
      </c>
      <c r="D13" s="134">
        <v>2021</v>
      </c>
      <c r="E13" s="135">
        <v>19500</v>
      </c>
      <c r="F13" s="136">
        <v>44424</v>
      </c>
      <c r="G13" s="136">
        <v>44695</v>
      </c>
      <c r="H13" s="136">
        <v>44424</v>
      </c>
      <c r="I13" s="136">
        <v>44787</v>
      </c>
    </row>
    <row r="14" spans="1:9" x14ac:dyDescent="0.35">
      <c r="A14" s="140" t="s">
        <v>60</v>
      </c>
      <c r="B14" s="140" t="s">
        <v>16</v>
      </c>
      <c r="C14" s="140" t="s">
        <v>71</v>
      </c>
      <c r="D14" s="140">
        <v>2022</v>
      </c>
      <c r="E14" s="141">
        <v>20500</v>
      </c>
      <c r="F14" s="142">
        <v>44788</v>
      </c>
      <c r="G14" s="142">
        <v>45058</v>
      </c>
      <c r="H14" s="142">
        <v>44788</v>
      </c>
      <c r="I14" s="142">
        <v>45151</v>
      </c>
    </row>
    <row r="15" spans="1:9" x14ac:dyDescent="0.35">
      <c r="A15" s="140" t="s">
        <v>53</v>
      </c>
      <c r="B15" s="140" t="s">
        <v>16</v>
      </c>
      <c r="C15" s="140" t="s">
        <v>71</v>
      </c>
      <c r="D15" s="140">
        <v>2022</v>
      </c>
      <c r="E15" s="141">
        <v>20500</v>
      </c>
      <c r="F15" s="142">
        <v>44788</v>
      </c>
      <c r="G15" s="142">
        <v>45058</v>
      </c>
      <c r="H15" s="142">
        <v>44788</v>
      </c>
      <c r="I15" s="142">
        <v>45151</v>
      </c>
    </row>
    <row r="16" spans="1:9" x14ac:dyDescent="0.35">
      <c r="A16" s="140" t="s">
        <v>14</v>
      </c>
      <c r="B16" s="140" t="s">
        <v>16</v>
      </c>
      <c r="C16" s="140" t="s">
        <v>71</v>
      </c>
      <c r="D16" s="140">
        <v>2022</v>
      </c>
      <c r="E16" s="141">
        <v>20500</v>
      </c>
      <c r="F16" s="142">
        <v>44788</v>
      </c>
      <c r="G16" s="142">
        <v>45059</v>
      </c>
      <c r="H16" s="142">
        <v>44788</v>
      </c>
      <c r="I16" s="142">
        <v>45150</v>
      </c>
    </row>
    <row r="17" spans="1:9" x14ac:dyDescent="0.35">
      <c r="A17" s="154" t="s">
        <v>60</v>
      </c>
      <c r="B17" s="154" t="s">
        <v>16</v>
      </c>
      <c r="C17" s="154" t="s">
        <v>71</v>
      </c>
      <c r="D17" s="154">
        <v>2023</v>
      </c>
      <c r="E17" s="155">
        <v>22500</v>
      </c>
      <c r="F17" s="156">
        <v>45159</v>
      </c>
      <c r="G17" s="156">
        <v>45422</v>
      </c>
      <c r="H17" s="156">
        <v>45159</v>
      </c>
      <c r="I17" s="156">
        <v>45522</v>
      </c>
    </row>
    <row r="18" spans="1:9" x14ac:dyDescent="0.35">
      <c r="A18" s="154" t="s">
        <v>53</v>
      </c>
      <c r="B18" s="154" t="s">
        <v>16</v>
      </c>
      <c r="C18" s="154" t="s">
        <v>71</v>
      </c>
      <c r="D18" s="154">
        <v>2023</v>
      </c>
      <c r="E18" s="155">
        <v>22500</v>
      </c>
      <c r="F18" s="156">
        <v>45152</v>
      </c>
      <c r="G18" s="156">
        <v>45422</v>
      </c>
      <c r="H18" s="156">
        <v>45152</v>
      </c>
      <c r="I18" s="156">
        <v>45513</v>
      </c>
    </row>
    <row r="19" spans="1:9" x14ac:dyDescent="0.35">
      <c r="A19" s="154" t="s">
        <v>14</v>
      </c>
      <c r="B19" s="154" t="s">
        <v>16</v>
      </c>
      <c r="C19" s="154" t="s">
        <v>71</v>
      </c>
      <c r="D19" s="154">
        <v>2023</v>
      </c>
      <c r="E19" s="155">
        <v>22500</v>
      </c>
      <c r="F19" s="156">
        <v>45152</v>
      </c>
      <c r="G19" s="156">
        <v>45423</v>
      </c>
      <c r="H19" s="156">
        <v>45152</v>
      </c>
      <c r="I19" s="156">
        <v>45514</v>
      </c>
    </row>
    <row r="20" spans="1:9" x14ac:dyDescent="0.35">
      <c r="A20" s="157" t="s">
        <v>60</v>
      </c>
      <c r="B20" s="157" t="s">
        <v>16</v>
      </c>
      <c r="C20" s="157" t="s">
        <v>71</v>
      </c>
      <c r="D20" s="157">
        <v>2024</v>
      </c>
      <c r="E20" s="158">
        <v>23000</v>
      </c>
      <c r="F20" s="159">
        <v>45523</v>
      </c>
      <c r="G20" s="159">
        <v>45786</v>
      </c>
      <c r="H20" s="159">
        <v>45523</v>
      </c>
      <c r="I20" s="161">
        <v>45884</v>
      </c>
    </row>
    <row r="21" spans="1:9" x14ac:dyDescent="0.35">
      <c r="A21" s="157" t="s">
        <v>53</v>
      </c>
      <c r="B21" s="157" t="s">
        <v>16</v>
      </c>
      <c r="C21" s="157" t="s">
        <v>71</v>
      </c>
      <c r="D21" s="157">
        <v>2024</v>
      </c>
      <c r="E21" s="158">
        <v>23000</v>
      </c>
      <c r="F21" s="159">
        <v>45516</v>
      </c>
      <c r="G21" s="159">
        <v>45793</v>
      </c>
      <c r="H21" s="159">
        <v>45516</v>
      </c>
      <c r="I21" s="159">
        <v>45877</v>
      </c>
    </row>
    <row r="22" spans="1:9" x14ac:dyDescent="0.35">
      <c r="A22" s="157" t="s">
        <v>14</v>
      </c>
      <c r="B22" s="157" t="s">
        <v>16</v>
      </c>
      <c r="C22" s="157" t="s">
        <v>71</v>
      </c>
      <c r="D22" s="157">
        <v>2024</v>
      </c>
      <c r="E22" s="158">
        <v>23000</v>
      </c>
      <c r="F22" s="159">
        <v>45523</v>
      </c>
      <c r="G22" s="159">
        <v>45794</v>
      </c>
      <c r="H22" s="159">
        <v>45523</v>
      </c>
      <c r="I22" s="161">
        <v>45885</v>
      </c>
    </row>
    <row r="23" spans="1:9" x14ac:dyDescent="0.35">
      <c r="A23" s="162" t="s">
        <v>60</v>
      </c>
      <c r="B23" s="162" t="s">
        <v>16</v>
      </c>
      <c r="C23" s="162" t="s">
        <v>71</v>
      </c>
      <c r="D23" s="162">
        <v>2025</v>
      </c>
      <c r="E23" s="163">
        <v>23500</v>
      </c>
      <c r="F23" s="164">
        <v>45883</v>
      </c>
      <c r="G23" s="164">
        <v>46148</v>
      </c>
      <c r="H23" s="164">
        <v>45883</v>
      </c>
      <c r="I23" s="165">
        <v>46246</v>
      </c>
    </row>
    <row r="24" spans="1:9" x14ac:dyDescent="0.35">
      <c r="A24" s="162" t="s">
        <v>53</v>
      </c>
      <c r="B24" s="162" t="s">
        <v>16</v>
      </c>
      <c r="C24" s="162" t="s">
        <v>71</v>
      </c>
      <c r="D24" s="162">
        <v>2025</v>
      </c>
      <c r="E24" s="163">
        <v>23500</v>
      </c>
      <c r="F24" s="164">
        <v>45880</v>
      </c>
      <c r="G24" s="164">
        <v>46157</v>
      </c>
      <c r="H24" s="164">
        <v>45880</v>
      </c>
      <c r="I24" s="164">
        <v>46241</v>
      </c>
    </row>
    <row r="25" spans="1:9" x14ac:dyDescent="0.35">
      <c r="A25" s="162" t="s">
        <v>14</v>
      </c>
      <c r="B25" s="162" t="s">
        <v>16</v>
      </c>
      <c r="C25" s="162" t="s">
        <v>71</v>
      </c>
      <c r="D25" s="162">
        <v>2025</v>
      </c>
      <c r="E25" s="163">
        <v>23500</v>
      </c>
      <c r="F25" s="164">
        <v>45887</v>
      </c>
      <c r="G25" s="164">
        <v>46158</v>
      </c>
      <c r="H25" s="164">
        <v>45887</v>
      </c>
      <c r="I25" s="165">
        <v>46249</v>
      </c>
    </row>
  </sheetData>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032eaca-10c7-43d7-bb68-2cc584866684">
      <Terms xmlns="http://schemas.microsoft.com/office/infopath/2007/PartnerControls"/>
    </lcf76f155ced4ddcb4097134ff3c332f>
    <TaxCatchAll xmlns="ede08c4e-1263-4235-9f2e-0eaf0a5fdb9c"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E5C2413226749F498A4DEC8BE0361B05" ma:contentTypeVersion="16" ma:contentTypeDescription="Create a new document." ma:contentTypeScope="" ma:versionID="d856bdd2b3035d093d86b3a70a1989f8">
  <xsd:schema xmlns:xsd="http://www.w3.org/2001/XMLSchema" xmlns:xs="http://www.w3.org/2001/XMLSchema" xmlns:p="http://schemas.microsoft.com/office/2006/metadata/properties" xmlns:ns2="b032eaca-10c7-43d7-bb68-2cc584866684" xmlns:ns3="433bacd1-8d37-43ce-935d-2293e257d18f" xmlns:ns4="ede08c4e-1263-4235-9f2e-0eaf0a5fdb9c" targetNamespace="http://schemas.microsoft.com/office/2006/metadata/properties" ma:root="true" ma:fieldsID="7b3194bc62dfe36453ab119fe9a8acb9" ns2:_="" ns3:_="" ns4:_="">
    <xsd:import namespace="b032eaca-10c7-43d7-bb68-2cc584866684"/>
    <xsd:import namespace="433bacd1-8d37-43ce-935d-2293e257d18f"/>
    <xsd:import namespace="ede08c4e-1263-4235-9f2e-0eaf0a5fdb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32eaca-10c7-43d7-bb68-2cc58486668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2a071d41-09a7-4b1c-8167-306dad66ae07"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433bacd1-8d37-43ce-935d-2293e257d18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de08c4e-1263-4235-9f2e-0eaf0a5fdb9c"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8c3e57c5-6ef1-4694-a2b1-4e0f9ced2098}" ma:internalName="TaxCatchAll" ma:showField="CatchAllData" ma:web="433bacd1-8d37-43ce-935d-2293e257d18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795A0B-0498-4048-9C7B-982143B6011A}">
  <ds:schemaRefs>
    <ds:schemaRef ds:uri="http://schemas.microsoft.com/office/2006/metadata/properties"/>
    <ds:schemaRef ds:uri="http://schemas.microsoft.com/office/infopath/2007/PartnerControls"/>
    <ds:schemaRef ds:uri="b032eaca-10c7-43d7-bb68-2cc584866684"/>
    <ds:schemaRef ds:uri="ede08c4e-1263-4235-9f2e-0eaf0a5fdb9c"/>
  </ds:schemaRefs>
</ds:datastoreItem>
</file>

<file path=customXml/itemProps2.xml><?xml version="1.0" encoding="utf-8"?>
<ds:datastoreItem xmlns:ds="http://schemas.openxmlformats.org/officeDocument/2006/customXml" ds:itemID="{79BFDFAB-6F92-48F4-B0BE-B5F6AAE9EE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32eaca-10c7-43d7-bb68-2cc584866684"/>
    <ds:schemaRef ds:uri="433bacd1-8d37-43ce-935d-2293e257d18f"/>
    <ds:schemaRef ds:uri="ede08c4e-1263-4235-9f2e-0eaf0a5fdb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89C691-68BC-4C1A-93D4-56C09DE37A1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Contract Def Comp Calculator</vt:lpstr>
      <vt:lpstr>Deferred Comp Calculator</vt:lpstr>
      <vt:lpstr>Max Deferred Comp Calculator</vt:lpstr>
      <vt:lpstr>Calculator - Custom Dates</vt:lpstr>
      <vt:lpstr>School Calendars</vt:lpstr>
      <vt:lpstr>'Contract Def Comp Calculator'!Print_Area</vt:lpstr>
    </vt:vector>
  </TitlesOfParts>
  <Manager/>
  <Company>University of Colorado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Justin P. Loiselle</dc:creator>
  <cp:keywords/>
  <dc:description/>
  <cp:lastModifiedBy>Amy Simonson</cp:lastModifiedBy>
  <cp:revision/>
  <dcterms:created xsi:type="dcterms:W3CDTF">2019-02-26T14:57:01Z</dcterms:created>
  <dcterms:modified xsi:type="dcterms:W3CDTF">2025-06-04T19:36:34Z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0x010100E5C2413226749F498A4DEC8BE0361B05</vt:lpwstr>
  </property>
  <property fmtid="{D5CDD505-2E9C-101B-9397-08002B2CF9AE}" pid="3" name="MediaServiceImageTags">
    <vt:lpwstr/>
  </property>
</Properties>
</file>