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431" windowWidth="12570" windowHeight="7440" tabRatio="655" activeTab="0"/>
  </bookViews>
  <sheets>
    <sheet name="CU Delivered Queries" sheetId="1" r:id="rId1"/>
    <sheet name="QUERY_TREE_CU (Most Secure)" sheetId="2" r:id="rId2"/>
    <sheet name="QUERY_TREE_CU_HR" sheetId="3" r:id="rId3"/>
    <sheet name="QUERY_TREE_CU_USER (Least Secur" sheetId="4" r:id="rId4"/>
    <sheet name="QUERY_TREE_CU_REV" sheetId="5" r:id="rId5"/>
    <sheet name="QUERY_TREE_CU_STD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<sst xmlns="http://schemas.openxmlformats.org/spreadsheetml/2006/main" count="802" uniqueCount="440">
  <si>
    <t>CU_ACTIVE_INACTIVE_POSITION</t>
  </si>
  <si>
    <t>(Active, Inactive or Both by Department) </t>
  </si>
  <si>
    <t>(Position, Employee Name, Supervisor and Appointing Authority)</t>
  </si>
  <si>
    <t>CU_EMERGENCY_CONTACTS</t>
  </si>
  <si>
    <r>
      <t>(Primary and Secondary Contact Information)</t>
    </r>
    <r>
      <rPr>
        <b/>
        <sz val="11"/>
        <color indexed="8"/>
        <rFont val="Calibri"/>
        <family val="2"/>
      </rPr>
      <t xml:space="preserve"> </t>
    </r>
  </si>
  <si>
    <t>CU_EMPLOYEE_BIRTHDAYS</t>
  </si>
  <si>
    <t>(Department Birthdays by Month)</t>
  </si>
  <si>
    <t>CU_EMPLOYEE_HOME_ADDRESS</t>
  </si>
  <si>
    <t>(Active, Terminated or Both by Department)</t>
  </si>
  <si>
    <t>CU_JOB_DATA_STATUS</t>
  </si>
  <si>
    <t>(Job Information by Campus and Jobcode Series)</t>
  </si>
  <si>
    <t>CU_MY_LEAVE_REPORT_PAY_PERIOD</t>
  </si>
  <si>
    <t>(My Leave Company, Paygroup and Pay Period Information by Employee ID)</t>
  </si>
  <si>
    <t>CU_MY_LEAVE_RPT_PAYPER_STATUS</t>
  </si>
  <si>
    <r>
      <t>(My Leave Information by Company, Paygroup , Pay Period and Leave Status)</t>
    </r>
    <r>
      <rPr>
        <b/>
        <sz val="11"/>
        <color indexed="8"/>
        <rFont val="Calibri"/>
        <family val="2"/>
      </rPr>
      <t xml:space="preserve"> </t>
    </r>
  </si>
  <si>
    <t>CU_PERSONNEL_ROSTER_REPORT</t>
  </si>
  <si>
    <r>
      <t>(Position Information Pay Status, Dates, Compensation by Department)</t>
    </r>
    <r>
      <rPr>
        <b/>
        <sz val="11"/>
        <color indexed="8"/>
        <rFont val="Calibri"/>
        <family val="2"/>
      </rPr>
      <t xml:space="preserve"> </t>
    </r>
  </si>
  <si>
    <t>CU_PET_REPORT</t>
  </si>
  <si>
    <t>(Payroll Expense Transfer History by PET ID)</t>
  </si>
  <si>
    <t>CU_POI_REPORT</t>
  </si>
  <si>
    <r>
      <t>(Person of Interest  Descriptions and Status by Department)</t>
    </r>
    <r>
      <rPr>
        <b/>
        <sz val="11"/>
        <color indexed="8"/>
        <rFont val="Calibri"/>
        <family val="2"/>
      </rPr>
      <t xml:space="preserve"> </t>
    </r>
  </si>
  <si>
    <t>CU_POSITION_STATUS_REPORT</t>
  </si>
  <si>
    <r>
      <t>(Position, Jobcode, Dates, Incumbent Name by Department)</t>
    </r>
    <r>
      <rPr>
        <b/>
        <sz val="11"/>
        <color indexed="8"/>
        <rFont val="Calibri"/>
        <family val="2"/>
      </rPr>
      <t xml:space="preserve"> </t>
    </r>
  </si>
  <si>
    <t>CU_TEMPORARY_EMPLOYEES</t>
  </si>
  <si>
    <r>
      <t>(Temporary Employee Information by Department and ‘As of’ Date)</t>
    </r>
    <r>
      <rPr>
        <b/>
        <sz val="11"/>
        <color indexed="8"/>
        <rFont val="Calibri"/>
        <family val="2"/>
      </rPr>
      <t xml:space="preserve"> </t>
    </r>
  </si>
  <si>
    <t>CU_TIME_ENTRY_ROSTER</t>
  </si>
  <si>
    <r>
      <t>(Time Entry History by Pay Run ID and Batch ID)</t>
    </r>
    <r>
      <rPr>
        <b/>
        <sz val="11"/>
        <color indexed="8"/>
        <rFont val="Calibri"/>
        <family val="2"/>
      </rPr>
      <t xml:space="preserve"> </t>
    </r>
  </si>
  <si>
    <t>CU_VACANT_POSITION_LISTING</t>
  </si>
  <si>
    <t>Description</t>
  </si>
  <si>
    <t>CU_ACTIVE_POSITION_HISTORY</t>
  </si>
  <si>
    <t xml:space="preserve">CU_DEPARTMENTAL_ORG </t>
  </si>
  <si>
    <t>CU_EMPLOYEE_FUNDING_DIST</t>
  </si>
  <si>
    <t>CU_MY_LEAVE_SUMMARY_BY_DEPT</t>
  </si>
  <si>
    <t>CU_INCUMBENT_POSITION_HISTORY</t>
  </si>
  <si>
    <t>(Active Position History by Department)</t>
  </si>
  <si>
    <t>(Employee Funding Status, Distribution, Amounts, Speed Types by Employee ID)</t>
  </si>
  <si>
    <t>(Position Salary, Plan, Date History by Department)</t>
  </si>
  <si>
    <t>(Employee Accrued Hours, Leave Hours by Department)</t>
  </si>
  <si>
    <t>(My Leave Summary by Company, Paygroup, Begin Date and End Date)</t>
  </si>
  <si>
    <t>(My Leave Summary by Employee ID, Begin Date and End Date)</t>
  </si>
  <si>
    <t>CU_FUNDING_BREAK1</t>
  </si>
  <si>
    <t>CU_FUNDING_BREAKS2</t>
  </si>
  <si>
    <t>CU_FUNDING_ENDS_B4_APPT</t>
  </si>
  <si>
    <t>CU_FUNDING_SUSPENSE</t>
  </si>
  <si>
    <t>(Break in funding, by Company, Pay Group, Pay Period End Date, Department)</t>
  </si>
  <si>
    <t>(One row expires, others ok - by Company, Pay Group, Pay Period End Date, Department)</t>
  </si>
  <si>
    <t>(Funding ends before Appt Ends, by Company, Pay Group, Pay Period End Date, Department)</t>
  </si>
  <si>
    <t>(Funding Suspense, by Company, Pay Group, Pay Period End Date, Department)</t>
  </si>
  <si>
    <t>CU_TRAINING_REPORT</t>
  </si>
  <si>
    <t>(Training Report by Department, Employee ID, or Course Code)</t>
  </si>
  <si>
    <t>CU_EMPLOYEE_CHECK</t>
  </si>
  <si>
    <t>CU_TIME_ENTRY_DETAIL</t>
  </si>
  <si>
    <t>CU_USERS_WITHOUT_INQUIRY</t>
  </si>
  <si>
    <t>(Employee Check Information by Employee ID, Begin Date and End Date)</t>
  </si>
  <si>
    <t xml:space="preserve">(Time Entry Detail by Employee ID, Begin Date and End Date) </t>
  </si>
  <si>
    <t>(Show Userids Without Inquiry Role)</t>
  </si>
  <si>
    <t>CU_MY_LEAVE_SUMMARY_BY_EMPLID</t>
  </si>
  <si>
    <t>CU_BEN_VERIFICATION</t>
  </si>
  <si>
    <t>CU_FUNDING</t>
  </si>
  <si>
    <t>(Funding Distribution Report by Department with Optional Employee ID)</t>
  </si>
  <si>
    <t>CU_INACTIVE_USER_QUERIES</t>
  </si>
  <si>
    <t>(Inactive Oprids with Queries in System)</t>
  </si>
  <si>
    <t>(My Leave Detail by Employee ID, Begin Date and End Date)</t>
  </si>
  <si>
    <t>CU_MY_LEAVE_AUDIT</t>
  </si>
  <si>
    <t>(My Leave Audit by Department with Optional Employee ID)</t>
  </si>
  <si>
    <t>(Benefit Dependent Verification by Employee ID and Verify Status)</t>
  </si>
  <si>
    <t>PS Report XREF</t>
  </si>
  <si>
    <t>PS Report Description</t>
  </si>
  <si>
    <t>POS015CU</t>
  </si>
  <si>
    <t>Active and Inactive Positions</t>
  </si>
  <si>
    <t>POS004</t>
  </si>
  <si>
    <t>Active Position History</t>
  </si>
  <si>
    <t>N/A</t>
  </si>
  <si>
    <t>PER489CU</t>
  </si>
  <si>
    <t>Dept Org Report</t>
  </si>
  <si>
    <t>PER004</t>
  </si>
  <si>
    <t>Emergency Contacts</t>
  </si>
  <si>
    <t>PER002</t>
  </si>
  <si>
    <t>Employee Birthdays</t>
  </si>
  <si>
    <t>TAX018</t>
  </si>
  <si>
    <t>Employee Check Information</t>
  </si>
  <si>
    <t>PER501</t>
  </si>
  <si>
    <t>Empl Job Data-Fund Dist Hist</t>
  </si>
  <si>
    <t>PER020</t>
  </si>
  <si>
    <t>Employee Home Address Listing</t>
  </si>
  <si>
    <t>POS007CU</t>
  </si>
  <si>
    <t>Funding Distribution Report</t>
  </si>
  <si>
    <t>POS025CU</t>
  </si>
  <si>
    <t>6-Break in Funding Dist</t>
  </si>
  <si>
    <t>POS023CU</t>
  </si>
  <si>
    <t>5-Funding End Dt &lt; Appt End Dt</t>
  </si>
  <si>
    <t>POS019CU</t>
  </si>
  <si>
    <t>Funding Suspense</t>
  </si>
  <si>
    <t>POS003</t>
  </si>
  <si>
    <t>Incumbent Position History Rep</t>
  </si>
  <si>
    <t>PER484CU</t>
  </si>
  <si>
    <t>Job Data Status Report</t>
  </si>
  <si>
    <t>PER488CU</t>
  </si>
  <si>
    <t>Personnel Roster Report</t>
  </si>
  <si>
    <t xml:space="preserve">PAYG11CU </t>
  </si>
  <si>
    <t>PET Report - Detail</t>
  </si>
  <si>
    <t>PER681CU</t>
  </si>
  <si>
    <t>POI Report</t>
  </si>
  <si>
    <t>POS001</t>
  </si>
  <si>
    <t>Position Status Report</t>
  </si>
  <si>
    <t>PER007</t>
  </si>
  <si>
    <t>Temporary Employees</t>
  </si>
  <si>
    <t>PAY562CU</t>
  </si>
  <si>
    <t>Time Entry Roster</t>
  </si>
  <si>
    <t>TRN020CU</t>
  </si>
  <si>
    <t>Course History of an Employee</t>
  </si>
  <si>
    <t>POS016CU</t>
  </si>
  <si>
    <t>Vacant Position Listing</t>
  </si>
  <si>
    <t>HR_ACCTG_LN_PS</t>
  </si>
  <si>
    <t>CU_MY_LEAVE_DETAIL</t>
  </si>
  <si>
    <t>CU_TIME_ENTRY_AUDIT</t>
  </si>
  <si>
    <t xml:space="preserve">(Time Entry Audit by Employee ID, Campus, Department, Begin Date and End Date with Optional Entered/Approved by) </t>
  </si>
  <si>
    <t>PER621</t>
  </si>
  <si>
    <t>Time Entry Audit</t>
  </si>
  <si>
    <t>CU_PERSONNEL_ACTION_AUDIT</t>
  </si>
  <si>
    <t>PER620</t>
  </si>
  <si>
    <t>Personnel Action Audi</t>
  </si>
  <si>
    <t>QUERY_TREE_CU_USER</t>
  </si>
  <si>
    <t>GENERAL TABLES</t>
  </si>
  <si>
    <t>JOB_APPROVE_CU</t>
  </si>
  <si>
    <t>PSAUDIT</t>
  </si>
  <si>
    <t>TE_AUDIT_VW_CU</t>
  </si>
  <si>
    <t>CU_SAMPLE_CAMPUS_PROMPT</t>
  </si>
  <si>
    <t>CU_SAMPLE_YES_NO_PROMPT</t>
  </si>
  <si>
    <t>(Sample Campus Dropdown Prompt)</t>
  </si>
  <si>
    <t>(Sample Yes/No Prompt)</t>
  </si>
  <si>
    <t>CU_MY_LEAVE_COMPARE_BY_DEPT</t>
  </si>
  <si>
    <t>(My Leave to Time Entry Compare Showing Which Entries  Are In Each or Both by Department )</t>
  </si>
  <si>
    <t>(My Leave to Time Entry Compare Showing Which Entries  Are In Each or Both by Employee ID)</t>
  </si>
  <si>
    <t>CU_MY_LEAVE_COMPARE_BY_EMPLID</t>
  </si>
  <si>
    <t>QUERY_TREE_CU</t>
  </si>
  <si>
    <t>HLTH_BEN_VW_CU</t>
  </si>
  <si>
    <t>POI_TYPE_TBL</t>
  </si>
  <si>
    <t>CU_SAMPLE_AGGREGATE</t>
  </si>
  <si>
    <t>(Sample of How to Use Aggregate Prompt)</t>
  </si>
  <si>
    <t>CU_SAMPLE_HAVING_CRITERIA</t>
  </si>
  <si>
    <t>(Sample and Explanation (Properties) of how to use HAVING criteria)</t>
  </si>
  <si>
    <t xml:space="preserve">BEN_BI_PAYMENT </t>
  </si>
  <si>
    <t>DIR_DEP_DISTRIB</t>
  </si>
  <si>
    <t>DIRECT_DEPOSIT</t>
  </si>
  <si>
    <t>CU_PAY_CHECK_OPTION</t>
  </si>
  <si>
    <t>(Employees Receiving Paycheck and Advice)</t>
  </si>
  <si>
    <t>CU_DIRECT_DEPOSIT_SETUP_ERRORS</t>
  </si>
  <si>
    <t>(Show Employees Setup Incorrectly in Direct Deposit)</t>
  </si>
  <si>
    <t>CU_JOB_REPORTS_TO</t>
  </si>
  <si>
    <t>(Employees Reporting to Position by Position Number)</t>
  </si>
  <si>
    <t>Jobs Report to which position?</t>
  </si>
  <si>
    <t>(Positions reporting to a Position Number using PS_DATA_POSITION)</t>
  </si>
  <si>
    <t xml:space="preserve"> </t>
  </si>
  <si>
    <t>(Positions reporting to inconsistent Job and Position)</t>
  </si>
  <si>
    <t>CU_REPORTS_TO_MISMATCHES</t>
  </si>
  <si>
    <t>(Positions with Mismatched Job Reports to and Position Reports to)</t>
  </si>
  <si>
    <t>CU_RPTS_EMAIL_ADDRESSES</t>
  </si>
  <si>
    <t>(Find RPTS EMAIL Addresses by Department and Jobcode (optional))</t>
  </si>
  <si>
    <t>CU_PORTAL_W4_EXEMPT</t>
  </si>
  <si>
    <t>PERSONAL_DATA</t>
  </si>
  <si>
    <t>CONTRACT</t>
  </si>
  <si>
    <t>TIMESHEET_ERNCU</t>
  </si>
  <si>
    <t>CU_LENGTH_OF_SERVICE</t>
  </si>
  <si>
    <t>PER486CU</t>
  </si>
  <si>
    <t>Classified Staff Seniority Report</t>
  </si>
  <si>
    <t>CU_PERSONNEL_ACTIONS_REPORT</t>
  </si>
  <si>
    <t xml:space="preserve">(Personnel Action Audit by Employee ID, Campus, Department, Begin Date and End Date with Optional Entered/Approved by) </t>
  </si>
  <si>
    <t>PER487CU</t>
  </si>
  <si>
    <t>Personnel Actions Report</t>
  </si>
  <si>
    <t>(Personnel Actions Report by , Begin Date, End Date, Jobcode and Campus)</t>
  </si>
  <si>
    <t>(Classified Staff Seniority Report by Campus and Job Code)</t>
  </si>
  <si>
    <t xml:space="preserve">SIS_ENR_TBL_CU </t>
  </si>
  <si>
    <t>COMP_RATECD_TBL</t>
  </si>
  <si>
    <t>CBR_PARTIC_CU</t>
  </si>
  <si>
    <t xml:space="preserve">BEN_BI_DETAIL </t>
  </si>
  <si>
    <t>BEN_BI_BLNC_VW</t>
  </si>
  <si>
    <t>ACCT_CD_TBL</t>
  </si>
  <si>
    <t>POST_DOC_EXC_CU</t>
  </si>
  <si>
    <t>POST_DOC_EXD_CU</t>
  </si>
  <si>
    <t>CU_POST_DOC_EXCEPT_DETAIL</t>
  </si>
  <si>
    <t>CU_POST_DOC_EXCEPT_REPORT</t>
  </si>
  <si>
    <t>(Post Doc Exception Report by Campus including JobCode, Speedtype,Plan Type for each Acct Code)</t>
  </si>
  <si>
    <t>(Post Doc Exception Report by Campus - Acct Codes)</t>
  </si>
  <si>
    <t>AUDIT_DIRDEP_CU</t>
  </si>
  <si>
    <t xml:space="preserve">YE_COMBINED_VW </t>
  </si>
  <si>
    <t xml:space="preserve">LOCAL_TAX_TBL </t>
  </si>
  <si>
    <t>SSF_PAY_CHK_VW</t>
  </si>
  <si>
    <t>CU_EMPLOYEE_PAYCHECK_BY_DEPT</t>
  </si>
  <si>
    <t>(Paycheck Gross by Department and Pay Period)</t>
  </si>
  <si>
    <t>CU_AUDIT_DIR_DEPOSIT_COUNTS</t>
  </si>
  <si>
    <t>(Report Direct Deposit Counts)</t>
  </si>
  <si>
    <t>CU_AUDIT_DIR_DEPOSIT_DETAIL</t>
  </si>
  <si>
    <t>(Report Direct Deposit Activity)</t>
  </si>
  <si>
    <t>CU_AUDIT_W4</t>
  </si>
  <si>
    <t>(W4 Audit Activity by Begin and End Dates)</t>
  </si>
  <si>
    <t>CU_FOREIGN_ADDRESSES_ONLY</t>
  </si>
  <si>
    <t>(Foreign Addresses without USA address)</t>
  </si>
  <si>
    <t>CU_OFF_CYCLE_REVIEW</t>
  </si>
  <si>
    <t>(Find Check Status by Pay Run)</t>
  </si>
  <si>
    <t>PSTREENODE</t>
  </si>
  <si>
    <t>CU_SAMPLE_TREE_NODE</t>
  </si>
  <si>
    <t>(Sample of How to Use Tree Node as a Criteria)</t>
  </si>
  <si>
    <t>ETHNICITY_DTL</t>
  </si>
  <si>
    <t>LOCATION_TBL</t>
  </si>
  <si>
    <t>ADDED</t>
  </si>
  <si>
    <t>HR_MULTI_OPR_CU</t>
  </si>
  <si>
    <t>BLDRDARSDAO_CU</t>
  </si>
  <si>
    <t>COGNOS_DYNVW_CU</t>
  </si>
  <si>
    <t>DARSFRAGDAO_CU</t>
  </si>
  <si>
    <t>LEAVEROLLOUT_CU</t>
  </si>
  <si>
    <t>POI_RL_CU</t>
  </si>
  <si>
    <t>SUMMERGAPDAO_CU</t>
  </si>
  <si>
    <t>SUPERVISOR_CU</t>
  </si>
  <si>
    <t>????</t>
  </si>
  <si>
    <t>TE_HDR_ARCH_CU</t>
  </si>
  <si>
    <t>CU_PHONE_CAMPUS_NUMBER</t>
  </si>
  <si>
    <t>(Find Employee Work Phone Number by Emplid, Name or Dept Optional Prompts)</t>
  </si>
  <si>
    <t>8.3.12</t>
  </si>
  <si>
    <t>CU_NAME_CHANGES</t>
  </si>
  <si>
    <t>(Find Names that have changed since a certain prompted date - shows previous name and changed to name)</t>
  </si>
  <si>
    <t>CU_BATCH_PET_EARNINGS_BENEFITS</t>
  </si>
  <si>
    <t>(Batch Upload Earnings and Benefits by Date Range)</t>
  </si>
  <si>
    <t>CU_POSN_REPORTS_TO</t>
  </si>
  <si>
    <t>CU_POSN_REPORTS_TO_ERRORS</t>
  </si>
  <si>
    <t>PERS_DATA_USA</t>
  </si>
  <si>
    <t>PERS_DATA_CU</t>
  </si>
  <si>
    <t>8.6.12</t>
  </si>
  <si>
    <t>TAX_DISTRIB</t>
  </si>
  <si>
    <t>TAX_LOCATION2</t>
  </si>
  <si>
    <t>CU_EMPLOYEE_YEARS_OF_SERVICE</t>
  </si>
  <si>
    <t>CU_NEW_HIRES_COMBO_NODE</t>
  </si>
  <si>
    <t>(Find All New Hires or Just Vet New Hires for a Time Frame - Set to Boulder Campus Node Only)</t>
  </si>
  <si>
    <t>CU_EMPLOYEES_MISSING_TRAINING</t>
  </si>
  <si>
    <t>CU_PERSONNEL_ROST_RPT_NODE</t>
  </si>
  <si>
    <t>CU_POSITION_STATUS_RPT_NODE</t>
  </si>
  <si>
    <t>(Employees who updated Federal Tax Status via Portal and need to have State Tax Status updated)</t>
  </si>
  <si>
    <t>(Job Code (optional), Empl ID (optional), Exclude Vacants (optional) - Set for Node B0001)</t>
  </si>
  <si>
    <t xml:space="preserve">(Personnel Roster by Start Date After, Job Code (optional) and Node - Set for Node B0115) </t>
  </si>
  <si>
    <t>CU_ROSTER_W_GENDER_ETHNICITY</t>
  </si>
  <si>
    <t>(Roster for Non-Terminated by Dept)</t>
  </si>
  <si>
    <t>Fishnet Conversion</t>
  </si>
  <si>
    <t>CU_RETIREE_INFO</t>
  </si>
  <si>
    <t>(Find Emergency Contact, Address, Personal Info and Email if available for Retirees by Dept)</t>
  </si>
  <si>
    <t>EMPL_CLASS_TBL</t>
  </si>
  <si>
    <t>CU_WORK_STUDY</t>
  </si>
  <si>
    <t>(Find Work Study Employees by Department)</t>
  </si>
  <si>
    <t>ws_limits</t>
  </si>
  <si>
    <t>CU_NEW_HIRES_MISSING_TRAINING</t>
  </si>
  <si>
    <t>(Find New Hires by Dept Employed Greater Than or Equal to 90 days and Have Not Completed a Course)</t>
  </si>
  <si>
    <t>(Find Employee Years of Service from Service_Date by Department and Fiscal Year)</t>
  </si>
  <si>
    <t>CU_EMPLOYEE_YEARS_OF_SERV_NODE</t>
  </si>
  <si>
    <t>TAX_CLASS</t>
  </si>
  <si>
    <t xml:space="preserve">CU_DPP_PERA_FICA_MED </t>
  </si>
  <si>
    <t>(Employees set up for both FICA and PERA Deductions During Payroll Processing (DPP)</t>
  </si>
  <si>
    <t>DIR_DEP_VW</t>
  </si>
  <si>
    <t>10.26.12</t>
  </si>
  <si>
    <t>CU_EMPLOYEES_TERMINATED_NODE</t>
  </si>
  <si>
    <t>QUERY_TREE_CU_HR</t>
  </si>
  <si>
    <t>PAY_CHECK</t>
  </si>
  <si>
    <t>(Vacant Position Status Active, by Department)</t>
  </si>
  <si>
    <t>CU_EMPLOYEES_WITH_END_DATES</t>
  </si>
  <si>
    <t>CU_EMPLOYEE_YEARS_OF_SERV_NODS</t>
  </si>
  <si>
    <t>(Find Employee Years of Service from Service_Date by NODE S1007 and Fiscal Year)</t>
  </si>
  <si>
    <t>(Find Employee Years of Service from Service_Date by NODE B0001 and Fiscal Year)</t>
  </si>
  <si>
    <t>11.2.12</t>
  </si>
  <si>
    <t>PER_ORG_ASGN</t>
  </si>
  <si>
    <t>CU_CRIMINAL_BACKGROUND_CHK</t>
  </si>
  <si>
    <t>(Criminal Background Check Flags from 2 sources by Active, Inactive or all by Department)</t>
  </si>
  <si>
    <t>None</t>
  </si>
  <si>
    <t>PBS Only</t>
  </si>
  <si>
    <t>Needs Role Query_HR</t>
  </si>
  <si>
    <t>CU_EMPLOYEE_VET_REPORT_NODE</t>
  </si>
  <si>
    <t>(CL and FP BENEFIT_PROGRAM IDENTIFICATION by Pay End Date)</t>
  </si>
  <si>
    <t>CU_BENEFIT_PROGRAM</t>
  </si>
  <si>
    <t>Security Restrictions</t>
  </si>
  <si>
    <t>(Find Employees with Veteran Status by Node - Select 1 or None)</t>
  </si>
  <si>
    <t>CU_LEAVE_ACCRUAL_BALANCES</t>
  </si>
  <si>
    <t>CITIZENSHIP</t>
  </si>
  <si>
    <t>11.21.12</t>
  </si>
  <si>
    <t>PRESENCE_TBL</t>
  </si>
  <si>
    <t>CU_JOBCODE_TBL</t>
  </si>
  <si>
    <t>(Current Jobcode Table, Description, Status, Codes)</t>
  </si>
  <si>
    <t>CU_SAMPLE_CASE</t>
  </si>
  <si>
    <t>(Sample of How to Use Case in an Expression)</t>
  </si>
  <si>
    <t>CU_EMPLOYEE_YEARS_OF_SERV_NODD</t>
  </si>
  <si>
    <t>(Find Employee Years of Service from Service_Date by NODES D0001 and U0001 by Fiscal Year)</t>
  </si>
  <si>
    <t>CU_IMPUTED_INTEREST_FAC_HOUSE</t>
  </si>
  <si>
    <t>(Imputed Interest on Faculty Housing Report - PBS)</t>
  </si>
  <si>
    <t>CU_COMPREHENSIVE_LEARNING</t>
  </si>
  <si>
    <t xml:space="preserve">TRN072 </t>
  </si>
  <si>
    <t>CU_COMPREHENSIVE_LEARNING_N</t>
  </si>
  <si>
    <t>(Comperhensive Learning Report modeled after TRN072, by Prompts)</t>
  </si>
  <si>
    <t>(Comperhensive Learning Report modeled after TRN072, Set for NODE B0001)</t>
  </si>
  <si>
    <t>CU_DECEASED_INFO</t>
  </si>
  <si>
    <t xml:space="preserve">CU_DEPARTMENTAL_ORG_NODE </t>
  </si>
  <si>
    <t>(Position, Employee Name, Supervisor and Appointing Authority - For NODE D0001)</t>
  </si>
  <si>
    <t>PERSON</t>
  </si>
  <si>
    <t>(Deceased Employee info by Approval Status Date Range and Campus)</t>
  </si>
  <si>
    <t>CU_EMPLOYEES_MISSING_ETHNICITY</t>
  </si>
  <si>
    <t>CU_EMPLOYEE_ROLES</t>
  </si>
  <si>
    <t>(Find Employees HRMS roles, primary permission list by Department and Active/Inactive)</t>
  </si>
  <si>
    <t>ROLEUSER_VW</t>
  </si>
  <si>
    <t>ACTION_TBL</t>
  </si>
  <si>
    <t>CU_EMPLOYEE_LOS_NODEH</t>
  </si>
  <si>
    <t>(Active Employee Length of Service in Years by Service Date Year - Calendar Year)</t>
  </si>
  <si>
    <t>CU_PERSONNEL_COMPARE_DATES</t>
  </si>
  <si>
    <t xml:space="preserve">(Employees Salary by Department Compare Between Prompted Dates) </t>
  </si>
  <si>
    <t>CU_EMPLOYEES_TRANSFERRED_ALL</t>
  </si>
  <si>
    <t>CU_MY_LEAVE_DETAIL_NODE</t>
  </si>
  <si>
    <t>(My Leave Detail by  Begin Date and End Date - Set for UCCS)</t>
  </si>
  <si>
    <t>(Campus Box &amp; Location by Dept)</t>
  </si>
  <si>
    <t>CU_CAMPUS_BOX_AND_LOCATION</t>
  </si>
  <si>
    <t>CU_EMPLOYEE_BIRTHDAYS_WITH_AGE</t>
  </si>
  <si>
    <t>(Department Birthdays by Month Including Employee Age)</t>
  </si>
  <si>
    <t>QUERY_TREE_CU_STD</t>
  </si>
  <si>
    <t>4.18.13</t>
  </si>
  <si>
    <t>QUERY_TREE_CU_REV</t>
  </si>
  <si>
    <t xml:space="preserve">PAY_CAL_BAL_ID </t>
  </si>
  <si>
    <t>EMPLOYEE_REV_CU</t>
  </si>
  <si>
    <t>SIS_ENR_BCK_CU</t>
  </si>
  <si>
    <t>SIS_ENR_TBL_CU</t>
  </si>
  <si>
    <t>STUDENT EMPLOYMENT</t>
  </si>
  <si>
    <t>EMPLOYEE_REVIEW</t>
  </si>
  <si>
    <t>CU_STUDENT_EMPLOYMENT</t>
  </si>
  <si>
    <t xml:space="preserve">Needs Role Student Employment or Query_Super  </t>
  </si>
  <si>
    <t>(Find Employed Students by Campus from SIS Interface Feed Table)</t>
  </si>
  <si>
    <t>PERSONAL_PHONE</t>
  </si>
  <si>
    <t>4.25.13</t>
  </si>
  <si>
    <t>CU_PHONE_NUMBERS_BY_CAMPUS</t>
  </si>
  <si>
    <t>(Find Employee Work Phone Number by Emplid, Dept or Campus Optional Prompts)</t>
  </si>
  <si>
    <t>CU_EMPLOYEES_REHIRED_NODE</t>
  </si>
  <si>
    <t>PERS_NID</t>
  </si>
  <si>
    <t>5.9.13</t>
  </si>
  <si>
    <t>DIVERS_ETHNIC</t>
  </si>
  <si>
    <t>5.15.13</t>
  </si>
  <si>
    <t>RTMT_401A_VW_CU</t>
  </si>
  <si>
    <t>RTMT_PERA_VW_CU</t>
  </si>
  <si>
    <t>CHECK_YTD</t>
  </si>
  <si>
    <t>5.20.13</t>
  </si>
  <si>
    <t>401_SPLT_DTL_CU</t>
  </si>
  <si>
    <t>ADDRESSES</t>
  </si>
  <si>
    <t>7.1.13</t>
  </si>
  <si>
    <t>BEN_BI_D_VW_CU</t>
  </si>
  <si>
    <t>BEN_BI_ENR_EFDT</t>
  </si>
  <si>
    <t>FED_TAX_DATA</t>
  </si>
  <si>
    <t>JOB_AUDIT_CU</t>
  </si>
  <si>
    <t>PAY_DEDUCTION</t>
  </si>
  <si>
    <t>PY_IC_DD_AUDIT</t>
  </si>
  <si>
    <t>PY_IC_W4_AUDIT</t>
  </si>
  <si>
    <t>LEAVE_AUDIT</t>
  </si>
  <si>
    <t>BEN_ACC_VW_CU</t>
  </si>
  <si>
    <t>CNTRCT_PY_ELECT</t>
  </si>
  <si>
    <t>DENDARSDAO_CU</t>
  </si>
  <si>
    <t>EMPLOYEE_RL_CU</t>
  </si>
  <si>
    <t>EP_PORT_USER_CU</t>
  </si>
  <si>
    <t>FCADMINDAO_CU</t>
  </si>
  <si>
    <t>FCCAMPCTL_CU</t>
  </si>
  <si>
    <t>FCDLGTDAO_CU</t>
  </si>
  <si>
    <t>FCINDDAO_CU</t>
  </si>
  <si>
    <t>FNINDDAO_CU</t>
  </si>
  <si>
    <t>FTINDDAO_CU</t>
  </si>
  <si>
    <t>PSFT_HR_USER_CU</t>
  </si>
  <si>
    <t>SAL_GRADE_TBL</t>
  </si>
  <si>
    <t>SYSTEM_EMP_CU</t>
  </si>
  <si>
    <t>CU_401A_ERRORS</t>
  </si>
  <si>
    <t>CU_401A_OVR_A796</t>
  </si>
  <si>
    <t>CU_401A_OVR_B796</t>
  </si>
  <si>
    <t>(CU 401A Error Report)</t>
  </si>
  <si>
    <t>(CU 401A Over Hired Aftr 7/1/96)</t>
  </si>
  <si>
    <t>(CU 401A Over Limit BE 7/1/96)</t>
  </si>
  <si>
    <t>CU_BKGROUND_CHK</t>
  </si>
  <si>
    <t>(Background Checks by Department)</t>
  </si>
  <si>
    <t>CU_CAMPUS_BOX_AND_LOCATION_ALL</t>
  </si>
  <si>
    <t>(Campus Box &amp; Location For All)</t>
  </si>
  <si>
    <t>CU_CONTRACT_PAY_ELECTION</t>
  </si>
  <si>
    <t>(Contract Pay Election)</t>
  </si>
  <si>
    <r>
      <t>(Any Employee Missing Ethnicity</t>
    </r>
    <r>
      <rPr>
        <b/>
        <sz val="11"/>
        <color indexed="8"/>
        <rFont val="Calibri"/>
        <family val="2"/>
      </rPr>
      <t>)</t>
    </r>
  </si>
  <si>
    <t>(Hired &gt;= 90 &amp; Course Not Done)</t>
  </si>
  <si>
    <t>(Empls Rehired by Date Range)</t>
  </si>
  <si>
    <t>(Termed Employees - Node B0001)</t>
  </si>
  <si>
    <t>(Employees who have Transferred)</t>
  </si>
  <si>
    <t>(Employees w/Appt End Dates)</t>
  </si>
  <si>
    <t>CU_EMPLOYEE_ROLE</t>
  </si>
  <si>
    <t>(Employee Role)</t>
  </si>
  <si>
    <t>CU_PAY_PAYSHEET_NBR</t>
  </si>
  <si>
    <t>(Retrieve Paysheet Numb (DESC))</t>
  </si>
  <si>
    <t>CU_PA_PERS_JOB_VERIF</t>
  </si>
  <si>
    <t>CU_PA_POSN_UPLOAD</t>
  </si>
  <si>
    <t>CU_PERA_ERRORS</t>
  </si>
  <si>
    <t>CU_PERA_MISSING_DED</t>
  </si>
  <si>
    <t>(CU PA to HRMS Upload)</t>
  </si>
  <si>
    <t>(CU PERA Error Report)</t>
  </si>
  <si>
    <t>(CU Missing PERA Ded Audit)</t>
  </si>
  <si>
    <t>(Roster Report -  Node  B0115)</t>
  </si>
  <si>
    <t>(CU POI Role Query)</t>
  </si>
  <si>
    <t>CU_POI_ROLE</t>
  </si>
  <si>
    <t>CU_SAL_INC_ALL</t>
  </si>
  <si>
    <t>CU_SAL_INC_HRLY</t>
  </si>
  <si>
    <t>CU_SAL_INC_MNTHLY</t>
  </si>
  <si>
    <t>CU_SAL_INC_MTHLY</t>
  </si>
  <si>
    <t>CU_SAL_INC_MTHLY_ORIG</t>
  </si>
  <si>
    <t>(CU Salary Plng All)</t>
  </si>
  <si>
    <t>(CU Salary Plng HR Class Ltrs)</t>
  </si>
  <si>
    <t>(CU Salary Plng MO Class Ltrs)</t>
  </si>
  <si>
    <t>Needs Role Employee Review</t>
  </si>
  <si>
    <t>SAL_2013_VW_CU</t>
  </si>
  <si>
    <t>Last Updated 8.22.13</t>
  </si>
  <si>
    <t>CU_ES_PERA_OVR_55</t>
  </si>
  <si>
    <t>CU_ES_PERA_TERMS</t>
  </si>
  <si>
    <t>CU_ES_PPL_DEPTS</t>
  </si>
  <si>
    <t>(Terms over 55 w/PERA - No END)</t>
  </si>
  <si>
    <t>(Active PPLs)</t>
  </si>
  <si>
    <t>(Displays RTR Terms w/PERA)</t>
  </si>
  <si>
    <t>10.16.13</t>
  </si>
  <si>
    <t>(CU_DEPARTMENT TABLE as presented in ES Website)</t>
  </si>
  <si>
    <t>SAL_PLAN_TBL</t>
  </si>
  <si>
    <t>CU_JOBCODE_AND_SAL_GRADE_TBL</t>
  </si>
  <si>
    <t>(Current Jobcode Table, Description, Status, Codes and Salary Grade Tabe)</t>
  </si>
  <si>
    <t>CU_ACTION_REASON_CODE_TBL</t>
  </si>
  <si>
    <t>CU_EARNINGS_CODE_TBL</t>
  </si>
  <si>
    <t>CU_DEPARTMENTAL_TBL</t>
  </si>
  <si>
    <t>(ES Website System Table listing replacement of Job Code and Salary Grade Information)</t>
  </si>
  <si>
    <t>(Earnings Code Table for website)</t>
  </si>
  <si>
    <t>CU_CAMPUS_BOX_TABLE</t>
  </si>
  <si>
    <t>(CU Campus Box Table for website)</t>
  </si>
  <si>
    <t>CU_COURSE_TABLE</t>
  </si>
  <si>
    <t>(CU Course Table for website)</t>
  </si>
  <si>
    <t>CU_LOCATION_CODE_TABLE</t>
  </si>
  <si>
    <t>(CU Location Code Table for website)</t>
  </si>
  <si>
    <t>CU_SALARY_PLAN_AND_GRADE_TBL</t>
  </si>
  <si>
    <t>(Salary Plan and Grade Table for website)</t>
  </si>
  <si>
    <t>SP_SAL_SURV_GRD</t>
  </si>
  <si>
    <t>WCS_LK_HTML_VW</t>
  </si>
  <si>
    <t>WCS_LK_DEFN</t>
  </si>
  <si>
    <t>POS_KENEXA_CU</t>
  </si>
  <si>
    <t>CU_KENEXA_JOB_CD_DATA</t>
  </si>
  <si>
    <t>CU_KENEXA_POSN_DATA</t>
  </si>
  <si>
    <t>(Kenexa Jobcode Data)</t>
  </si>
  <si>
    <t>(Kenexa Position Data)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</si>
</sst>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56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1"/>
      <color rgb="FF1F497D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0" fontId="0" fillId="33" borderId="10" xfId="0" applyFill="1" applyBorder="1" applyAlignment="1">
      <alignment/>
    </xf>
    <xf numFmtId="0" fontId="43" fillId="0" borderId="0" xfId="0" applyFont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3"/>
  <sheetViews>
    <sheetView tabSelected="1" zoomScalePageLayoutView="0" workbookViewId="0" topLeftCell="A1">
      <pane ySplit="1" topLeftCell="A61" activePane="bottomLeft" state="frozen"/>
      <selection pane="topLeft" activeCell="A1" sqref="A1"/>
      <selection pane="bottomLeft" activeCell="B68" sqref="B68"/>
    </sheetView>
  </sheetViews>
  <sheetFormatPr defaultColWidth="9.140625" defaultRowHeight="15"/>
  <cols>
    <col min="1" max="1" width="35.57421875" style="1" bestFit="1" customWidth="1"/>
    <col min="2" max="2" width="27.7109375" style="0" customWidth="1"/>
    <col min="3" max="3" width="109.7109375" style="1" customWidth="1"/>
    <col min="4" max="4" width="14.7109375" style="0" customWidth="1"/>
    <col min="5" max="5" width="30.00390625" style="0" customWidth="1"/>
  </cols>
  <sheetData>
    <row r="1" spans="1:5" ht="15.75" thickBot="1">
      <c r="A1" s="2" t="s">
        <v>407</v>
      </c>
      <c r="B1" s="6" t="s">
        <v>275</v>
      </c>
      <c r="C1" s="3" t="s">
        <v>28</v>
      </c>
      <c r="D1" s="6" t="s">
        <v>66</v>
      </c>
      <c r="E1" s="6" t="s">
        <v>67</v>
      </c>
    </row>
    <row r="2" spans="1:5" s="14" customFormat="1" ht="15">
      <c r="A2" s="12" t="s">
        <v>365</v>
      </c>
      <c r="B2" t="s">
        <v>270</v>
      </c>
      <c r="C2" s="12" t="s">
        <v>368</v>
      </c>
      <c r="D2" t="s">
        <v>72</v>
      </c>
      <c r="E2" s="13"/>
    </row>
    <row r="3" spans="1:5" s="14" customFormat="1" ht="15">
      <c r="A3" s="12" t="s">
        <v>366</v>
      </c>
      <c r="B3" t="s">
        <v>270</v>
      </c>
      <c r="C3" s="12" t="s">
        <v>369</v>
      </c>
      <c r="D3" t="s">
        <v>72</v>
      </c>
      <c r="E3" s="13"/>
    </row>
    <row r="4" spans="1:5" s="14" customFormat="1" ht="15">
      <c r="A4" s="12" t="s">
        <v>367</v>
      </c>
      <c r="B4" t="s">
        <v>270</v>
      </c>
      <c r="C4" s="12" t="s">
        <v>370</v>
      </c>
      <c r="D4" t="s">
        <v>72</v>
      </c>
      <c r="E4" s="13"/>
    </row>
    <row r="5" spans="1:5" s="14" customFormat="1" ht="15">
      <c r="A5" s="12" t="s">
        <v>419</v>
      </c>
      <c r="B5" t="s">
        <v>269</v>
      </c>
      <c r="C5" s="12" t="s">
        <v>422</v>
      </c>
      <c r="D5"/>
      <c r="E5" s="13"/>
    </row>
    <row r="6" spans="1:5" ht="15">
      <c r="A6" s="1" t="s">
        <v>0</v>
      </c>
      <c r="B6" t="s">
        <v>269</v>
      </c>
      <c r="C6" s="1" t="s">
        <v>1</v>
      </c>
      <c r="D6" t="s">
        <v>68</v>
      </c>
      <c r="E6" t="s">
        <v>69</v>
      </c>
    </row>
    <row r="7" spans="1:5" ht="15">
      <c r="A7" s="1" t="s">
        <v>29</v>
      </c>
      <c r="B7" t="s">
        <v>269</v>
      </c>
      <c r="C7" s="1" t="s">
        <v>34</v>
      </c>
      <c r="D7" t="s">
        <v>70</v>
      </c>
      <c r="E7" t="s">
        <v>71</v>
      </c>
    </row>
    <row r="8" spans="1:4" ht="15">
      <c r="A8" s="1" t="s">
        <v>190</v>
      </c>
      <c r="B8" t="s">
        <v>270</v>
      </c>
      <c r="C8" s="1" t="s">
        <v>191</v>
      </c>
      <c r="D8" t="s">
        <v>72</v>
      </c>
    </row>
    <row r="9" spans="1:4" ht="15">
      <c r="A9" s="1" t="s">
        <v>192</v>
      </c>
      <c r="B9" t="s">
        <v>270</v>
      </c>
      <c r="C9" s="1" t="s">
        <v>193</v>
      </c>
      <c r="D9" t="s">
        <v>72</v>
      </c>
    </row>
    <row r="10" spans="1:4" ht="15">
      <c r="A10" s="1" t="s">
        <v>194</v>
      </c>
      <c r="B10" t="s">
        <v>270</v>
      </c>
      <c r="C10" s="1" t="s">
        <v>195</v>
      </c>
      <c r="D10" t="s">
        <v>72</v>
      </c>
    </row>
    <row r="11" spans="1:4" ht="15">
      <c r="A11" s="1" t="s">
        <v>221</v>
      </c>
      <c r="B11" t="str">
        <f>"Needs Role Query_HR"</f>
        <v>Needs Role Query_HR</v>
      </c>
      <c r="C11" s="1" t="s">
        <v>222</v>
      </c>
      <c r="D11" t="s">
        <v>72</v>
      </c>
    </row>
    <row r="12" spans="1:4" ht="15">
      <c r="A12" s="1" t="s">
        <v>274</v>
      </c>
      <c r="B12" t="s">
        <v>270</v>
      </c>
      <c r="C12" s="1" t="s">
        <v>273</v>
      </c>
      <c r="D12" t="s">
        <v>72</v>
      </c>
    </row>
    <row r="13" spans="1:4" ht="15">
      <c r="A13" s="1" t="s">
        <v>57</v>
      </c>
      <c r="B13" t="s">
        <v>270</v>
      </c>
      <c r="C13" s="1" t="s">
        <v>65</v>
      </c>
      <c r="D13" t="s">
        <v>72</v>
      </c>
    </row>
    <row r="14" spans="1:4" ht="15">
      <c r="A14" s="1" t="s">
        <v>371</v>
      </c>
      <c r="B14" t="s">
        <v>269</v>
      </c>
      <c r="C14" s="1" t="s">
        <v>372</v>
      </c>
      <c r="D14" t="s">
        <v>72</v>
      </c>
    </row>
    <row r="15" spans="1:4" ht="15">
      <c r="A15" s="1" t="s">
        <v>312</v>
      </c>
      <c r="B15" t="s">
        <v>269</v>
      </c>
      <c r="C15" s="1" t="s">
        <v>311</v>
      </c>
      <c r="D15" t="s">
        <v>72</v>
      </c>
    </row>
    <row r="16" spans="1:4" ht="15">
      <c r="A16" s="1" t="s">
        <v>373</v>
      </c>
      <c r="B16" t="s">
        <v>269</v>
      </c>
      <c r="C16" s="1" t="s">
        <v>374</v>
      </c>
      <c r="D16" t="s">
        <v>72</v>
      </c>
    </row>
    <row r="17" spans="1:3" ht="15">
      <c r="A17" s="1" t="s">
        <v>424</v>
      </c>
      <c r="B17" t="s">
        <v>269</v>
      </c>
      <c r="C17" s="1" t="s">
        <v>425</v>
      </c>
    </row>
    <row r="18" spans="1:4" ht="15">
      <c r="A18" s="1" t="s">
        <v>289</v>
      </c>
      <c r="B18" t="s">
        <v>269</v>
      </c>
      <c r="C18" s="1" t="s">
        <v>292</v>
      </c>
      <c r="D18" t="s">
        <v>290</v>
      </c>
    </row>
    <row r="19" spans="1:4" ht="15">
      <c r="A19" s="1" t="s">
        <v>291</v>
      </c>
      <c r="B19" t="s">
        <v>269</v>
      </c>
      <c r="C19" s="1" t="s">
        <v>293</v>
      </c>
      <c r="D19" t="s">
        <v>290</v>
      </c>
    </row>
    <row r="20" spans="1:4" ht="15">
      <c r="A20" s="1" t="s">
        <v>375</v>
      </c>
      <c r="B20" t="s">
        <v>270</v>
      </c>
      <c r="C20" s="1" t="s">
        <v>376</v>
      </c>
      <c r="D20" t="s">
        <v>72</v>
      </c>
    </row>
    <row r="21" spans="1:3" ht="15">
      <c r="A21" s="1" t="s">
        <v>426</v>
      </c>
      <c r="B21" t="s">
        <v>269</v>
      </c>
      <c r="C21" s="1" t="s">
        <v>427</v>
      </c>
    </row>
    <row r="22" spans="1:4" ht="15">
      <c r="A22" s="1" t="s">
        <v>267</v>
      </c>
      <c r="B22" t="s">
        <v>271</v>
      </c>
      <c r="C22" s="1" t="s">
        <v>268</v>
      </c>
      <c r="D22" t="s">
        <v>72</v>
      </c>
    </row>
    <row r="23" spans="1:4" ht="15">
      <c r="A23" s="1" t="s">
        <v>294</v>
      </c>
      <c r="B23" t="s">
        <v>269</v>
      </c>
      <c r="C23" s="1" t="s">
        <v>298</v>
      </c>
      <c r="D23" t="s">
        <v>72</v>
      </c>
    </row>
    <row r="24" spans="1:5" ht="15">
      <c r="A24" s="1" t="s">
        <v>30</v>
      </c>
      <c r="B24" t="s">
        <v>269</v>
      </c>
      <c r="C24" s="1" t="s">
        <v>2</v>
      </c>
      <c r="D24" t="s">
        <v>73</v>
      </c>
      <c r="E24" t="s">
        <v>74</v>
      </c>
    </row>
    <row r="25" spans="1:5" ht="15">
      <c r="A25" s="1" t="s">
        <v>295</v>
      </c>
      <c r="B25" t="s">
        <v>269</v>
      </c>
      <c r="C25" s="1" t="s">
        <v>296</v>
      </c>
      <c r="D25" t="s">
        <v>73</v>
      </c>
      <c r="E25" t="s">
        <v>74</v>
      </c>
    </row>
    <row r="26" spans="1:3" ht="15">
      <c r="A26" s="1" t="s">
        <v>421</v>
      </c>
      <c r="B26" t="s">
        <v>269</v>
      </c>
      <c r="C26" s="1" t="s">
        <v>415</v>
      </c>
    </row>
    <row r="27" spans="1:4" ht="15">
      <c r="A27" s="1" t="s">
        <v>147</v>
      </c>
      <c r="B27" t="s">
        <v>270</v>
      </c>
      <c r="C27" s="1" t="s">
        <v>148</v>
      </c>
      <c r="D27" t="s">
        <v>72</v>
      </c>
    </row>
    <row r="28" spans="1:4" ht="15">
      <c r="A28" s="1" t="s">
        <v>253</v>
      </c>
      <c r="B28" t="s">
        <v>270</v>
      </c>
      <c r="C28" s="1" t="s">
        <v>254</v>
      </c>
      <c r="D28" t="s">
        <v>72</v>
      </c>
    </row>
    <row r="29" spans="1:3" ht="15">
      <c r="A29" s="1" t="s">
        <v>420</v>
      </c>
      <c r="B29" t="s">
        <v>269</v>
      </c>
      <c r="C29" s="1" t="s">
        <v>423</v>
      </c>
    </row>
    <row r="30" spans="1:5" ht="15">
      <c r="A30" s="1" t="s">
        <v>3</v>
      </c>
      <c r="B30" t="s">
        <v>269</v>
      </c>
      <c r="C30" s="1" t="s">
        <v>4</v>
      </c>
      <c r="D30" t="s">
        <v>75</v>
      </c>
      <c r="E30" t="s">
        <v>76</v>
      </c>
    </row>
    <row r="31" spans="1:4" ht="15">
      <c r="A31" s="1" t="s">
        <v>299</v>
      </c>
      <c r="B31" t="s">
        <v>271</v>
      </c>
      <c r="C31" s="1" t="s">
        <v>377</v>
      </c>
      <c r="D31" t="s">
        <v>72</v>
      </c>
    </row>
    <row r="32" spans="1:4" ht="15">
      <c r="A32" s="1" t="s">
        <v>233</v>
      </c>
      <c r="B32" t="s">
        <v>269</v>
      </c>
      <c r="C32" s="1" t="s">
        <v>378</v>
      </c>
      <c r="D32" t="s">
        <v>72</v>
      </c>
    </row>
    <row r="33" spans="1:4" ht="15">
      <c r="A33" s="1" t="s">
        <v>331</v>
      </c>
      <c r="B33" t="s">
        <v>269</v>
      </c>
      <c r="C33" s="1" t="s">
        <v>379</v>
      </c>
      <c r="D33" t="s">
        <v>72</v>
      </c>
    </row>
    <row r="34" spans="1:4" ht="15">
      <c r="A34" s="1" t="s">
        <v>257</v>
      </c>
      <c r="B34" t="s">
        <v>269</v>
      </c>
      <c r="C34" s="1" t="s">
        <v>380</v>
      </c>
      <c r="D34" t="s">
        <v>72</v>
      </c>
    </row>
    <row r="35" spans="1:4" ht="15">
      <c r="A35" s="1" t="s">
        <v>308</v>
      </c>
      <c r="B35" t="s">
        <v>269</v>
      </c>
      <c r="C35" s="1" t="s">
        <v>381</v>
      </c>
      <c r="D35" t="s">
        <v>72</v>
      </c>
    </row>
    <row r="36" spans="1:4" ht="15">
      <c r="A36" s="1" t="s">
        <v>261</v>
      </c>
      <c r="B36" t="s">
        <v>269</v>
      </c>
      <c r="C36" s="1" t="s">
        <v>382</v>
      </c>
      <c r="D36" t="s">
        <v>72</v>
      </c>
    </row>
    <row r="37" spans="1:5" ht="15">
      <c r="A37" s="1" t="s">
        <v>5</v>
      </c>
      <c r="B37" t="s">
        <v>269</v>
      </c>
      <c r="C37" s="1" t="s">
        <v>6</v>
      </c>
      <c r="D37" t="s">
        <v>77</v>
      </c>
      <c r="E37" t="s">
        <v>78</v>
      </c>
    </row>
    <row r="38" spans="1:5" ht="15">
      <c r="A38" s="1" t="s">
        <v>313</v>
      </c>
      <c r="B38" t="s">
        <v>269</v>
      </c>
      <c r="C38" s="1" t="s">
        <v>314</v>
      </c>
      <c r="D38" t="s">
        <v>77</v>
      </c>
      <c r="E38" t="s">
        <v>78</v>
      </c>
    </row>
    <row r="39" spans="1:5" ht="15">
      <c r="A39" s="1" t="s">
        <v>50</v>
      </c>
      <c r="B39" t="s">
        <v>271</v>
      </c>
      <c r="C39" s="1" t="s">
        <v>53</v>
      </c>
      <c r="D39" t="s">
        <v>79</v>
      </c>
      <c r="E39" t="s">
        <v>80</v>
      </c>
    </row>
    <row r="40" spans="1:5" ht="15">
      <c r="A40" s="1" t="s">
        <v>31</v>
      </c>
      <c r="B40" t="s">
        <v>270</v>
      </c>
      <c r="C40" s="1" t="s">
        <v>35</v>
      </c>
      <c r="D40" t="s">
        <v>81</v>
      </c>
      <c r="E40" t="s">
        <v>82</v>
      </c>
    </row>
    <row r="41" spans="1:5" ht="15">
      <c r="A41" s="1" t="s">
        <v>7</v>
      </c>
      <c r="B41" t="s">
        <v>271</v>
      </c>
      <c r="C41" s="1" t="s">
        <v>8</v>
      </c>
      <c r="D41" t="s">
        <v>83</v>
      </c>
      <c r="E41" t="s">
        <v>84</v>
      </c>
    </row>
    <row r="42" spans="1:4" ht="15">
      <c r="A42" s="1" t="s">
        <v>304</v>
      </c>
      <c r="B42" t="s">
        <v>271</v>
      </c>
      <c r="C42" s="1" t="s">
        <v>305</v>
      </c>
      <c r="D42" t="s">
        <v>72</v>
      </c>
    </row>
    <row r="43" spans="1:4" ht="15">
      <c r="A43" s="1" t="s">
        <v>188</v>
      </c>
      <c r="B43" t="s">
        <v>269</v>
      </c>
      <c r="C43" s="1" t="s">
        <v>189</v>
      </c>
      <c r="D43" t="s">
        <v>72</v>
      </c>
    </row>
    <row r="44" spans="1:3" ht="15">
      <c r="A44" s="1" t="s">
        <v>383</v>
      </c>
      <c r="B44" t="s">
        <v>269</v>
      </c>
      <c r="C44" s="1" t="s">
        <v>384</v>
      </c>
    </row>
    <row r="45" spans="1:4" ht="15">
      <c r="A45" s="1" t="s">
        <v>300</v>
      </c>
      <c r="B45" t="s">
        <v>269</v>
      </c>
      <c r="C45" s="1" t="s">
        <v>301</v>
      </c>
      <c r="D45" t="s">
        <v>72</v>
      </c>
    </row>
    <row r="46" spans="1:4" ht="15">
      <c r="A46" s="1" t="s">
        <v>272</v>
      </c>
      <c r="B46" t="s">
        <v>271</v>
      </c>
      <c r="C46" s="1" t="s">
        <v>276</v>
      </c>
      <c r="D46" t="s">
        <v>72</v>
      </c>
    </row>
    <row r="47" spans="1:4" ht="15">
      <c r="A47" s="1" t="s">
        <v>230</v>
      </c>
      <c r="B47" t="s">
        <v>269</v>
      </c>
      <c r="C47" s="1" t="s">
        <v>250</v>
      </c>
      <c r="D47" t="s">
        <v>72</v>
      </c>
    </row>
    <row r="48" spans="1:4" ht="15">
      <c r="A48" s="1" t="s">
        <v>251</v>
      </c>
      <c r="B48" t="s">
        <v>269</v>
      </c>
      <c r="C48" s="1" t="s">
        <v>264</v>
      </c>
      <c r="D48" t="s">
        <v>72</v>
      </c>
    </row>
    <row r="49" spans="1:4" ht="15">
      <c r="A49" s="1" t="s">
        <v>262</v>
      </c>
      <c r="B49" t="s">
        <v>269</v>
      </c>
      <c r="C49" s="1" t="s">
        <v>263</v>
      </c>
      <c r="D49" t="s">
        <v>72</v>
      </c>
    </row>
    <row r="50" spans="1:4" ht="15">
      <c r="A50" s="1" t="s">
        <v>285</v>
      </c>
      <c r="B50" t="s">
        <v>269</v>
      </c>
      <c r="C50" s="1" t="s">
        <v>286</v>
      </c>
      <c r="D50" t="s">
        <v>72</v>
      </c>
    </row>
    <row r="51" spans="1:3" ht="15">
      <c r="A51" s="1" t="s">
        <v>408</v>
      </c>
      <c r="B51" t="s">
        <v>270</v>
      </c>
      <c r="C51" s="1" t="s">
        <v>411</v>
      </c>
    </row>
    <row r="52" spans="1:3" ht="15">
      <c r="A52" s="1" t="s">
        <v>409</v>
      </c>
      <c r="B52" t="s">
        <v>270</v>
      </c>
      <c r="C52" s="1" t="s">
        <v>413</v>
      </c>
    </row>
    <row r="53" spans="1:3" ht="15">
      <c r="A53" s="1" t="s">
        <v>410</v>
      </c>
      <c r="B53" t="s">
        <v>271</v>
      </c>
      <c r="C53" s="1" t="s">
        <v>412</v>
      </c>
    </row>
    <row r="54" spans="1:4" ht="15">
      <c r="A54" s="1" t="s">
        <v>196</v>
      </c>
      <c r="B54" t="s">
        <v>270</v>
      </c>
      <c r="C54" s="1" t="s">
        <v>197</v>
      </c>
      <c r="D54" t="s">
        <v>72</v>
      </c>
    </row>
    <row r="55" spans="1:5" ht="15">
      <c r="A55" s="1" t="s">
        <v>58</v>
      </c>
      <c r="B55" t="s">
        <v>269</v>
      </c>
      <c r="C55" s="1" t="s">
        <v>59</v>
      </c>
      <c r="D55" t="s">
        <v>85</v>
      </c>
      <c r="E55" t="s">
        <v>86</v>
      </c>
    </row>
    <row r="56" spans="1:5" ht="15">
      <c r="A56" s="1" t="s">
        <v>40</v>
      </c>
      <c r="B56" t="s">
        <v>270</v>
      </c>
      <c r="C56" s="1" t="s">
        <v>45</v>
      </c>
      <c r="D56" t="s">
        <v>87</v>
      </c>
      <c r="E56" t="s">
        <v>88</v>
      </c>
    </row>
    <row r="57" spans="1:5" ht="15">
      <c r="A57" s="1" t="s">
        <v>41</v>
      </c>
      <c r="B57" t="s">
        <v>269</v>
      </c>
      <c r="C57" s="1" t="s">
        <v>44</v>
      </c>
      <c r="D57" t="s">
        <v>87</v>
      </c>
      <c r="E57" t="s">
        <v>88</v>
      </c>
    </row>
    <row r="58" spans="1:5" ht="15">
      <c r="A58" s="1" t="s">
        <v>42</v>
      </c>
      <c r="B58" t="s">
        <v>269</v>
      </c>
      <c r="C58" s="1" t="s">
        <v>46</v>
      </c>
      <c r="D58" t="s">
        <v>89</v>
      </c>
      <c r="E58" t="s">
        <v>90</v>
      </c>
    </row>
    <row r="59" spans="1:5" ht="15">
      <c r="A59" s="1" t="s">
        <v>43</v>
      </c>
      <c r="B59" t="s">
        <v>269</v>
      </c>
      <c r="C59" s="1" t="s">
        <v>47</v>
      </c>
      <c r="D59" t="s">
        <v>91</v>
      </c>
      <c r="E59" t="s">
        <v>92</v>
      </c>
    </row>
    <row r="60" spans="1:4" ht="15">
      <c r="A60" s="1" t="s">
        <v>287</v>
      </c>
      <c r="B60" t="s">
        <v>270</v>
      </c>
      <c r="C60" s="1" t="s">
        <v>288</v>
      </c>
      <c r="D60" t="s">
        <v>72</v>
      </c>
    </row>
    <row r="61" spans="1:4" ht="15">
      <c r="A61" s="1" t="s">
        <v>60</v>
      </c>
      <c r="B61" t="s">
        <v>269</v>
      </c>
      <c r="C61" s="1" t="s">
        <v>61</v>
      </c>
      <c r="D61" t="s">
        <v>72</v>
      </c>
    </row>
    <row r="62" spans="1:5" ht="15">
      <c r="A62" s="1" t="s">
        <v>33</v>
      </c>
      <c r="B62" t="s">
        <v>269</v>
      </c>
      <c r="C62" s="1" t="s">
        <v>36</v>
      </c>
      <c r="D62" t="s">
        <v>93</v>
      </c>
      <c r="E62" t="s">
        <v>94</v>
      </c>
    </row>
    <row r="63" spans="1:4" ht="15">
      <c r="A63" s="1" t="s">
        <v>281</v>
      </c>
      <c r="B63" t="s">
        <v>269</v>
      </c>
      <c r="C63" s="1" t="s">
        <v>282</v>
      </c>
      <c r="D63" t="s">
        <v>72</v>
      </c>
    </row>
    <row r="64" spans="1:4" ht="15">
      <c r="A64" s="1" t="s">
        <v>417</v>
      </c>
      <c r="B64" t="s">
        <v>269</v>
      </c>
      <c r="C64" s="1" t="s">
        <v>418</v>
      </c>
      <c r="D64" t="s">
        <v>72</v>
      </c>
    </row>
    <row r="65" spans="1:5" ht="15">
      <c r="A65" s="1" t="s">
        <v>9</v>
      </c>
      <c r="B65" t="s">
        <v>271</v>
      </c>
      <c r="C65" s="1" t="s">
        <v>10</v>
      </c>
      <c r="D65" t="s">
        <v>95</v>
      </c>
      <c r="E65" t="s">
        <v>96</v>
      </c>
    </row>
    <row r="66" spans="1:5" ht="15">
      <c r="A66" s="1" t="s">
        <v>149</v>
      </c>
      <c r="B66" t="s">
        <v>269</v>
      </c>
      <c r="C66" s="1" t="s">
        <v>150</v>
      </c>
      <c r="D66" t="s">
        <v>72</v>
      </c>
      <c r="E66" t="s">
        <v>151</v>
      </c>
    </row>
    <row r="67" spans="1:3" ht="15">
      <c r="A67" s="1" t="s">
        <v>436</v>
      </c>
      <c r="B67" t="s">
        <v>269</v>
      </c>
      <c r="C67" s="1" t="s">
        <v>438</v>
      </c>
    </row>
    <row r="68" spans="1:3" ht="15">
      <c r="A68" s="1" t="s">
        <v>437</v>
      </c>
      <c r="B68" t="s">
        <v>269</v>
      </c>
      <c r="C68" s="1" t="s">
        <v>439</v>
      </c>
    </row>
    <row r="69" spans="1:4" ht="15">
      <c r="A69" s="1" t="s">
        <v>277</v>
      </c>
      <c r="B69" t="s">
        <v>269</v>
      </c>
      <c r="C69" s="1" t="s">
        <v>37</v>
      </c>
      <c r="D69" t="s">
        <v>72</v>
      </c>
    </row>
    <row r="70" spans="1:5" ht="15">
      <c r="A70" s="1" t="s">
        <v>163</v>
      </c>
      <c r="B70" t="s">
        <v>269</v>
      </c>
      <c r="C70" s="1" t="s">
        <v>171</v>
      </c>
      <c r="D70" t="s">
        <v>164</v>
      </c>
      <c r="E70" t="s">
        <v>165</v>
      </c>
    </row>
    <row r="71" spans="1:3" ht="15">
      <c r="A71" s="1" t="s">
        <v>428</v>
      </c>
      <c r="B71" t="s">
        <v>269</v>
      </c>
      <c r="C71" s="1" t="s">
        <v>429</v>
      </c>
    </row>
    <row r="72" spans="1:4" ht="15">
      <c r="A72" s="1" t="s">
        <v>63</v>
      </c>
      <c r="B72" t="s">
        <v>269</v>
      </c>
      <c r="C72" s="1" t="s">
        <v>64</v>
      </c>
      <c r="D72" t="s">
        <v>72</v>
      </c>
    </row>
    <row r="73" spans="1:4" ht="15">
      <c r="A73" s="1" t="s">
        <v>131</v>
      </c>
      <c r="B73" t="s">
        <v>269</v>
      </c>
      <c r="C73" s="1" t="s">
        <v>132</v>
      </c>
      <c r="D73" t="s">
        <v>72</v>
      </c>
    </row>
    <row r="74" spans="1:4" ht="15">
      <c r="A74" s="1" t="s">
        <v>134</v>
      </c>
      <c r="B74" t="s">
        <v>269</v>
      </c>
      <c r="C74" s="1" t="s">
        <v>133</v>
      </c>
      <c r="D74" t="s">
        <v>72</v>
      </c>
    </row>
    <row r="75" spans="1:4" ht="15">
      <c r="A75" s="1" t="s">
        <v>114</v>
      </c>
      <c r="B75" t="s">
        <v>269</v>
      </c>
      <c r="C75" s="1" t="s">
        <v>62</v>
      </c>
      <c r="D75" t="s">
        <v>72</v>
      </c>
    </row>
    <row r="76" spans="1:4" ht="15">
      <c r="A76" s="1" t="s">
        <v>309</v>
      </c>
      <c r="B76" t="s">
        <v>269</v>
      </c>
      <c r="C76" s="1" t="s">
        <v>310</v>
      </c>
      <c r="D76" t="s">
        <v>72</v>
      </c>
    </row>
    <row r="77" spans="1:4" ht="15">
      <c r="A77" s="1" t="s">
        <v>11</v>
      </c>
      <c r="B77" t="s">
        <v>269</v>
      </c>
      <c r="C77" s="1" t="s">
        <v>12</v>
      </c>
      <c r="D77" t="s">
        <v>72</v>
      </c>
    </row>
    <row r="78" spans="1:4" ht="15">
      <c r="A78" s="1" t="s">
        <v>13</v>
      </c>
      <c r="B78" t="s">
        <v>269</v>
      </c>
      <c r="C78" s="1" t="s">
        <v>14</v>
      </c>
      <c r="D78" t="s">
        <v>72</v>
      </c>
    </row>
    <row r="79" spans="1:4" ht="15">
      <c r="A79" s="1" t="s">
        <v>32</v>
      </c>
      <c r="B79" t="s">
        <v>269</v>
      </c>
      <c r="C79" s="1" t="s">
        <v>38</v>
      </c>
      <c r="D79" t="s">
        <v>72</v>
      </c>
    </row>
    <row r="80" spans="1:4" ht="15">
      <c r="A80" s="1" t="s">
        <v>56</v>
      </c>
      <c r="B80" t="s">
        <v>269</v>
      </c>
      <c r="C80" s="1" t="s">
        <v>39</v>
      </c>
      <c r="D80" t="s">
        <v>72</v>
      </c>
    </row>
    <row r="81" spans="1:4" ht="15">
      <c r="A81" s="1" t="s">
        <v>219</v>
      </c>
      <c r="B81" t="s">
        <v>269</v>
      </c>
      <c r="C81" s="1" t="s">
        <v>220</v>
      </c>
      <c r="D81" t="s">
        <v>72</v>
      </c>
    </row>
    <row r="82" spans="1:4" ht="15">
      <c r="A82" s="1" t="s">
        <v>231</v>
      </c>
      <c r="B82" t="s">
        <v>271</v>
      </c>
      <c r="C82" s="1" t="s">
        <v>232</v>
      </c>
      <c r="D82" t="s">
        <v>72</v>
      </c>
    </row>
    <row r="83" spans="1:4" ht="15">
      <c r="A83" s="1" t="s">
        <v>248</v>
      </c>
      <c r="B83" t="s">
        <v>269</v>
      </c>
      <c r="C83" s="1" t="s">
        <v>249</v>
      </c>
      <c r="D83" t="s">
        <v>72</v>
      </c>
    </row>
    <row r="84" spans="1:4" ht="15">
      <c r="A84" s="1" t="s">
        <v>198</v>
      </c>
      <c r="B84" t="s">
        <v>271</v>
      </c>
      <c r="C84" s="1" t="s">
        <v>199</v>
      </c>
      <c r="D84" t="s">
        <v>72</v>
      </c>
    </row>
    <row r="85" spans="1:4" ht="15">
      <c r="A85" s="1" t="s">
        <v>145</v>
      </c>
      <c r="B85" t="s">
        <v>271</v>
      </c>
      <c r="C85" s="1" t="s">
        <v>146</v>
      </c>
      <c r="D85" t="s">
        <v>72</v>
      </c>
    </row>
    <row r="86" spans="1:3" ht="15">
      <c r="A86" s="1" t="s">
        <v>385</v>
      </c>
      <c r="B86" t="s">
        <v>271</v>
      </c>
      <c r="C86" s="1" t="s">
        <v>386</v>
      </c>
    </row>
    <row r="87" spans="1:2" ht="15">
      <c r="A87" s="1" t="s">
        <v>387</v>
      </c>
      <c r="B87" t="s">
        <v>270</v>
      </c>
    </row>
    <row r="88" spans="1:3" ht="15">
      <c r="A88" s="1" t="s">
        <v>388</v>
      </c>
      <c r="B88" t="s">
        <v>269</v>
      </c>
      <c r="C88" s="1" t="s">
        <v>391</v>
      </c>
    </row>
    <row r="89" spans="1:3" ht="15">
      <c r="A89" s="1" t="s">
        <v>389</v>
      </c>
      <c r="B89" t="s">
        <v>270</v>
      </c>
      <c r="C89" s="1" t="s">
        <v>392</v>
      </c>
    </row>
    <row r="90" spans="1:3" ht="15">
      <c r="A90" s="1" t="s">
        <v>390</v>
      </c>
      <c r="B90" t="s">
        <v>270</v>
      </c>
      <c r="C90" s="1" t="s">
        <v>393</v>
      </c>
    </row>
    <row r="91" spans="1:5" ht="15">
      <c r="A91" s="1" t="s">
        <v>166</v>
      </c>
      <c r="B91" t="s">
        <v>269</v>
      </c>
      <c r="C91" s="1" t="s">
        <v>170</v>
      </c>
      <c r="D91" t="s">
        <v>168</v>
      </c>
      <c r="E91" t="s">
        <v>169</v>
      </c>
    </row>
    <row r="92" spans="1:5" ht="15">
      <c r="A92" s="1" t="s">
        <v>119</v>
      </c>
      <c r="B92" t="s">
        <v>270</v>
      </c>
      <c r="C92" s="1" t="s">
        <v>167</v>
      </c>
      <c r="D92" t="s">
        <v>120</v>
      </c>
      <c r="E92" t="s">
        <v>121</v>
      </c>
    </row>
    <row r="93" spans="1:4" ht="15">
      <c r="A93" s="1" t="s">
        <v>306</v>
      </c>
      <c r="B93" t="s">
        <v>271</v>
      </c>
      <c r="C93" s="1" t="s">
        <v>307</v>
      </c>
      <c r="D93" t="s">
        <v>72</v>
      </c>
    </row>
    <row r="94" spans="1:5" ht="15">
      <c r="A94" s="1" t="s">
        <v>234</v>
      </c>
      <c r="B94" t="s">
        <v>269</v>
      </c>
      <c r="C94" s="1" t="s">
        <v>238</v>
      </c>
      <c r="D94" t="s">
        <v>72</v>
      </c>
      <c r="E94" t="s">
        <v>241</v>
      </c>
    </row>
    <row r="95" spans="1:5" ht="15">
      <c r="A95" s="1" t="s">
        <v>15</v>
      </c>
      <c r="B95" t="s">
        <v>269</v>
      </c>
      <c r="C95" s="1" t="s">
        <v>16</v>
      </c>
      <c r="D95" t="s">
        <v>97</v>
      </c>
      <c r="E95" t="s">
        <v>98</v>
      </c>
    </row>
    <row r="96" spans="1:3" ht="15">
      <c r="A96" s="1" t="s">
        <v>234</v>
      </c>
      <c r="B96" t="s">
        <v>269</v>
      </c>
      <c r="C96" s="1" t="s">
        <v>394</v>
      </c>
    </row>
    <row r="97" spans="1:5" ht="15">
      <c r="A97" s="1" t="s">
        <v>17</v>
      </c>
      <c r="B97" t="s">
        <v>270</v>
      </c>
      <c r="C97" s="1" t="s">
        <v>18</v>
      </c>
      <c r="D97" s="5" t="s">
        <v>99</v>
      </c>
      <c r="E97" t="s">
        <v>100</v>
      </c>
    </row>
    <row r="98" spans="1:4" ht="15">
      <c r="A98" s="1" t="s">
        <v>216</v>
      </c>
      <c r="B98" t="s">
        <v>269</v>
      </c>
      <c r="C98" s="1" t="s">
        <v>217</v>
      </c>
      <c r="D98" s="5" t="s">
        <v>72</v>
      </c>
    </row>
    <row r="99" spans="1:4" ht="15.75">
      <c r="A99" s="1" t="s">
        <v>329</v>
      </c>
      <c r="B99" s="11" t="s">
        <v>269</v>
      </c>
      <c r="C99" s="1" t="s">
        <v>330</v>
      </c>
      <c r="D99" s="5" t="s">
        <v>72</v>
      </c>
    </row>
    <row r="100" spans="1:5" ht="15">
      <c r="A100" s="1" t="s">
        <v>19</v>
      </c>
      <c r="B100" t="s">
        <v>269</v>
      </c>
      <c r="C100" s="1" t="s">
        <v>20</v>
      </c>
      <c r="D100" t="s">
        <v>101</v>
      </c>
      <c r="E100" t="s">
        <v>102</v>
      </c>
    </row>
    <row r="101" spans="1:3" ht="15">
      <c r="A101" s="1" t="s">
        <v>396</v>
      </c>
      <c r="B101" t="s">
        <v>269</v>
      </c>
      <c r="C101" s="1" t="s">
        <v>395</v>
      </c>
    </row>
    <row r="102" spans="1:4" ht="15">
      <c r="A102" s="1" t="s">
        <v>159</v>
      </c>
      <c r="B102" t="s">
        <v>270</v>
      </c>
      <c r="C102" s="1" t="s">
        <v>236</v>
      </c>
      <c r="D102" t="s">
        <v>72</v>
      </c>
    </row>
    <row r="103" spans="1:5" ht="15">
      <c r="A103" s="1" t="s">
        <v>21</v>
      </c>
      <c r="B103" t="s">
        <v>269</v>
      </c>
      <c r="C103" s="1" t="s">
        <v>22</v>
      </c>
      <c r="D103" t="s">
        <v>103</v>
      </c>
      <c r="E103" t="s">
        <v>104</v>
      </c>
    </row>
    <row r="104" spans="1:5" ht="15">
      <c r="A104" s="1" t="s">
        <v>235</v>
      </c>
      <c r="B104" t="s">
        <v>269</v>
      </c>
      <c r="C104" s="1" t="s">
        <v>237</v>
      </c>
      <c r="D104" t="s">
        <v>72</v>
      </c>
      <c r="E104" t="s">
        <v>241</v>
      </c>
    </row>
    <row r="105" spans="1:5" ht="15">
      <c r="A105" s="1" t="s">
        <v>223</v>
      </c>
      <c r="B105" t="s">
        <v>269</v>
      </c>
      <c r="C105" s="1" t="s">
        <v>152</v>
      </c>
      <c r="D105" t="s">
        <v>72</v>
      </c>
      <c r="E105" t="s">
        <v>153</v>
      </c>
    </row>
    <row r="106" spans="1:5" ht="15">
      <c r="A106" s="1" t="s">
        <v>224</v>
      </c>
      <c r="B106" t="s">
        <v>269</v>
      </c>
      <c r="C106" s="1" t="s">
        <v>154</v>
      </c>
      <c r="D106" t="s">
        <v>72</v>
      </c>
      <c r="E106" t="s">
        <v>153</v>
      </c>
    </row>
    <row r="107" spans="1:4" ht="15">
      <c r="A107" s="1" t="s">
        <v>180</v>
      </c>
      <c r="B107" t="s">
        <v>269</v>
      </c>
      <c r="C107" s="1" t="s">
        <v>182</v>
      </c>
      <c r="D107" t="s">
        <v>72</v>
      </c>
    </row>
    <row r="108" spans="1:4" ht="15">
      <c r="A108" s="1" t="s">
        <v>181</v>
      </c>
      <c r="B108" t="s">
        <v>269</v>
      </c>
      <c r="C108" s="1" t="s">
        <v>183</v>
      </c>
      <c r="D108" t="s">
        <v>72</v>
      </c>
    </row>
    <row r="109" spans="1:4" ht="15">
      <c r="A109" s="1" t="s">
        <v>155</v>
      </c>
      <c r="B109" t="s">
        <v>269</v>
      </c>
      <c r="C109" s="1" t="s">
        <v>156</v>
      </c>
      <c r="D109" t="s">
        <v>72</v>
      </c>
    </row>
    <row r="110" spans="1:4" ht="15">
      <c r="A110" s="1" t="s">
        <v>242</v>
      </c>
      <c r="B110" t="s">
        <v>271</v>
      </c>
      <c r="C110" s="1" t="s">
        <v>243</v>
      </c>
      <c r="D110" t="s">
        <v>72</v>
      </c>
    </row>
    <row r="111" spans="1:5" ht="15">
      <c r="A111" s="1" t="s">
        <v>239</v>
      </c>
      <c r="B111" t="s">
        <v>271</v>
      </c>
      <c r="C111" s="1" t="s">
        <v>240</v>
      </c>
      <c r="D111" t="s">
        <v>72</v>
      </c>
      <c r="E111" t="s">
        <v>241</v>
      </c>
    </row>
    <row r="112" spans="1:4" ht="15">
      <c r="A112" s="1" t="s">
        <v>157</v>
      </c>
      <c r="B112" t="s">
        <v>269</v>
      </c>
      <c r="C112" s="1" t="s">
        <v>158</v>
      </c>
      <c r="D112" t="s">
        <v>72</v>
      </c>
    </row>
    <row r="113" spans="1:3" ht="15">
      <c r="A113" s="1" t="s">
        <v>397</v>
      </c>
      <c r="B113" t="s">
        <v>405</v>
      </c>
      <c r="C113" s="1" t="s">
        <v>402</v>
      </c>
    </row>
    <row r="114" spans="1:3" ht="15">
      <c r="A114" s="1" t="s">
        <v>398</v>
      </c>
      <c r="B114" t="s">
        <v>405</v>
      </c>
      <c r="C114" s="1" t="s">
        <v>403</v>
      </c>
    </row>
    <row r="115" spans="1:3" ht="15">
      <c r="A115" s="1" t="s">
        <v>399</v>
      </c>
      <c r="B115" t="s">
        <v>405</v>
      </c>
      <c r="C115" s="1" t="s">
        <v>404</v>
      </c>
    </row>
    <row r="116" spans="1:3" ht="15">
      <c r="A116" s="1" t="s">
        <v>400</v>
      </c>
      <c r="B116" t="s">
        <v>405</v>
      </c>
      <c r="C116" s="1" t="s">
        <v>404</v>
      </c>
    </row>
    <row r="117" spans="1:3" ht="15">
      <c r="A117" s="1" t="s">
        <v>401</v>
      </c>
      <c r="B117" t="s">
        <v>405</v>
      </c>
      <c r="C117" s="1" t="s">
        <v>404</v>
      </c>
    </row>
    <row r="118" spans="1:3" ht="15">
      <c r="A118" s="1" t="s">
        <v>430</v>
      </c>
      <c r="B118" t="s">
        <v>269</v>
      </c>
      <c r="C118" s="1" t="s">
        <v>431</v>
      </c>
    </row>
    <row r="119" spans="1:4" ht="15">
      <c r="A119" s="1" t="s">
        <v>138</v>
      </c>
      <c r="B119" t="s">
        <v>269</v>
      </c>
      <c r="C119" s="1" t="s">
        <v>139</v>
      </c>
      <c r="D119" t="s">
        <v>72</v>
      </c>
    </row>
    <row r="120" spans="1:4" ht="15">
      <c r="A120" s="1" t="s">
        <v>127</v>
      </c>
      <c r="B120" t="s">
        <v>269</v>
      </c>
      <c r="C120" s="1" t="s">
        <v>129</v>
      </c>
      <c r="D120" t="s">
        <v>72</v>
      </c>
    </row>
    <row r="121" spans="1:4" ht="15">
      <c r="A121" s="1" t="s">
        <v>283</v>
      </c>
      <c r="B121" t="s">
        <v>269</v>
      </c>
      <c r="C121" s="1" t="s">
        <v>284</v>
      </c>
      <c r="D121" t="s">
        <v>72</v>
      </c>
    </row>
    <row r="122" spans="1:4" ht="15">
      <c r="A122" s="1" t="s">
        <v>140</v>
      </c>
      <c r="B122" t="s">
        <v>269</v>
      </c>
      <c r="C122" s="1" t="s">
        <v>141</v>
      </c>
      <c r="D122" t="s">
        <v>72</v>
      </c>
    </row>
    <row r="123" spans="1:4" ht="15">
      <c r="A123" s="1" t="s">
        <v>201</v>
      </c>
      <c r="B123" t="s">
        <v>269</v>
      </c>
      <c r="C123" s="1" t="s">
        <v>202</v>
      </c>
      <c r="D123" t="s">
        <v>72</v>
      </c>
    </row>
    <row r="124" spans="1:4" ht="15">
      <c r="A124" s="1" t="s">
        <v>128</v>
      </c>
      <c r="B124" t="s">
        <v>269</v>
      </c>
      <c r="C124" s="1" t="s">
        <v>130</v>
      </c>
      <c r="D124" t="s">
        <v>72</v>
      </c>
    </row>
    <row r="125" spans="1:4" ht="15">
      <c r="A125" s="1" t="s">
        <v>324</v>
      </c>
      <c r="B125" t="s">
        <v>325</v>
      </c>
      <c r="C125" s="1" t="s">
        <v>326</v>
      </c>
      <c r="D125" t="s">
        <v>72</v>
      </c>
    </row>
    <row r="126" spans="1:5" ht="15">
      <c r="A126" s="1" t="s">
        <v>23</v>
      </c>
      <c r="B126" t="s">
        <v>269</v>
      </c>
      <c r="C126" s="1" t="s">
        <v>24</v>
      </c>
      <c r="D126" t="s">
        <v>105</v>
      </c>
      <c r="E126" t="s">
        <v>106</v>
      </c>
    </row>
    <row r="127" spans="1:5" ht="15">
      <c r="A127" s="1" t="s">
        <v>115</v>
      </c>
      <c r="B127" t="s">
        <v>271</v>
      </c>
      <c r="C127" s="1" t="s">
        <v>116</v>
      </c>
      <c r="D127" t="s">
        <v>117</v>
      </c>
      <c r="E127" t="s">
        <v>118</v>
      </c>
    </row>
    <row r="128" spans="1:4" ht="15">
      <c r="A128" s="1" t="s">
        <v>51</v>
      </c>
      <c r="B128" t="s">
        <v>269</v>
      </c>
      <c r="C128" s="1" t="s">
        <v>54</v>
      </c>
      <c r="D128" t="s">
        <v>72</v>
      </c>
    </row>
    <row r="129" spans="1:5" ht="15">
      <c r="A129" s="1" t="s">
        <v>25</v>
      </c>
      <c r="B129" t="s">
        <v>269</v>
      </c>
      <c r="C129" s="1" t="s">
        <v>26</v>
      </c>
      <c r="D129" t="s">
        <v>107</v>
      </c>
      <c r="E129" t="s">
        <v>108</v>
      </c>
    </row>
    <row r="130" spans="1:5" ht="15">
      <c r="A130" s="1" t="s">
        <v>48</v>
      </c>
      <c r="B130" t="s">
        <v>269</v>
      </c>
      <c r="C130" s="1" t="s">
        <v>49</v>
      </c>
      <c r="D130" t="s">
        <v>109</v>
      </c>
      <c r="E130" t="s">
        <v>110</v>
      </c>
    </row>
    <row r="131" spans="1:4" ht="15">
      <c r="A131" s="1" t="s">
        <v>52</v>
      </c>
      <c r="B131" t="s">
        <v>269</v>
      </c>
      <c r="C131" s="1" t="s">
        <v>55</v>
      </c>
      <c r="D131" t="s">
        <v>72</v>
      </c>
    </row>
    <row r="132" spans="1:5" ht="15">
      <c r="A132" s="1" t="s">
        <v>27</v>
      </c>
      <c r="B132" t="s">
        <v>269</v>
      </c>
      <c r="C132" s="1" t="s">
        <v>260</v>
      </c>
      <c r="D132" t="s">
        <v>111</v>
      </c>
      <c r="E132" t="s">
        <v>112</v>
      </c>
    </row>
    <row r="133" spans="1:4" ht="15">
      <c r="A133" s="1" t="s">
        <v>245</v>
      </c>
      <c r="B133" t="s">
        <v>269</v>
      </c>
      <c r="C133" s="1" t="s">
        <v>246</v>
      </c>
      <c r="D133" t="s">
        <v>247</v>
      </c>
    </row>
  </sheetData>
  <sheetProtection/>
  <printOptions/>
  <pageMargins left="0.7" right="0.7" top="0.75" bottom="0.75" header="0.3" footer="0.3"/>
  <pageSetup horizontalDpi="600" verticalDpi="600" orientation="landscape" scale="60" r:id="rId1"/>
  <headerFooter>
    <oddHeader>&amp;CLast Updated - 10.12.11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8"/>
  <sheetViews>
    <sheetView zoomScale="85" zoomScaleNormal="85" zoomScalePageLayoutView="0" workbookViewId="0" topLeftCell="A1">
      <pane ySplit="1" topLeftCell="A71" activePane="bottomLeft" state="frozen"/>
      <selection pane="topLeft" activeCell="A1" sqref="A1"/>
      <selection pane="bottomLeft" activeCell="A75" sqref="A75:IV75"/>
    </sheetView>
  </sheetViews>
  <sheetFormatPr defaultColWidth="9.140625" defaultRowHeight="15"/>
  <cols>
    <col min="1" max="1" width="16.57421875" style="0" customWidth="1"/>
    <col min="2" max="2" width="22.28125" style="0" customWidth="1"/>
  </cols>
  <sheetData>
    <row r="1" spans="1:5" s="4" customFormat="1" ht="15">
      <c r="A1" s="4" t="str">
        <f>"TREE_NAME"</f>
        <v>TREE_NAME</v>
      </c>
      <c r="B1" s="4" t="str">
        <f>"PARENT_NODE_NAME"</f>
        <v>PARENT_NODE_NAME</v>
      </c>
      <c r="C1" s="4" t="str">
        <f>"TREE_NODE"</f>
        <v>TREE_NODE</v>
      </c>
      <c r="E1" s="4" t="s">
        <v>205</v>
      </c>
    </row>
    <row r="2" spans="1:3" ht="15">
      <c r="A2" t="str">
        <f>"QUERY_TREE_CU"</f>
        <v>QUERY_TREE_CU</v>
      </c>
      <c r="B2" t="str">
        <f>" "</f>
        <v> </v>
      </c>
      <c r="C2" t="str">
        <f>"GENERAL TABLES"</f>
        <v>GENERAL TABLES</v>
      </c>
    </row>
    <row r="3" spans="1:5" ht="15">
      <c r="A3" t="s">
        <v>135</v>
      </c>
      <c r="B3" t="s">
        <v>123</v>
      </c>
      <c r="C3" t="s">
        <v>340</v>
      </c>
      <c r="E3" t="s">
        <v>342</v>
      </c>
    </row>
    <row r="4" spans="1:5" ht="15">
      <c r="A4" t="s">
        <v>135</v>
      </c>
      <c r="B4" t="s">
        <v>123</v>
      </c>
      <c r="C4" t="s">
        <v>341</v>
      </c>
      <c r="E4" t="s">
        <v>342</v>
      </c>
    </row>
    <row r="5" spans="1:3" ht="15">
      <c r="A5" t="s">
        <v>135</v>
      </c>
      <c r="B5" t="s">
        <v>123</v>
      </c>
      <c r="C5" t="s">
        <v>184</v>
      </c>
    </row>
    <row r="6" spans="1:3" ht="15">
      <c r="A6" t="str">
        <f>"QUERY_TREE_CU"</f>
        <v>QUERY_TREE_CU</v>
      </c>
      <c r="B6" t="str">
        <f>"GENERAL TABLES"</f>
        <v>GENERAL TABLES</v>
      </c>
      <c r="C6" t="str">
        <f>"AUDIT_LIFE_CU"</f>
        <v>AUDIT_LIFE_CU</v>
      </c>
    </row>
    <row r="7" spans="1:3" ht="15">
      <c r="A7" t="s">
        <v>135</v>
      </c>
      <c r="B7" t="s">
        <v>123</v>
      </c>
      <c r="C7" t="s">
        <v>176</v>
      </c>
    </row>
    <row r="8" spans="1:3" ht="15">
      <c r="A8" t="s">
        <v>135</v>
      </c>
      <c r="B8" t="s">
        <v>123</v>
      </c>
      <c r="C8" t="s">
        <v>175</v>
      </c>
    </row>
    <row r="9" spans="1:3" ht="15">
      <c r="A9" t="s">
        <v>135</v>
      </c>
      <c r="B9" t="s">
        <v>123</v>
      </c>
      <c r="C9" t="s">
        <v>343</v>
      </c>
    </row>
    <row r="10" spans="1:5" ht="15">
      <c r="A10" t="s">
        <v>135</v>
      </c>
      <c r="B10" t="s">
        <v>123</v>
      </c>
      <c r="C10" t="s">
        <v>344</v>
      </c>
      <c r="E10" t="s">
        <v>342</v>
      </c>
    </row>
    <row r="11" spans="1:3" ht="15">
      <c r="A11" t="s">
        <v>135</v>
      </c>
      <c r="B11" t="s">
        <v>123</v>
      </c>
      <c r="C11" t="s">
        <v>142</v>
      </c>
    </row>
    <row r="12" spans="1:3" ht="15">
      <c r="A12" t="s">
        <v>135</v>
      </c>
      <c r="B12" t="s">
        <v>123</v>
      </c>
      <c r="C12" t="s">
        <v>174</v>
      </c>
    </row>
    <row r="13" spans="1:5" ht="15">
      <c r="A13" t="s">
        <v>135</v>
      </c>
      <c r="B13" t="s">
        <v>123</v>
      </c>
      <c r="C13" t="s">
        <v>338</v>
      </c>
      <c r="E13" t="s">
        <v>339</v>
      </c>
    </row>
    <row r="14" spans="1:5" ht="15">
      <c r="A14" t="s">
        <v>135</v>
      </c>
      <c r="B14" t="s">
        <v>123</v>
      </c>
      <c r="C14" t="s">
        <v>278</v>
      </c>
      <c r="E14" t="s">
        <v>279</v>
      </c>
    </row>
    <row r="15" spans="1:3" ht="15">
      <c r="A15" t="str">
        <f>"QUERY_TREE_CU"</f>
        <v>QUERY_TREE_CU</v>
      </c>
      <c r="B15" t="str">
        <f>"GENERAL TABLES"</f>
        <v>GENERAL TABLES</v>
      </c>
      <c r="C15" t="str">
        <f>"DEDUCTION_BAL"</f>
        <v>DEDUCTION_BAL</v>
      </c>
    </row>
    <row r="16" spans="1:3" ht="15">
      <c r="A16" t="str">
        <f>"QUERY_TREE_CU"</f>
        <v>QUERY_TREE_CU</v>
      </c>
      <c r="B16" t="str">
        <f>"GENERAL TABLES"</f>
        <v>GENERAL TABLES</v>
      </c>
      <c r="C16" t="str">
        <f>"DEPENDENT_BENEF"</f>
        <v>DEPENDENT_BENEF</v>
      </c>
    </row>
    <row r="17" spans="1:3" ht="15">
      <c r="A17" t="str">
        <f>"QUERY_TREE_CU"</f>
        <v>QUERY_TREE_CU</v>
      </c>
      <c r="B17" t="str">
        <f>"GENERAL TABLES"</f>
        <v>GENERAL TABLES</v>
      </c>
      <c r="C17" t="str">
        <f>"DEP_BEN_ADDL_CU"</f>
        <v>DEP_BEN_ADDL_CU</v>
      </c>
    </row>
    <row r="18" spans="1:3" ht="15">
      <c r="A18" t="s">
        <v>135</v>
      </c>
      <c r="B18" t="s">
        <v>123</v>
      </c>
      <c r="C18" t="s">
        <v>144</v>
      </c>
    </row>
    <row r="19" spans="1:3" ht="15">
      <c r="A19" t="s">
        <v>135</v>
      </c>
      <c r="B19" t="s">
        <v>123</v>
      </c>
      <c r="C19" t="s">
        <v>143</v>
      </c>
    </row>
    <row r="20" spans="1:5" ht="15">
      <c r="A20" t="s">
        <v>135</v>
      </c>
      <c r="B20" t="str">
        <f>"GENERAL TABLES"</f>
        <v>GENERAL TABLES</v>
      </c>
      <c r="C20" t="s">
        <v>255</v>
      </c>
      <c r="E20" t="s">
        <v>256</v>
      </c>
    </row>
    <row r="21" spans="1:3" ht="15">
      <c r="A21" t="str">
        <f>"QUERY_TREE_CU"</f>
        <v>QUERY_TREE_CU</v>
      </c>
      <c r="B21" t="str">
        <f>"GENERAL TABLES"</f>
        <v>GENERAL TABLES</v>
      </c>
      <c r="C21" t="str">
        <f>"DSUSRPRFLMAP"</f>
        <v>DSUSRPRFLMAP</v>
      </c>
    </row>
    <row r="22" spans="1:3" ht="15">
      <c r="A22" t="str">
        <f>"QUERY_TREE_CU"</f>
        <v>QUERY_TREE_CU</v>
      </c>
      <c r="B22" t="str">
        <f>"GENERAL TABLES"</f>
        <v>GENERAL TABLES</v>
      </c>
      <c r="C22" t="str">
        <f>"EARNINGS_BAL"</f>
        <v>EARNINGS_BAL</v>
      </c>
    </row>
    <row r="23" spans="1:3" ht="15">
      <c r="A23" t="str">
        <f>"QUERY_TREE_CU"</f>
        <v>QUERY_TREE_CU</v>
      </c>
      <c r="B23" t="str">
        <f>"GENERAL TABLES"</f>
        <v>GENERAL TABLES</v>
      </c>
      <c r="C23" t="str">
        <f>"EMPLMT_SRCH_GBL"</f>
        <v>EMPLMT_SRCH_GBL</v>
      </c>
    </row>
    <row r="24" spans="1:3" ht="15">
      <c r="A24" t="str">
        <f>"QUERY_TREE_CU"</f>
        <v>QUERY_TREE_CU</v>
      </c>
      <c r="B24" t="str">
        <f>"GENERAL TABLES"</f>
        <v>GENERAL TABLES</v>
      </c>
      <c r="C24" t="str">
        <f>"FED_TAX_AUD_CU"</f>
        <v>FED_TAX_AUD_CU</v>
      </c>
    </row>
    <row r="25" spans="1:3" ht="15">
      <c r="A25" t="s">
        <v>135</v>
      </c>
      <c r="B25" t="s">
        <v>123</v>
      </c>
      <c r="C25" t="s">
        <v>345</v>
      </c>
    </row>
    <row r="26" spans="1:3" ht="15">
      <c r="A26" t="str">
        <f>"QUERY_TREE_CU"</f>
        <v>QUERY_TREE_CU</v>
      </c>
      <c r="B26" t="str">
        <f>"GENERAL TABLES"</f>
        <v>GENERAL TABLES</v>
      </c>
      <c r="C26" t="str">
        <f>"GENL_DEDUCTION"</f>
        <v>GENL_DEDUCTION</v>
      </c>
    </row>
    <row r="27" spans="1:3" ht="15">
      <c r="A27" t="str">
        <f>"QUERY_TREE_CU"</f>
        <v>QUERY_TREE_CU</v>
      </c>
      <c r="B27" t="str">
        <f>"GENERAL TABLES"</f>
        <v>GENERAL TABLES</v>
      </c>
      <c r="C27" t="str">
        <f>"GENL_DED_CD"</f>
        <v>GENL_DED_CD</v>
      </c>
    </row>
    <row r="28" spans="1:3" ht="15">
      <c r="A28" t="str">
        <f>"QUERY_TREE_CU"</f>
        <v>QUERY_TREE_CU</v>
      </c>
      <c r="B28" t="str">
        <f>"GENERAL TABLES"</f>
        <v>GENERAL TABLES</v>
      </c>
      <c r="C28" t="str">
        <f>"HEALTH_BENEFIT"</f>
        <v>HEALTH_BENEFIT</v>
      </c>
    </row>
    <row r="29" spans="1:3" ht="15">
      <c r="A29" t="s">
        <v>135</v>
      </c>
      <c r="B29" t="s">
        <v>123</v>
      </c>
      <c r="C29" t="s">
        <v>136</v>
      </c>
    </row>
    <row r="30" spans="1:3" ht="15">
      <c r="A30" t="str">
        <f aca="true" t="shared" si="0" ref="A30:A46">"QUERY_TREE_CU"</f>
        <v>QUERY_TREE_CU</v>
      </c>
      <c r="B30" t="str">
        <f aca="true" t="shared" si="1" ref="B30:B74">"GENERAL TABLES"</f>
        <v>GENERAL TABLES</v>
      </c>
      <c r="C30" t="str">
        <f>"JOB"</f>
        <v>JOB</v>
      </c>
    </row>
    <row r="31" spans="1:3" ht="15">
      <c r="A31" t="str">
        <f t="shared" si="0"/>
        <v>QUERY_TREE_CU</v>
      </c>
      <c r="B31" t="str">
        <f t="shared" si="1"/>
        <v>GENERAL TABLES</v>
      </c>
      <c r="C31" t="str">
        <f>"JOB_APPROVED_CU"</f>
        <v>JOB_APPROVED_CU</v>
      </c>
    </row>
    <row r="32" spans="1:3" ht="15">
      <c r="A32" t="str">
        <f t="shared" si="0"/>
        <v>QUERY_TREE_CU</v>
      </c>
      <c r="B32" t="str">
        <f t="shared" si="1"/>
        <v>GENERAL TABLES</v>
      </c>
      <c r="C32" t="str">
        <f>"JOB_APPROVE_CU"</f>
        <v>JOB_APPROVE_CU</v>
      </c>
    </row>
    <row r="33" spans="1:5" ht="15">
      <c r="A33" t="str">
        <f t="shared" si="0"/>
        <v>QUERY_TREE_CU</v>
      </c>
      <c r="B33" t="str">
        <f t="shared" si="1"/>
        <v>GENERAL TABLES</v>
      </c>
      <c r="C33" t="s">
        <v>346</v>
      </c>
      <c r="E33" t="s">
        <v>342</v>
      </c>
    </row>
    <row r="34" spans="1:3" ht="15">
      <c r="A34" t="str">
        <f t="shared" si="0"/>
        <v>QUERY_TREE_CU</v>
      </c>
      <c r="B34" t="str">
        <f t="shared" si="1"/>
        <v>GENERAL TABLES</v>
      </c>
      <c r="C34" t="str">
        <f>"JOB_WLST_CU_WL"</f>
        <v>JOB_WLST_CU_WL</v>
      </c>
    </row>
    <row r="35" spans="1:3" ht="15">
      <c r="A35" t="str">
        <f t="shared" si="0"/>
        <v>QUERY_TREE_CU</v>
      </c>
      <c r="B35" t="str">
        <f t="shared" si="1"/>
        <v>GENERAL TABLES</v>
      </c>
      <c r="C35" t="str">
        <f>"MC_OPRID"</f>
        <v>MC_OPRID</v>
      </c>
    </row>
    <row r="36" spans="1:3" ht="15">
      <c r="A36" t="str">
        <f t="shared" si="0"/>
        <v>QUERY_TREE_CU</v>
      </c>
      <c r="B36" t="str">
        <f t="shared" si="1"/>
        <v>GENERAL TABLES</v>
      </c>
      <c r="C36" t="str">
        <f>"MC_OPR_SECURITY"</f>
        <v>MC_OPR_SECURITY</v>
      </c>
    </row>
    <row r="37" spans="1:3" ht="15">
      <c r="A37" t="str">
        <f t="shared" si="0"/>
        <v>QUERY_TREE_CU</v>
      </c>
      <c r="B37" t="str">
        <f t="shared" si="1"/>
        <v>GENERAL TABLES</v>
      </c>
      <c r="C37" t="str">
        <f>"ONE_TIME_DED_CU"</f>
        <v>ONE_TIME_DED_CU</v>
      </c>
    </row>
    <row r="38" spans="1:3" ht="15">
      <c r="A38" t="str">
        <f t="shared" si="0"/>
        <v>QUERY_TREE_CU</v>
      </c>
      <c r="B38" t="str">
        <f t="shared" si="1"/>
        <v>GENERAL TABLES</v>
      </c>
      <c r="C38" t="str">
        <f>"ONE_TIME_TAX_CU"</f>
        <v>ONE_TIME_TAX_CU</v>
      </c>
    </row>
    <row r="39" spans="1:3" ht="15">
      <c r="A39" t="str">
        <f t="shared" si="0"/>
        <v>QUERY_TREE_CU</v>
      </c>
      <c r="B39" t="str">
        <f t="shared" si="1"/>
        <v>GENERAL TABLES</v>
      </c>
      <c r="C39" t="str">
        <f>"PAYROLL_DATA"</f>
        <v>PAYROLL_DATA</v>
      </c>
    </row>
    <row r="40" spans="1:5" ht="15">
      <c r="A40" t="str">
        <f t="shared" si="0"/>
        <v>QUERY_TREE_CU</v>
      </c>
      <c r="B40" t="str">
        <f t="shared" si="1"/>
        <v>GENERAL TABLES</v>
      </c>
      <c r="C40" t="s">
        <v>347</v>
      </c>
      <c r="E40" t="s">
        <v>342</v>
      </c>
    </row>
    <row r="41" spans="1:3" ht="15">
      <c r="A41" t="str">
        <f t="shared" si="0"/>
        <v>QUERY_TREE_CU</v>
      </c>
      <c r="B41" t="str">
        <f t="shared" si="1"/>
        <v>GENERAL TABLES</v>
      </c>
      <c r="C41" t="str">
        <f>"PBS_ONBASE_CU"</f>
        <v>PBS_ONBASE_CU</v>
      </c>
    </row>
    <row r="42" spans="1:5" ht="15">
      <c r="A42" t="s">
        <v>135</v>
      </c>
      <c r="B42" t="s">
        <v>123</v>
      </c>
      <c r="C42" t="s">
        <v>327</v>
      </c>
      <c r="E42" t="s">
        <v>328</v>
      </c>
    </row>
    <row r="43" spans="1:3" ht="15">
      <c r="A43" t="str">
        <f t="shared" si="0"/>
        <v>QUERY_TREE_CU</v>
      </c>
      <c r="B43" t="str">
        <f t="shared" si="1"/>
        <v>GENERAL TABLES</v>
      </c>
      <c r="C43" t="str">
        <f>"PERSONAL_VW"</f>
        <v>PERSONAL_VW</v>
      </c>
    </row>
    <row r="44" spans="1:3" ht="15">
      <c r="A44" t="str">
        <f t="shared" si="0"/>
        <v>QUERY_TREE_CU</v>
      </c>
      <c r="B44" t="str">
        <f t="shared" si="1"/>
        <v>GENERAL TABLES</v>
      </c>
      <c r="C44" t="str">
        <f>"PERSONNEL"</f>
        <v>PERSONNEL</v>
      </c>
    </row>
    <row r="45" spans="1:3" ht="15">
      <c r="A45" t="str">
        <f t="shared" si="0"/>
        <v>QUERY_TREE_CU</v>
      </c>
      <c r="B45" t="str">
        <f t="shared" si="1"/>
        <v>GENERAL TABLES</v>
      </c>
      <c r="C45" t="str">
        <f>"PERSONNEL_HIST"</f>
        <v>PERSONNEL_HIST</v>
      </c>
    </row>
    <row r="46" spans="1:3" ht="15">
      <c r="A46" t="str">
        <f t="shared" si="0"/>
        <v>QUERY_TREE_CU</v>
      </c>
      <c r="B46" t="str">
        <f t="shared" si="1"/>
        <v>GENERAL TABLES</v>
      </c>
      <c r="C46" t="str">
        <f>"PERSON_ADDR_HOM"</f>
        <v>PERSON_ADDR_HOM</v>
      </c>
    </row>
    <row r="47" spans="1:3" ht="15">
      <c r="A47" t="s">
        <v>135</v>
      </c>
      <c r="B47" t="str">
        <f t="shared" si="1"/>
        <v>GENERAL TABLES</v>
      </c>
      <c r="C47" t="str">
        <f>"PERS_NID"</f>
        <v>PERS_NID</v>
      </c>
    </row>
    <row r="48" spans="1:3" ht="15">
      <c r="A48" t="str">
        <f aca="true" t="shared" si="2" ref="A48:A74">"QUERY_TREE_CU"</f>
        <v>QUERY_TREE_CU</v>
      </c>
      <c r="B48" t="str">
        <f t="shared" si="1"/>
        <v>GENERAL TABLES</v>
      </c>
      <c r="C48" t="str">
        <f>"PERS_SRCH_GBL"</f>
        <v>PERS_SRCH_GBL</v>
      </c>
    </row>
    <row r="49" spans="1:3" ht="15">
      <c r="A49" t="str">
        <f t="shared" si="2"/>
        <v>QUERY_TREE_CU</v>
      </c>
      <c r="B49" t="str">
        <f t="shared" si="1"/>
        <v>GENERAL TABLES</v>
      </c>
      <c r="C49" t="str">
        <f>"PER_ORG_ASG_HP"</f>
        <v>PER_ORG_ASG_HP</v>
      </c>
    </row>
    <row r="50" spans="1:3" ht="15">
      <c r="A50" t="str">
        <f t="shared" si="2"/>
        <v>QUERY_TREE_CU</v>
      </c>
      <c r="B50" t="str">
        <f t="shared" si="1"/>
        <v>GENERAL TABLES</v>
      </c>
      <c r="C50" t="str">
        <f>"PER_ORG_VW_CU"</f>
        <v>PER_ORG_VW_CU</v>
      </c>
    </row>
    <row r="51" spans="1:3" ht="15">
      <c r="A51" t="str">
        <f t="shared" si="2"/>
        <v>QUERY_TREE_CU</v>
      </c>
      <c r="B51" t="str">
        <f t="shared" si="1"/>
        <v>GENERAL TABLES</v>
      </c>
      <c r="C51" t="str">
        <f>"PORTAL_FLDRP"</f>
        <v>PORTAL_FLDRP</v>
      </c>
    </row>
    <row r="52" spans="1:3" ht="15">
      <c r="A52" t="str">
        <f t="shared" si="2"/>
        <v>QUERY_TREE_CU</v>
      </c>
      <c r="B52" t="str">
        <f t="shared" si="1"/>
        <v>GENERAL TABLES</v>
      </c>
      <c r="C52" t="str">
        <f>"PORTAL_NAME_VW"</f>
        <v>PORTAL_NAME_VW</v>
      </c>
    </row>
    <row r="53" spans="1:3" ht="15">
      <c r="A53" t="str">
        <f t="shared" si="2"/>
        <v>QUERY_TREE_CU</v>
      </c>
      <c r="B53" t="str">
        <f t="shared" si="1"/>
        <v>GENERAL TABLES</v>
      </c>
      <c r="C53" t="str">
        <f>"PORTAL_OBJECTS"</f>
        <v>PORTAL_OBJECTS</v>
      </c>
    </row>
    <row r="54" spans="1:3" ht="15">
      <c r="A54" t="str">
        <f t="shared" si="2"/>
        <v>QUERY_TREE_CU</v>
      </c>
      <c r="B54" t="str">
        <f t="shared" si="1"/>
        <v>GENERAL TABLES</v>
      </c>
      <c r="C54" t="str">
        <f>"POSN_WLST_CU_WL"</f>
        <v>POSN_WLST_CU_WL</v>
      </c>
    </row>
    <row r="55" spans="1:5" ht="15">
      <c r="A55" t="s">
        <v>135</v>
      </c>
      <c r="B55" t="s">
        <v>123</v>
      </c>
      <c r="C55" t="s">
        <v>280</v>
      </c>
      <c r="E55" t="s">
        <v>279</v>
      </c>
    </row>
    <row r="56" spans="1:3" ht="15">
      <c r="A56" t="str">
        <f t="shared" si="2"/>
        <v>QUERY_TREE_CU</v>
      </c>
      <c r="B56" t="str">
        <f t="shared" si="1"/>
        <v>GENERAL TABLES</v>
      </c>
      <c r="C56" t="str">
        <f>"PSAUTHMP"</f>
        <v>PSAUTHMP</v>
      </c>
    </row>
    <row r="57" spans="1:3" ht="15">
      <c r="A57" t="str">
        <f t="shared" si="2"/>
        <v>QUERY_TREE_CU</v>
      </c>
      <c r="B57" t="str">
        <f t="shared" si="1"/>
        <v>GENERAL TABLES</v>
      </c>
      <c r="C57" t="str">
        <f>"PSAUTHOPTN"</f>
        <v>PSAUTHOPTN</v>
      </c>
    </row>
    <row r="58" spans="1:3" ht="15">
      <c r="A58" t="str">
        <f t="shared" si="2"/>
        <v>QUERY_TREE_CU</v>
      </c>
      <c r="B58" t="str">
        <f t="shared" si="1"/>
        <v>GENERAL TABLES</v>
      </c>
      <c r="C58" t="str">
        <f>"PSBCDEFN_VW"</f>
        <v>PSBCDEFN_VW</v>
      </c>
    </row>
    <row r="59" spans="1:3" ht="15">
      <c r="A59" t="str">
        <f t="shared" si="2"/>
        <v>QUERY_TREE_CU</v>
      </c>
      <c r="B59" t="str">
        <f t="shared" si="1"/>
        <v>GENERAL TABLES</v>
      </c>
      <c r="C59" t="str">
        <f>"PSBCDEL"</f>
        <v>PSBCDEL</v>
      </c>
    </row>
    <row r="60" spans="1:3" ht="15">
      <c r="A60" t="str">
        <f t="shared" si="2"/>
        <v>QUERY_TREE_CU</v>
      </c>
      <c r="B60" t="str">
        <f t="shared" si="1"/>
        <v>GENERAL TABLES</v>
      </c>
      <c r="C60" t="str">
        <f>"PSBCITEM"</f>
        <v>PSBCITEM</v>
      </c>
    </row>
    <row r="61" spans="1:3" ht="15">
      <c r="A61" t="str">
        <f t="shared" si="2"/>
        <v>QUERY_TREE_CU</v>
      </c>
      <c r="B61" t="str">
        <f t="shared" si="1"/>
        <v>GENERAL TABLES</v>
      </c>
      <c r="C61" t="str">
        <f>"PSCIREF"</f>
        <v>PSCIREF</v>
      </c>
    </row>
    <row r="62" spans="1:3" ht="15">
      <c r="A62" t="str">
        <f t="shared" si="2"/>
        <v>QUERY_TREE_CU</v>
      </c>
      <c r="B62" t="str">
        <f t="shared" si="1"/>
        <v>GENERAL TABLES</v>
      </c>
      <c r="C62" t="str">
        <f>"PSCIWBSRVSVW"</f>
        <v>PSCIWBSRVSVW</v>
      </c>
    </row>
    <row r="63" spans="1:3" ht="15">
      <c r="A63" t="str">
        <f t="shared" si="2"/>
        <v>QUERY_TREE_CU</v>
      </c>
      <c r="B63" t="str">
        <f t="shared" si="1"/>
        <v>GENERAL TABLES</v>
      </c>
      <c r="C63" t="str">
        <f>"PSCLASSDEL"</f>
        <v>PSCLASSDEL</v>
      </c>
    </row>
    <row r="64" spans="1:3" ht="15">
      <c r="A64" t="str">
        <f t="shared" si="2"/>
        <v>QUERY_TREE_CU</v>
      </c>
      <c r="B64" t="str">
        <f t="shared" si="1"/>
        <v>GENERAL TABLES</v>
      </c>
      <c r="C64" t="str">
        <f>"PSOPRALS_VW_CU"</f>
        <v>PSOPRALS_VW_CU</v>
      </c>
    </row>
    <row r="65" spans="1:3" ht="15">
      <c r="A65" t="str">
        <f t="shared" si="2"/>
        <v>QUERY_TREE_CU</v>
      </c>
      <c r="B65" t="str">
        <f t="shared" si="1"/>
        <v>GENERAL TABLES</v>
      </c>
      <c r="C65" t="str">
        <f>"PSPRSMCREF_VW"</f>
        <v>PSPRSMCREF_VW</v>
      </c>
    </row>
    <row r="66" spans="1:3" ht="15">
      <c r="A66" t="str">
        <f t="shared" si="2"/>
        <v>QUERY_TREE_CU</v>
      </c>
      <c r="B66" t="str">
        <f t="shared" si="1"/>
        <v>GENERAL TABLES</v>
      </c>
      <c r="C66" t="str">
        <f>"PSPRUFDEFN"</f>
        <v>PSPRUFDEFN</v>
      </c>
    </row>
    <row r="67" spans="1:3" ht="15">
      <c r="A67" t="str">
        <f t="shared" si="2"/>
        <v>QUERY_TREE_CU</v>
      </c>
      <c r="B67" t="str">
        <f t="shared" si="1"/>
        <v>GENERAL TABLES</v>
      </c>
      <c r="C67" t="str">
        <f>"PSPRUFDFN_VW_CU"</f>
        <v>PSPRUFDFN_VW_CU</v>
      </c>
    </row>
    <row r="68" spans="1:3" ht="15">
      <c r="A68" t="str">
        <f t="shared" si="2"/>
        <v>QUERY_TREE_CU</v>
      </c>
      <c r="B68" t="str">
        <f t="shared" si="1"/>
        <v>GENERAL TABLES</v>
      </c>
      <c r="C68" t="str">
        <f>"PSQRYACCLSTRECS"</f>
        <v>PSQRYACCLSTRECS</v>
      </c>
    </row>
    <row r="69" spans="1:3" ht="15">
      <c r="A69" t="str">
        <f t="shared" si="2"/>
        <v>QUERY_TREE_CU</v>
      </c>
      <c r="B69" t="str">
        <f t="shared" si="1"/>
        <v>GENERAL TABLES</v>
      </c>
      <c r="C69" t="str">
        <f>"PTLT_PORTALLVW"</f>
        <v>PTLT_PORTALLVW</v>
      </c>
    </row>
    <row r="70" spans="1:5" ht="15">
      <c r="A70" t="str">
        <f t="shared" si="2"/>
        <v>QUERY_TREE_CU</v>
      </c>
      <c r="B70" t="str">
        <f t="shared" si="1"/>
        <v>GENERAL TABLES</v>
      </c>
      <c r="C70" t="s">
        <v>348</v>
      </c>
      <c r="E70" t="s">
        <v>342</v>
      </c>
    </row>
    <row r="71" spans="1:5" ht="15">
      <c r="A71" t="str">
        <f t="shared" si="2"/>
        <v>QUERY_TREE_CU</v>
      </c>
      <c r="B71" t="str">
        <f t="shared" si="1"/>
        <v>GENERAL TABLES</v>
      </c>
      <c r="C71" t="s">
        <v>349</v>
      </c>
      <c r="E71" t="s">
        <v>342</v>
      </c>
    </row>
    <row r="72" spans="1:3" ht="15">
      <c r="A72" t="s">
        <v>135</v>
      </c>
      <c r="B72" t="s">
        <v>123</v>
      </c>
      <c r="C72" s="8" t="s">
        <v>336</v>
      </c>
    </row>
    <row r="73" spans="1:3" ht="15">
      <c r="A73" t="s">
        <v>135</v>
      </c>
      <c r="B73" t="s">
        <v>123</v>
      </c>
      <c r="C73" s="8" t="s">
        <v>337</v>
      </c>
    </row>
    <row r="74" spans="1:3" ht="15">
      <c r="A74" t="str">
        <f t="shared" si="2"/>
        <v>QUERY_TREE_CU</v>
      </c>
      <c r="B74" t="str">
        <f t="shared" si="1"/>
        <v>GENERAL TABLES</v>
      </c>
      <c r="C74" t="str">
        <f>"RTRMNT_PLAN"</f>
        <v>RTRMNT_PLAN</v>
      </c>
    </row>
    <row r="75" spans="1:3" ht="15">
      <c r="A75" t="s">
        <v>135</v>
      </c>
      <c r="B75" t="s">
        <v>123</v>
      </c>
      <c r="C75" t="str">
        <f>"SAVINGS_PLAN"</f>
        <v>SAVINGS_PLAN</v>
      </c>
    </row>
    <row r="76" spans="1:5" ht="15">
      <c r="A76" t="str">
        <f aca="true" t="shared" si="3" ref="A76:A87">"QUERY_TREE_CU"</f>
        <v>QUERY_TREE_CU</v>
      </c>
      <c r="B76" t="str">
        <f aca="true" t="shared" si="4" ref="B76:B87">"GENERAL TABLES"</f>
        <v>GENERAL TABLES</v>
      </c>
      <c r="C76" s="7" t="s">
        <v>320</v>
      </c>
      <c r="E76" t="s">
        <v>342</v>
      </c>
    </row>
    <row r="77" spans="1:3" ht="15">
      <c r="A77" t="str">
        <f t="shared" si="3"/>
        <v>QUERY_TREE_CU</v>
      </c>
      <c r="B77" t="str">
        <f t="shared" si="4"/>
        <v>GENERAL TABLES</v>
      </c>
      <c r="C77" s="7" t="s">
        <v>172</v>
      </c>
    </row>
    <row r="78" spans="1:3" ht="15">
      <c r="A78" t="str">
        <f t="shared" si="3"/>
        <v>QUERY_TREE_CU</v>
      </c>
      <c r="B78" t="str">
        <f t="shared" si="4"/>
        <v>GENERAL TABLES</v>
      </c>
      <c r="C78" t="str">
        <f>"STATE_TAX_DATA"</f>
        <v>STATE_TAX_DATA</v>
      </c>
    </row>
    <row r="79" spans="1:3" ht="15">
      <c r="A79" t="str">
        <f t="shared" si="3"/>
        <v>QUERY_TREE_CU</v>
      </c>
      <c r="B79" t="str">
        <f t="shared" si="4"/>
        <v>GENERAL TABLES</v>
      </c>
      <c r="C79" t="str">
        <f>"TAX_BALANCE"</f>
        <v>TAX_BALANCE</v>
      </c>
    </row>
    <row r="80" spans="1:3" ht="15">
      <c r="A80" t="str">
        <f t="shared" si="3"/>
        <v>QUERY_TREE_CU</v>
      </c>
      <c r="B80" t="str">
        <f t="shared" si="4"/>
        <v>GENERAL TABLES</v>
      </c>
      <c r="C80" t="str">
        <f>"TE_1T_LST_CU_WL"</f>
        <v>TE_1T_LST_CU_WL</v>
      </c>
    </row>
    <row r="81" spans="1:3" ht="15">
      <c r="A81" t="str">
        <f t="shared" si="3"/>
        <v>QUERY_TREE_CU</v>
      </c>
      <c r="B81" t="str">
        <f t="shared" si="4"/>
        <v>GENERAL TABLES</v>
      </c>
      <c r="C81" t="str">
        <f>"TE_1T_LST_CU_WL"</f>
        <v>TE_1T_LST_CU_WL</v>
      </c>
    </row>
    <row r="82" spans="1:5" ht="15">
      <c r="A82" t="str">
        <f t="shared" si="3"/>
        <v>QUERY_TREE_CU</v>
      </c>
      <c r="B82" t="str">
        <f t="shared" si="4"/>
        <v>GENERAL TABLES</v>
      </c>
      <c r="C82" t="str">
        <f>"TE_DATA_AUDT_CU"</f>
        <v>TE_DATA_AUDT_CU</v>
      </c>
      <c r="E82" t="s">
        <v>414</v>
      </c>
    </row>
    <row r="83" spans="1:3" ht="15">
      <c r="A83" t="str">
        <f t="shared" si="3"/>
        <v>QUERY_TREE_CU</v>
      </c>
      <c r="B83" t="str">
        <f t="shared" si="4"/>
        <v>GENERAL TABLES</v>
      </c>
      <c r="C83" t="str">
        <f>"TRANSFER_HDR_CU"</f>
        <v>TRANSFER_HDR_CU</v>
      </c>
    </row>
    <row r="84" spans="1:3" ht="15">
      <c r="A84" t="str">
        <f t="shared" si="3"/>
        <v>QUERY_TREE_CU</v>
      </c>
      <c r="B84" t="str">
        <f t="shared" si="4"/>
        <v>GENERAL TABLES</v>
      </c>
      <c r="C84" t="str">
        <f>"TRAN_DET_DED_CU"</f>
        <v>TRAN_DET_DED_CU</v>
      </c>
    </row>
    <row r="85" spans="1:3" ht="15">
      <c r="A85" t="str">
        <f t="shared" si="3"/>
        <v>QUERY_TREE_CU</v>
      </c>
      <c r="B85" t="str">
        <f t="shared" si="4"/>
        <v>GENERAL TABLES</v>
      </c>
      <c r="C85" t="str">
        <f>"TRAN_DET_ERN_CU"</f>
        <v>TRAN_DET_ERN_CU</v>
      </c>
    </row>
    <row r="86" spans="1:3" ht="15">
      <c r="A86" t="str">
        <f t="shared" si="3"/>
        <v>QUERY_TREE_CU</v>
      </c>
      <c r="B86" t="str">
        <f t="shared" si="4"/>
        <v>GENERAL TABLES</v>
      </c>
      <c r="C86" t="str">
        <f>"TRAN_DET_TAX_CU"</f>
        <v>TRAN_DET_TAX_CU</v>
      </c>
    </row>
    <row r="87" spans="1:3" ht="15">
      <c r="A87" t="str">
        <f t="shared" si="3"/>
        <v>QUERY_TREE_CU</v>
      </c>
      <c r="B87" t="str">
        <f t="shared" si="4"/>
        <v>GENERAL TABLES</v>
      </c>
      <c r="C87" t="str">
        <f>"VISA_PMT_DATA"</f>
        <v>VISA_PMT_DATA</v>
      </c>
    </row>
    <row r="88" spans="1:3" ht="15">
      <c r="A88" t="s">
        <v>135</v>
      </c>
      <c r="B88" t="s">
        <v>123</v>
      </c>
      <c r="C88" t="s">
        <v>185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pane ySplit="1" topLeftCell="A2" activePane="bottomLeft" state="frozen"/>
      <selection pane="topLeft" activeCell="B1" sqref="B1"/>
      <selection pane="bottomLeft" activeCell="C19" sqref="C19"/>
    </sheetView>
  </sheetViews>
  <sheetFormatPr defaultColWidth="9.140625" defaultRowHeight="15"/>
  <cols>
    <col min="1" max="1" width="21.28125" style="0" customWidth="1"/>
    <col min="2" max="2" width="22.7109375" style="0" customWidth="1"/>
  </cols>
  <sheetData>
    <row r="1" spans="1:5" s="4" customFormat="1" ht="15">
      <c r="A1" s="4" t="str">
        <f>"TREE_NAME"</f>
        <v>TREE_NAME</v>
      </c>
      <c r="B1" s="4" t="str">
        <f>"PARENT_NODE_NAME"</f>
        <v>PARENT_NODE_NAME</v>
      </c>
      <c r="C1" s="4" t="str">
        <f>"TREE_NODE"</f>
        <v>TREE_NODE</v>
      </c>
      <c r="E1" s="4" t="s">
        <v>205</v>
      </c>
    </row>
    <row r="2" spans="1:3" ht="15">
      <c r="A2" t="str">
        <f>"QUERY_TREE_CU_HR"</f>
        <v>QUERY_TREE_CU_HR</v>
      </c>
      <c r="B2" t="str">
        <f>" "</f>
        <v> </v>
      </c>
      <c r="C2" t="str">
        <f>"GENERAL TABLES"</f>
        <v>GENERAL TABLES</v>
      </c>
    </row>
    <row r="3" spans="1:5" ht="15">
      <c r="A3" t="s">
        <v>258</v>
      </c>
      <c r="B3" t="s">
        <v>123</v>
      </c>
      <c r="C3" t="s">
        <v>334</v>
      </c>
      <c r="E3" t="s">
        <v>335</v>
      </c>
    </row>
    <row r="4" spans="1:5" ht="15">
      <c r="A4" t="str">
        <f>"QUERY_TREE_CU_HR"</f>
        <v>QUERY_TREE_CU_HR</v>
      </c>
      <c r="B4" t="str">
        <f>"GENERAL TABLES"</f>
        <v>GENERAL TABLES</v>
      </c>
      <c r="C4" t="str">
        <f>"EMPLOYEES"</f>
        <v>EMPLOYEES</v>
      </c>
      <c r="E4" t="s">
        <v>218</v>
      </c>
    </row>
    <row r="5" spans="1:5" ht="15">
      <c r="A5" t="s">
        <v>258</v>
      </c>
      <c r="B5" t="s">
        <v>123</v>
      </c>
      <c r="C5" t="s">
        <v>203</v>
      </c>
      <c r="E5" t="s">
        <v>265</v>
      </c>
    </row>
    <row r="6" spans="1:5" ht="15">
      <c r="A6" t="s">
        <v>258</v>
      </c>
      <c r="B6" t="s">
        <v>123</v>
      </c>
      <c r="C6" t="s">
        <v>350</v>
      </c>
      <c r="E6" t="s">
        <v>342</v>
      </c>
    </row>
    <row r="7" spans="1:3" ht="15">
      <c r="A7" t="s">
        <v>258</v>
      </c>
      <c r="B7" t="s">
        <v>123</v>
      </c>
      <c r="C7" t="s">
        <v>259</v>
      </c>
    </row>
    <row r="8" spans="1:3" ht="15">
      <c r="A8" t="str">
        <f aca="true" t="shared" si="0" ref="A8:A16">"QUERY_TREE_CU_HR"</f>
        <v>QUERY_TREE_CU_HR</v>
      </c>
      <c r="B8" t="str">
        <f aca="true" t="shared" si="1" ref="B8:B16">"GENERAL TABLES"</f>
        <v>GENERAL TABLES</v>
      </c>
      <c r="C8" t="str">
        <f>"PAY_DEDUCTION"</f>
        <v>PAY_DEDUCTION</v>
      </c>
    </row>
    <row r="9" spans="1:3" ht="15">
      <c r="A9" t="str">
        <f t="shared" si="0"/>
        <v>QUERY_TREE_CU_HR</v>
      </c>
      <c r="B9" t="str">
        <f t="shared" si="1"/>
        <v>GENERAL TABLES</v>
      </c>
      <c r="C9" t="str">
        <f>"PAY_DED_DIST"</f>
        <v>PAY_DED_DIST</v>
      </c>
    </row>
    <row r="10" spans="1:3" ht="15">
      <c r="A10" t="str">
        <f t="shared" si="0"/>
        <v>QUERY_TREE_CU_HR</v>
      </c>
      <c r="B10" t="str">
        <f t="shared" si="1"/>
        <v>GENERAL TABLES</v>
      </c>
      <c r="C10" t="str">
        <f>"PAY_EARNINGS"</f>
        <v>PAY_EARNINGS</v>
      </c>
    </row>
    <row r="11" spans="1:3" ht="15">
      <c r="A11" t="str">
        <f t="shared" si="0"/>
        <v>QUERY_TREE_CU_HR</v>
      </c>
      <c r="B11" t="str">
        <f t="shared" si="1"/>
        <v>GENERAL TABLES</v>
      </c>
      <c r="C11" t="str">
        <f>"PAY_ERN_DIST"</f>
        <v>PAY_ERN_DIST</v>
      </c>
    </row>
    <row r="12" spans="1:3" ht="15">
      <c r="A12" t="str">
        <f t="shared" si="0"/>
        <v>QUERY_TREE_CU_HR</v>
      </c>
      <c r="B12" t="str">
        <f t="shared" si="1"/>
        <v>GENERAL TABLES</v>
      </c>
      <c r="C12" t="str">
        <f>"PAY_LINE"</f>
        <v>PAY_LINE</v>
      </c>
    </row>
    <row r="13" spans="1:3" ht="15">
      <c r="A13" t="str">
        <f t="shared" si="0"/>
        <v>QUERY_TREE_CU_HR</v>
      </c>
      <c r="B13" t="str">
        <f t="shared" si="1"/>
        <v>GENERAL TABLES</v>
      </c>
      <c r="C13" t="str">
        <f>"PAY_OTH_EARNS"</f>
        <v>PAY_OTH_EARNS</v>
      </c>
    </row>
    <row r="14" spans="1:3" ht="15">
      <c r="A14" t="str">
        <f t="shared" si="0"/>
        <v>QUERY_TREE_CU_HR</v>
      </c>
      <c r="B14" t="str">
        <f t="shared" si="1"/>
        <v>GENERAL TABLES</v>
      </c>
      <c r="C14" t="str">
        <f>"PAY_PAGE"</f>
        <v>PAY_PAGE</v>
      </c>
    </row>
    <row r="15" spans="1:3" ht="15">
      <c r="A15" t="str">
        <f t="shared" si="0"/>
        <v>QUERY_TREE_CU_HR</v>
      </c>
      <c r="B15" t="str">
        <f t="shared" si="1"/>
        <v>GENERAL TABLES</v>
      </c>
      <c r="C15" t="str">
        <f>"PAY_TAX_DIST"</f>
        <v>PAY_TAX_DIST</v>
      </c>
    </row>
    <row r="16" spans="1:5" ht="15">
      <c r="A16" t="str">
        <f t="shared" si="0"/>
        <v>QUERY_TREE_CU_HR</v>
      </c>
      <c r="B16" t="str">
        <f t="shared" si="1"/>
        <v>GENERAL TABLES</v>
      </c>
      <c r="C16" t="s">
        <v>160</v>
      </c>
      <c r="E16" t="s">
        <v>218</v>
      </c>
    </row>
    <row r="17" spans="1:5" ht="15">
      <c r="A17" t="s">
        <v>258</v>
      </c>
      <c r="B17" t="s">
        <v>123</v>
      </c>
      <c r="C17" t="s">
        <v>226</v>
      </c>
      <c r="E17" t="s">
        <v>227</v>
      </c>
    </row>
    <row r="18" spans="1:3" ht="15">
      <c r="A18" t="s">
        <v>258</v>
      </c>
      <c r="B18" t="s">
        <v>123</v>
      </c>
      <c r="C18" t="s">
        <v>125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1"/>
  <sheetViews>
    <sheetView zoomScalePageLayoutView="0" workbookViewId="0" topLeftCell="A1">
      <pane ySplit="1" topLeftCell="A101" activePane="bottomLeft" state="frozen"/>
      <selection pane="topLeft" activeCell="A1" sqref="A1"/>
      <selection pane="bottomLeft" activeCell="C107" sqref="C107"/>
    </sheetView>
  </sheetViews>
  <sheetFormatPr defaultColWidth="9.140625" defaultRowHeight="15"/>
  <cols>
    <col min="1" max="1" width="22.00390625" style="0" customWidth="1"/>
    <col min="2" max="2" width="22.7109375" style="0" customWidth="1"/>
    <col min="4" max="4" width="11.57421875" style="0" customWidth="1"/>
    <col min="5" max="5" width="10.7109375" style="0" bestFit="1" customWidth="1"/>
  </cols>
  <sheetData>
    <row r="1" spans="1:5" s="4" customFormat="1" ht="15">
      <c r="A1" s="4" t="str">
        <f>"TREE_NAME"</f>
        <v>TREE_NAME</v>
      </c>
      <c r="B1" s="4" t="str">
        <f>"PARENT_NODE_NAME"</f>
        <v>PARENT_NODE_NAME</v>
      </c>
      <c r="C1" s="4" t="str">
        <f>"TREE_NODE"</f>
        <v>TREE_NODE</v>
      </c>
      <c r="E1" s="4" t="s">
        <v>205</v>
      </c>
    </row>
    <row r="2" spans="1:3" ht="15">
      <c r="A2" t="str">
        <f aca="true" t="shared" si="0" ref="A2:A57">"QUERY_TREE_CU_USER"</f>
        <v>QUERY_TREE_CU_USER</v>
      </c>
      <c r="B2" t="str">
        <f>" "</f>
        <v> </v>
      </c>
      <c r="C2" t="str">
        <f>"GENERAL TABLES"</f>
        <v>GENERAL TABLES</v>
      </c>
    </row>
    <row r="3" spans="1:5" ht="15">
      <c r="A3" t="s">
        <v>122</v>
      </c>
      <c r="B3" t="s">
        <v>123</v>
      </c>
      <c r="C3" t="s">
        <v>177</v>
      </c>
      <c r="E3" s="9">
        <v>41054</v>
      </c>
    </row>
    <row r="4" spans="1:5" ht="15">
      <c r="A4" t="s">
        <v>122</v>
      </c>
      <c r="B4" t="s">
        <v>123</v>
      </c>
      <c r="C4" t="s">
        <v>303</v>
      </c>
      <c r="E4" s="9">
        <v>41352</v>
      </c>
    </row>
    <row r="5" spans="1:3" ht="15">
      <c r="A5" t="str">
        <f t="shared" si="0"/>
        <v>QUERY_TREE_CU_USER</v>
      </c>
      <c r="B5" t="str">
        <f aca="true" t="shared" si="1" ref="B5:B57">"GENERAL TABLES"</f>
        <v>GENERAL TABLES</v>
      </c>
      <c r="C5" t="str">
        <f>"ACTN_REASON_TBL"</f>
        <v>ACTN_REASON_TBL</v>
      </c>
    </row>
    <row r="6" spans="1:3" ht="15">
      <c r="A6" t="str">
        <f t="shared" si="0"/>
        <v>QUERY_TREE_CU_USER</v>
      </c>
      <c r="B6" t="str">
        <f t="shared" si="1"/>
        <v>GENERAL TABLES</v>
      </c>
      <c r="C6" t="str">
        <f>"ALL_TERMS_VW_CU"</f>
        <v>ALL_TERMS_VW_CU</v>
      </c>
    </row>
    <row r="7" spans="1:3" ht="15">
      <c r="A7" t="str">
        <f t="shared" si="0"/>
        <v>QUERY_TREE_CU_USER</v>
      </c>
      <c r="B7" t="str">
        <f t="shared" si="1"/>
        <v>GENERAL TABLES</v>
      </c>
      <c r="C7" t="str">
        <f>"BD_JOBCODES"</f>
        <v>BD_JOBCODES</v>
      </c>
    </row>
    <row r="8" spans="1:3" ht="15">
      <c r="A8" t="str">
        <f t="shared" si="0"/>
        <v>QUERY_TREE_CU_USER</v>
      </c>
      <c r="B8" t="str">
        <f t="shared" si="1"/>
        <v>GENERAL TABLES</v>
      </c>
      <c r="C8" t="str">
        <f>"BENEF_PLAN_TBL"</f>
        <v>BENEF_PLAN_TBL</v>
      </c>
    </row>
    <row r="9" spans="1:5" ht="15">
      <c r="A9" t="str">
        <f t="shared" si="0"/>
        <v>QUERY_TREE_CU_USER</v>
      </c>
      <c r="B9" t="str">
        <f t="shared" si="1"/>
        <v>GENERAL TABLES</v>
      </c>
      <c r="C9" t="s">
        <v>351</v>
      </c>
      <c r="E9" s="9">
        <v>41456</v>
      </c>
    </row>
    <row r="10" spans="1:5" ht="15">
      <c r="A10" t="s">
        <v>122</v>
      </c>
      <c r="B10" t="s">
        <v>123</v>
      </c>
      <c r="C10" t="s">
        <v>207</v>
      </c>
      <c r="E10" s="9">
        <v>41054</v>
      </c>
    </row>
    <row r="11" spans="1:3" ht="15">
      <c r="A11" t="str">
        <f t="shared" si="0"/>
        <v>QUERY_TREE_CU_USER</v>
      </c>
      <c r="B11" t="str">
        <f t="shared" si="1"/>
        <v>GENERAL TABLES</v>
      </c>
      <c r="C11" t="str">
        <f>"CAMPUS_TBL_CU"</f>
        <v>CAMPUS_TBL_CU</v>
      </c>
    </row>
    <row r="12" spans="1:5" ht="15">
      <c r="A12" t="str">
        <f t="shared" si="0"/>
        <v>QUERY_TREE_CU_USER</v>
      </c>
      <c r="B12" t="str">
        <f t="shared" si="1"/>
        <v>GENERAL TABLES</v>
      </c>
      <c r="C12" t="s">
        <v>352</v>
      </c>
      <c r="E12" s="9">
        <v>41456</v>
      </c>
    </row>
    <row r="13" spans="1:6" ht="15">
      <c r="A13" t="s">
        <v>122</v>
      </c>
      <c r="B13" t="s">
        <v>123</v>
      </c>
      <c r="C13" t="s">
        <v>208</v>
      </c>
      <c r="E13" s="9">
        <v>41054</v>
      </c>
      <c r="F13" t="s">
        <v>214</v>
      </c>
    </row>
    <row r="14" spans="1:3" ht="15">
      <c r="A14" t="str">
        <f t="shared" si="0"/>
        <v>QUERY_TREE_CU_USER</v>
      </c>
      <c r="B14" t="str">
        <f t="shared" si="1"/>
        <v>GENERAL TABLES</v>
      </c>
      <c r="C14" t="str">
        <f>"COMPENSATION"</f>
        <v>COMPENSATION</v>
      </c>
    </row>
    <row r="15" spans="1:3" ht="15">
      <c r="A15" t="str">
        <f t="shared" si="0"/>
        <v>QUERY_TREE_CU_USER</v>
      </c>
      <c r="B15" t="str">
        <f t="shared" si="1"/>
        <v>GENERAL TABLES</v>
      </c>
      <c r="C15" t="str">
        <f>"COMPSUMMRPT_VW"</f>
        <v>COMPSUMMRPT_VW</v>
      </c>
    </row>
    <row r="16" spans="1:3" ht="15">
      <c r="A16" t="s">
        <v>122</v>
      </c>
      <c r="B16" t="s">
        <v>123</v>
      </c>
      <c r="C16" s="8" t="s">
        <v>173</v>
      </c>
    </row>
    <row r="17" spans="1:3" ht="15">
      <c r="A17" t="s">
        <v>122</v>
      </c>
      <c r="B17" t="s">
        <v>123</v>
      </c>
      <c r="C17" t="s">
        <v>161</v>
      </c>
    </row>
    <row r="18" spans="1:3" ht="15">
      <c r="A18" t="str">
        <f t="shared" si="0"/>
        <v>QUERY_TREE_CU_USER</v>
      </c>
      <c r="B18" t="str">
        <f t="shared" si="1"/>
        <v>GENERAL TABLES</v>
      </c>
      <c r="C18" t="str">
        <f>"CONTRACT_CU"</f>
        <v>CONTRACT_CU</v>
      </c>
    </row>
    <row r="19" spans="1:3" ht="15">
      <c r="A19" t="str">
        <f t="shared" si="0"/>
        <v>QUERY_TREE_CU_USER</v>
      </c>
      <c r="B19" t="str">
        <f t="shared" si="1"/>
        <v>GENERAL TABLES</v>
      </c>
      <c r="C19" t="str">
        <f>"COURSE_TBL"</f>
        <v>COURSE_TBL</v>
      </c>
    </row>
    <row r="20" spans="1:3" ht="15">
      <c r="A20" t="str">
        <f t="shared" si="0"/>
        <v>QUERY_TREE_CU_USER</v>
      </c>
      <c r="B20" t="str">
        <f t="shared" si="1"/>
        <v>GENERAL TABLES</v>
      </c>
      <c r="C20" t="str">
        <f>"CURRENT_JOB"</f>
        <v>CURRENT_JOB</v>
      </c>
    </row>
    <row r="21" spans="1:5" ht="15">
      <c r="A21" t="s">
        <v>122</v>
      </c>
      <c r="B21" t="s">
        <v>123</v>
      </c>
      <c r="C21" t="s">
        <v>209</v>
      </c>
      <c r="E21" s="9">
        <v>41054</v>
      </c>
    </row>
    <row r="22" spans="1:3" ht="15">
      <c r="A22" t="str">
        <f t="shared" si="0"/>
        <v>QUERY_TREE_CU_USER</v>
      </c>
      <c r="B22" t="str">
        <f t="shared" si="1"/>
        <v>GENERAL TABLES</v>
      </c>
      <c r="C22" t="str">
        <f>"DEDUCTION_TBL"</f>
        <v>DEDUCTION_TBL</v>
      </c>
    </row>
    <row r="23" spans="1:5" ht="15">
      <c r="A23" t="str">
        <f t="shared" si="0"/>
        <v>QUERY_TREE_CU_USER</v>
      </c>
      <c r="B23" t="str">
        <f t="shared" si="1"/>
        <v>GENERAL TABLES</v>
      </c>
      <c r="C23" t="s">
        <v>353</v>
      </c>
      <c r="E23" s="9">
        <v>41456</v>
      </c>
    </row>
    <row r="24" spans="1:3" ht="15">
      <c r="A24" t="str">
        <f t="shared" si="0"/>
        <v>QUERY_TREE_CU_USER</v>
      </c>
      <c r="B24" t="str">
        <f t="shared" si="1"/>
        <v>GENERAL TABLES</v>
      </c>
      <c r="C24" t="str">
        <f>"DEPT_ORG_VW"</f>
        <v>DEPT_ORG_VW</v>
      </c>
    </row>
    <row r="25" spans="1:3" ht="15">
      <c r="A25" t="str">
        <f t="shared" si="0"/>
        <v>QUERY_TREE_CU_USER</v>
      </c>
      <c r="B25" t="str">
        <f t="shared" si="1"/>
        <v>GENERAL TABLES</v>
      </c>
      <c r="C25" t="str">
        <f>"DEPT_POSITIONS"</f>
        <v>DEPT_POSITIONS</v>
      </c>
    </row>
    <row r="26" spans="1:3" ht="15">
      <c r="A26" t="str">
        <f t="shared" si="0"/>
        <v>QUERY_TREE_CU_USER</v>
      </c>
      <c r="B26" t="str">
        <f t="shared" si="1"/>
        <v>GENERAL TABLES</v>
      </c>
      <c r="C26" t="str">
        <f>"DEPT_TBL"</f>
        <v>DEPT_TBL</v>
      </c>
    </row>
    <row r="27" spans="1:3" ht="15">
      <c r="A27" t="str">
        <f t="shared" si="0"/>
        <v>QUERY_TREE_CU_USER</v>
      </c>
      <c r="B27" t="str">
        <f t="shared" si="1"/>
        <v>GENERAL TABLES</v>
      </c>
      <c r="C27" t="str">
        <f>"DEPT_VIEW_CU"</f>
        <v>DEPT_VIEW_CU</v>
      </c>
    </row>
    <row r="28" spans="1:3" ht="15">
      <c r="A28" t="str">
        <f t="shared" si="0"/>
        <v>QUERY_TREE_CU_USER</v>
      </c>
      <c r="B28" t="str">
        <f t="shared" si="1"/>
        <v>GENERAL TABLES</v>
      </c>
      <c r="C28" t="str">
        <f>"DEPT_WF_CU"</f>
        <v>DEPT_WF_CU</v>
      </c>
    </row>
    <row r="29" spans="1:3" ht="15">
      <c r="A29" t="str">
        <f t="shared" si="0"/>
        <v>QUERY_TREE_CU_USER</v>
      </c>
      <c r="B29" t="str">
        <f t="shared" si="1"/>
        <v>GENERAL TABLES</v>
      </c>
      <c r="C29" t="str">
        <f>"EARNINGS_TBL"</f>
        <v>EARNINGS_TBL</v>
      </c>
    </row>
    <row r="30" spans="1:3" ht="15">
      <c r="A30" t="str">
        <f t="shared" si="0"/>
        <v>QUERY_TREE_CU_USER</v>
      </c>
      <c r="B30" t="str">
        <f t="shared" si="1"/>
        <v>GENERAL TABLES</v>
      </c>
      <c r="C30" t="str">
        <f>"EESTAT_XLAT_VW"</f>
        <v>EESTAT_XLAT_VW</v>
      </c>
    </row>
    <row r="31" spans="1:3" ht="15">
      <c r="A31" t="str">
        <f t="shared" si="0"/>
        <v>QUERY_TREE_CU_USER</v>
      </c>
      <c r="B31" t="str">
        <f t="shared" si="1"/>
        <v>GENERAL TABLES</v>
      </c>
      <c r="C31" t="str">
        <f>"EMAIL_ADDRESSES"</f>
        <v>EMAIL_ADDRESSES</v>
      </c>
    </row>
    <row r="32" spans="1:3" ht="15">
      <c r="A32" t="str">
        <f t="shared" si="0"/>
        <v>QUERY_TREE_CU_USER</v>
      </c>
      <c r="B32" t="str">
        <f t="shared" si="1"/>
        <v>GENERAL TABLES</v>
      </c>
      <c r="C32" t="str">
        <f>"EMERGENCY_CNTCT"</f>
        <v>EMERGENCY_CNTCT</v>
      </c>
    </row>
    <row r="33" spans="1:5" ht="15">
      <c r="A33" t="str">
        <f t="shared" si="0"/>
        <v>QUERY_TREE_CU_USER</v>
      </c>
      <c r="B33" t="str">
        <f t="shared" si="1"/>
        <v>GENERAL TABLES</v>
      </c>
      <c r="C33" t="str">
        <f>"EMPLMT_SRCH_QRY"</f>
        <v>EMPLMT_SRCH_QRY</v>
      </c>
      <c r="E33" s="9">
        <v>41187</v>
      </c>
    </row>
    <row r="34" spans="1:3" ht="15">
      <c r="A34" t="str">
        <f t="shared" si="0"/>
        <v>QUERY_TREE_CU_USER</v>
      </c>
      <c r="B34" t="str">
        <f t="shared" si="1"/>
        <v>GENERAL TABLES</v>
      </c>
      <c r="C34" t="str">
        <f>"EMPLOYEES_VW_CU"</f>
        <v>EMPLOYEES_VW_CU</v>
      </c>
    </row>
    <row r="35" spans="1:5" ht="15">
      <c r="A35" t="str">
        <f t="shared" si="0"/>
        <v>QUERY_TREE_CU_USER</v>
      </c>
      <c r="B35" t="str">
        <f t="shared" si="1"/>
        <v>GENERAL TABLES</v>
      </c>
      <c r="C35" t="s">
        <v>354</v>
      </c>
      <c r="E35" s="9">
        <v>41456</v>
      </c>
    </row>
    <row r="36" spans="1:3" ht="15">
      <c r="A36" t="str">
        <f t="shared" si="0"/>
        <v>QUERY_TREE_CU_USER</v>
      </c>
      <c r="B36" t="str">
        <f t="shared" si="1"/>
        <v>GENERAL TABLES</v>
      </c>
      <c r="C36" t="str">
        <f>"EMPLOYMENT"</f>
        <v>EMPLOYMENT</v>
      </c>
    </row>
    <row r="37" spans="1:3" ht="15">
      <c r="A37" t="str">
        <f t="shared" si="0"/>
        <v>QUERY_TREE_CU_USER</v>
      </c>
      <c r="B37" t="str">
        <f t="shared" si="1"/>
        <v>GENERAL TABLES</v>
      </c>
      <c r="C37" t="str">
        <f>"EMPLOYMENT_VW1"</f>
        <v>EMPLOYMENT_VW1</v>
      </c>
    </row>
    <row r="38" spans="1:5" ht="15">
      <c r="A38" t="s">
        <v>122</v>
      </c>
      <c r="B38" t="s">
        <v>123</v>
      </c>
      <c r="C38" t="s">
        <v>244</v>
      </c>
      <c r="E38" s="9">
        <v>41172</v>
      </c>
    </row>
    <row r="39" spans="1:3" ht="15">
      <c r="A39" t="str">
        <f t="shared" si="0"/>
        <v>QUERY_TREE_CU_USER</v>
      </c>
      <c r="B39" t="str">
        <f t="shared" si="1"/>
        <v>GENERAL TABLES</v>
      </c>
      <c r="C39" t="str">
        <f>"EMPL_TERMS_VW"</f>
        <v>EMPL_TERMS_VW</v>
      </c>
    </row>
    <row r="40" spans="1:5" ht="15">
      <c r="A40" t="str">
        <f t="shared" si="0"/>
        <v>QUERY_TREE_CU_USER</v>
      </c>
      <c r="B40" t="str">
        <f t="shared" si="1"/>
        <v>GENERAL TABLES</v>
      </c>
      <c r="C40" t="s">
        <v>355</v>
      </c>
      <c r="E40" s="9">
        <v>41456</v>
      </c>
    </row>
    <row r="41" spans="1:3" ht="15">
      <c r="A41" t="str">
        <f t="shared" si="0"/>
        <v>QUERY_TREE_CU_USER</v>
      </c>
      <c r="B41" t="str">
        <f t="shared" si="1"/>
        <v>GENERAL TABLES</v>
      </c>
      <c r="C41" t="str">
        <f>"ERN_PROG_DESCR2"</f>
        <v>ERN_PROG_DESCR2</v>
      </c>
    </row>
    <row r="42" spans="1:3" ht="15">
      <c r="A42" t="str">
        <f t="shared" si="0"/>
        <v>QUERY_TREE_CU_USER</v>
      </c>
      <c r="B42" t="str">
        <f t="shared" si="1"/>
        <v>GENERAL TABLES</v>
      </c>
      <c r="C42" t="str">
        <f>"ER_REF_JOB_REQ"</f>
        <v>ER_REF_JOB_REQ</v>
      </c>
    </row>
    <row r="43" spans="1:5" ht="15">
      <c r="A43" t="str">
        <f t="shared" si="0"/>
        <v>QUERY_TREE_CU_USER</v>
      </c>
      <c r="B43" t="str">
        <f t="shared" si="1"/>
        <v>GENERAL TABLES</v>
      </c>
      <c r="C43" t="s">
        <v>356</v>
      </c>
      <c r="E43" s="9">
        <v>41456</v>
      </c>
    </row>
    <row r="44" spans="1:5" ht="15">
      <c r="A44" t="str">
        <f t="shared" si="0"/>
        <v>QUERY_TREE_CU_USER</v>
      </c>
      <c r="B44" t="str">
        <f t="shared" si="1"/>
        <v>GENERAL TABLES</v>
      </c>
      <c r="C44" t="s">
        <v>357</v>
      </c>
      <c r="E44" s="9">
        <v>41456</v>
      </c>
    </row>
    <row r="45" spans="1:5" ht="15">
      <c r="A45" t="str">
        <f t="shared" si="0"/>
        <v>QUERY_TREE_CU_USER</v>
      </c>
      <c r="B45" t="str">
        <f t="shared" si="1"/>
        <v>GENERAL TABLES</v>
      </c>
      <c r="C45" t="s">
        <v>358</v>
      </c>
      <c r="E45" s="9">
        <v>41456</v>
      </c>
    </row>
    <row r="46" spans="1:5" ht="15">
      <c r="A46" t="str">
        <f t="shared" si="0"/>
        <v>QUERY_TREE_CU_USER</v>
      </c>
      <c r="B46" t="str">
        <f t="shared" si="1"/>
        <v>GENERAL TABLES</v>
      </c>
      <c r="C46" t="s">
        <v>359</v>
      </c>
      <c r="E46" s="9">
        <v>41456</v>
      </c>
    </row>
    <row r="47" spans="1:5" ht="15">
      <c r="A47" t="str">
        <f t="shared" si="0"/>
        <v>QUERY_TREE_CU_USER</v>
      </c>
      <c r="B47" t="str">
        <f t="shared" si="1"/>
        <v>GENERAL TABLES</v>
      </c>
      <c r="C47" t="s">
        <v>360</v>
      </c>
      <c r="E47" s="9">
        <v>41456</v>
      </c>
    </row>
    <row r="48" spans="1:5" ht="15">
      <c r="A48" t="str">
        <f t="shared" si="0"/>
        <v>QUERY_TREE_CU_USER</v>
      </c>
      <c r="B48" t="str">
        <f t="shared" si="1"/>
        <v>GENERAL TABLES</v>
      </c>
      <c r="C48" t="s">
        <v>361</v>
      </c>
      <c r="E48" s="9">
        <v>41456</v>
      </c>
    </row>
    <row r="49" spans="1:3" ht="15">
      <c r="A49" t="str">
        <f t="shared" si="0"/>
        <v>QUERY_TREE_CU_USER</v>
      </c>
      <c r="B49" t="str">
        <f t="shared" si="1"/>
        <v>GENERAL TABLES</v>
      </c>
      <c r="C49" t="str">
        <f>"FUNDING_DATE_CU"</f>
        <v>FUNDING_DATE_CU</v>
      </c>
    </row>
    <row r="50" spans="1:3" ht="15">
      <c r="A50" t="str">
        <f t="shared" si="0"/>
        <v>QUERY_TREE_CU_USER</v>
      </c>
      <c r="B50" t="str">
        <f t="shared" si="1"/>
        <v>GENERAL TABLES</v>
      </c>
      <c r="C50" t="str">
        <f>"FUNDING_SPTP_CU"</f>
        <v>FUNDING_SPTP_CU</v>
      </c>
    </row>
    <row r="51" spans="1:3" ht="15">
      <c r="A51" t="str">
        <f t="shared" si="0"/>
        <v>QUERY_TREE_CU_USER</v>
      </c>
      <c r="B51" t="str">
        <f t="shared" si="1"/>
        <v>GENERAL TABLES</v>
      </c>
      <c r="C51" t="str">
        <f>"FUNDING_VW_CU"</f>
        <v>FUNDING_VW_CU</v>
      </c>
    </row>
    <row r="52" spans="1:3" ht="15">
      <c r="A52" t="str">
        <f t="shared" si="0"/>
        <v>QUERY_TREE_CU_USER</v>
      </c>
      <c r="B52" t="str">
        <f t="shared" si="1"/>
        <v>GENERAL TABLES</v>
      </c>
      <c r="C52" t="str">
        <f>"FUND_DATE_VW_CU"</f>
        <v>FUND_DATE_VW_CU</v>
      </c>
    </row>
    <row r="53" spans="1:3" ht="15">
      <c r="A53" t="str">
        <f t="shared" si="0"/>
        <v>QUERY_TREE_CU_USER</v>
      </c>
      <c r="B53" t="str">
        <f t="shared" si="1"/>
        <v>GENERAL TABLES</v>
      </c>
      <c r="C53" t="str">
        <f>"FUND_SPTP_VW_CU"</f>
        <v>FUND_SPTP_VW_CU</v>
      </c>
    </row>
    <row r="54" spans="1:3" ht="15">
      <c r="A54" t="str">
        <f t="shared" si="0"/>
        <v>QUERY_TREE_CU_USER</v>
      </c>
      <c r="B54" t="str">
        <f t="shared" si="1"/>
        <v>GENERAL TABLES</v>
      </c>
      <c r="C54" t="str">
        <f>"FUND_WLST_CU_WL"</f>
        <v>FUND_WLST_CU_WL</v>
      </c>
    </row>
    <row r="55" spans="1:3" ht="15">
      <c r="A55" t="str">
        <f t="shared" si="0"/>
        <v>QUERY_TREE_CU_USER</v>
      </c>
      <c r="B55" t="str">
        <f t="shared" si="1"/>
        <v>GENERAL TABLES</v>
      </c>
      <c r="C55" t="str">
        <f>"GENL_DED_FREQ"</f>
        <v>GENL_DED_FREQ</v>
      </c>
    </row>
    <row r="56" spans="1:3" ht="15">
      <c r="A56" t="str">
        <f t="shared" si="0"/>
        <v>QUERY_TREE_CU_USER</v>
      </c>
      <c r="B56" t="str">
        <f t="shared" si="1"/>
        <v>GENERAL TABLES</v>
      </c>
      <c r="C56" t="str">
        <f>"GL_ACCOUNT_TBL"</f>
        <v>GL_ACCOUNT_TBL</v>
      </c>
    </row>
    <row r="57" spans="1:3" ht="15">
      <c r="A57" t="str">
        <f t="shared" si="0"/>
        <v>QUERY_TREE_CU_USER</v>
      </c>
      <c r="B57" t="str">
        <f t="shared" si="1"/>
        <v>GENERAL TABLES</v>
      </c>
      <c r="C57" t="s">
        <v>113</v>
      </c>
    </row>
    <row r="58" spans="1:5" ht="15">
      <c r="A58" t="s">
        <v>122</v>
      </c>
      <c r="B58" t="s">
        <v>123</v>
      </c>
      <c r="C58" t="s">
        <v>206</v>
      </c>
      <c r="E58" s="9">
        <v>41054</v>
      </c>
    </row>
    <row r="59" spans="1:3" ht="15">
      <c r="A59" t="str">
        <f aca="true" t="shared" si="2" ref="A59:A103">"QUERY_TREE_CU_USER"</f>
        <v>QUERY_TREE_CU_USER</v>
      </c>
      <c r="B59" t="str">
        <f aca="true" t="shared" si="3" ref="B59:B103">"GENERAL TABLES"</f>
        <v>GENERAL TABLES</v>
      </c>
      <c r="C59" t="str">
        <f>"JOBCD_COMP_RATE"</f>
        <v>JOBCD_COMP_RATE</v>
      </c>
    </row>
    <row r="60" spans="1:3" ht="15">
      <c r="A60" t="str">
        <f t="shared" si="2"/>
        <v>QUERY_TREE_CU_USER</v>
      </c>
      <c r="B60" t="str">
        <f t="shared" si="3"/>
        <v>GENERAL TABLES</v>
      </c>
      <c r="C60" t="str">
        <f>"JOBCD_GRADE_LNG"</f>
        <v>JOBCD_GRADE_LNG</v>
      </c>
    </row>
    <row r="61" spans="1:3" ht="15">
      <c r="A61" t="str">
        <f t="shared" si="2"/>
        <v>QUERY_TREE_CU_USER</v>
      </c>
      <c r="B61" t="str">
        <f t="shared" si="3"/>
        <v>GENERAL TABLES</v>
      </c>
      <c r="C61" t="str">
        <f>"JOBCODE_TBL"</f>
        <v>JOBCODE_TBL</v>
      </c>
    </row>
    <row r="62" spans="1:3" ht="15">
      <c r="A62" t="str">
        <f t="shared" si="2"/>
        <v>QUERY_TREE_CU_USER</v>
      </c>
      <c r="B62" t="str">
        <f t="shared" si="3"/>
        <v>GENERAL TABLES</v>
      </c>
      <c r="C62" t="str">
        <f>"JOB_ALL_CURR_VW"</f>
        <v>JOB_ALL_CURR_VW</v>
      </c>
    </row>
    <row r="63" spans="1:3" ht="15">
      <c r="A63" t="s">
        <v>122</v>
      </c>
      <c r="B63" t="s">
        <v>123</v>
      </c>
      <c r="C63" t="s">
        <v>124</v>
      </c>
    </row>
    <row r="64" spans="1:3" ht="15">
      <c r="A64" t="str">
        <f t="shared" si="2"/>
        <v>QUERY_TREE_CU_USER</v>
      </c>
      <c r="B64" t="str">
        <f t="shared" si="3"/>
        <v>GENERAL TABLES</v>
      </c>
      <c r="C64" t="str">
        <f>"JOB_CONTRACT_VW"</f>
        <v>JOB_CONTRACT_VW</v>
      </c>
    </row>
    <row r="65" spans="1:3" ht="15">
      <c r="A65" t="str">
        <f t="shared" si="2"/>
        <v>QUERY_TREE_CU_USER</v>
      </c>
      <c r="B65" t="str">
        <f t="shared" si="3"/>
        <v>GENERAL TABLES</v>
      </c>
      <c r="C65" t="str">
        <f>"JOB_CURR_EFF_VW"</f>
        <v>JOB_CURR_EFF_VW</v>
      </c>
    </row>
    <row r="66" spans="1:3" ht="15">
      <c r="A66" t="str">
        <f t="shared" si="2"/>
        <v>QUERY_TREE_CU_USER</v>
      </c>
      <c r="B66" t="str">
        <f t="shared" si="3"/>
        <v>GENERAL TABLES</v>
      </c>
      <c r="C66" t="str">
        <f>"JOB_PC_VW"</f>
        <v>JOB_PC_VW</v>
      </c>
    </row>
    <row r="67" spans="1:3" ht="15">
      <c r="A67" t="str">
        <f t="shared" si="2"/>
        <v>QUERY_TREE_CU_USER</v>
      </c>
      <c r="B67" t="str">
        <f t="shared" si="3"/>
        <v>GENERAL TABLES</v>
      </c>
      <c r="C67" t="str">
        <f>"JOB_REQUISITION"</f>
        <v>JOB_REQUISITION</v>
      </c>
    </row>
    <row r="68" spans="1:3" ht="15">
      <c r="A68" t="str">
        <f t="shared" si="2"/>
        <v>QUERY_TREE_CU_USER</v>
      </c>
      <c r="B68" t="str">
        <f t="shared" si="3"/>
        <v>GENERAL TABLES</v>
      </c>
      <c r="C68" t="str">
        <f>"JOB_VW_CU"</f>
        <v>JOB_VW_CU</v>
      </c>
    </row>
    <row r="69" spans="1:5" ht="15">
      <c r="A69" t="s">
        <v>122</v>
      </c>
      <c r="B69" t="s">
        <v>123</v>
      </c>
      <c r="C69" t="s">
        <v>210</v>
      </c>
      <c r="E69" s="9">
        <v>41054</v>
      </c>
    </row>
    <row r="70" spans="1:3" ht="15">
      <c r="A70" t="str">
        <f t="shared" si="2"/>
        <v>QUERY_TREE_CU_USER</v>
      </c>
      <c r="B70" t="str">
        <f t="shared" si="3"/>
        <v>GENERAL TABLES</v>
      </c>
      <c r="C70" t="str">
        <f>"LEAVE_ACCRUAL"</f>
        <v>LEAVE_ACCRUAL</v>
      </c>
    </row>
    <row r="71" spans="1:3" ht="15">
      <c r="A71" t="str">
        <f t="shared" si="2"/>
        <v>QUERY_TREE_CU_USER</v>
      </c>
      <c r="B71" t="str">
        <f t="shared" si="3"/>
        <v>GENERAL TABLES</v>
      </c>
      <c r="C71" t="str">
        <f>"LEAVE_DETAIL_CU"</f>
        <v>LEAVE_DETAIL_CU</v>
      </c>
    </row>
    <row r="72" spans="1:3" ht="15">
      <c r="A72" t="str">
        <f t="shared" si="2"/>
        <v>QUERY_TREE_CU_USER</v>
      </c>
      <c r="B72" t="str">
        <f t="shared" si="3"/>
        <v>GENERAL TABLES</v>
      </c>
      <c r="C72" t="str">
        <f>"LEAVE_DTL_VW_CU"</f>
        <v>LEAVE_DTL_VW_CU</v>
      </c>
    </row>
    <row r="73" spans="1:3" ht="15">
      <c r="A73" t="str">
        <f t="shared" si="2"/>
        <v>QUERY_TREE_CU_USER</v>
      </c>
      <c r="B73" t="str">
        <f t="shared" si="3"/>
        <v>GENERAL TABLES</v>
      </c>
      <c r="C73" t="str">
        <f>"LEAVE_PLAN"</f>
        <v>LEAVE_PLAN</v>
      </c>
    </row>
    <row r="74" spans="1:3" ht="15">
      <c r="A74" t="str">
        <f t="shared" si="2"/>
        <v>QUERY_TREE_CU_USER</v>
      </c>
      <c r="B74" t="str">
        <f t="shared" si="3"/>
        <v>GENERAL TABLES</v>
      </c>
      <c r="C74" t="str">
        <f>"LEAVE_REQUESTS"</f>
        <v>LEAVE_REQUESTS</v>
      </c>
    </row>
    <row r="75" spans="1:5" ht="15">
      <c r="A75" t="s">
        <v>122</v>
      </c>
      <c r="B75" t="s">
        <v>123</v>
      </c>
      <c r="C75" t="s">
        <v>186</v>
      </c>
      <c r="E75" s="9">
        <v>41054</v>
      </c>
    </row>
    <row r="76" spans="1:5" ht="15">
      <c r="A76" t="s">
        <v>122</v>
      </c>
      <c r="B76" t="s">
        <v>123</v>
      </c>
      <c r="C76" t="s">
        <v>204</v>
      </c>
      <c r="E76" s="9">
        <v>41054</v>
      </c>
    </row>
    <row r="77" spans="1:3" ht="15">
      <c r="A77" t="str">
        <f t="shared" si="2"/>
        <v>QUERY_TREE_CU_USER</v>
      </c>
      <c r="B77" t="str">
        <f t="shared" si="3"/>
        <v>GENERAL TABLES</v>
      </c>
      <c r="C77" t="str">
        <f>"NAMES"</f>
        <v>NAMES</v>
      </c>
    </row>
    <row r="78" spans="1:3" ht="15">
      <c r="A78" t="str">
        <f t="shared" si="2"/>
        <v>QUERY_TREE_CU_USER</v>
      </c>
      <c r="B78" t="str">
        <f t="shared" si="3"/>
        <v>GENERAL TABLES</v>
      </c>
      <c r="C78" t="str">
        <f>"NAMES_VW"</f>
        <v>NAMES_VW</v>
      </c>
    </row>
    <row r="79" spans="1:3" ht="15">
      <c r="A79" t="str">
        <f t="shared" si="2"/>
        <v>QUERY_TREE_CU_USER</v>
      </c>
      <c r="B79" t="str">
        <f t="shared" si="3"/>
        <v>GENERAL TABLES</v>
      </c>
      <c r="C79" t="str">
        <f>"NAMES_VW_CU"</f>
        <v>NAMES_VW_CU</v>
      </c>
    </row>
    <row r="80" spans="1:3" ht="15">
      <c r="A80" t="str">
        <f t="shared" si="2"/>
        <v>QUERY_TREE_CU_USER</v>
      </c>
      <c r="B80" t="str">
        <f t="shared" si="3"/>
        <v>GENERAL TABLES</v>
      </c>
      <c r="C80" t="str">
        <f>"NODE_DIM_VW"</f>
        <v>NODE_DIM_VW</v>
      </c>
    </row>
    <row r="81" spans="1:3" ht="15">
      <c r="A81" t="str">
        <f t="shared" si="2"/>
        <v>QUERY_TREE_CU_USER</v>
      </c>
      <c r="B81" t="str">
        <f t="shared" si="3"/>
        <v>GENERAL TABLES</v>
      </c>
      <c r="C81" t="str">
        <f>"NON_EMPL_POI_CU"</f>
        <v>NON_EMPL_POI_CU</v>
      </c>
    </row>
    <row r="82" spans="1:3" ht="15">
      <c r="A82" t="str">
        <f t="shared" si="2"/>
        <v>QUERY_TREE_CU_USER</v>
      </c>
      <c r="B82" t="str">
        <f t="shared" si="3"/>
        <v>GENERAL TABLES</v>
      </c>
      <c r="C82" t="str">
        <f>"NVS_OPR_RPTS"</f>
        <v>NVS_OPR_RPTS</v>
      </c>
    </row>
    <row r="83" spans="1:3" ht="15">
      <c r="A83" t="str">
        <f t="shared" si="2"/>
        <v>QUERY_TREE_CU_USER</v>
      </c>
      <c r="B83" t="str">
        <f t="shared" si="3"/>
        <v>GENERAL TABLES</v>
      </c>
      <c r="C83" t="str">
        <f>"NVS_REPORT"</f>
        <v>NVS_REPORT</v>
      </c>
    </row>
    <row r="84" spans="1:3" ht="15">
      <c r="A84" t="str">
        <f t="shared" si="2"/>
        <v>QUERY_TREE_CU_USER</v>
      </c>
      <c r="B84" t="str">
        <f t="shared" si="3"/>
        <v>GENERAL TABLES</v>
      </c>
      <c r="C84" t="str">
        <f>"OPERATOR_VW"</f>
        <v>OPERATOR_VW</v>
      </c>
    </row>
    <row r="85" spans="1:3" ht="15">
      <c r="A85" t="str">
        <f t="shared" si="2"/>
        <v>QUERY_TREE_CU_USER</v>
      </c>
      <c r="B85" t="str">
        <f t="shared" si="3"/>
        <v>GENERAL TABLES</v>
      </c>
      <c r="C85" t="str">
        <f>"OPRDEFN2"</f>
        <v>OPRDEFN2</v>
      </c>
    </row>
    <row r="86" spans="1:3" ht="15">
      <c r="A86" t="str">
        <f t="shared" si="2"/>
        <v>QUERY_TREE_CU_USER</v>
      </c>
      <c r="B86" t="str">
        <f t="shared" si="3"/>
        <v>GENERAL TABLES</v>
      </c>
      <c r="C86" t="str">
        <f>"OPR_DEF_VW_CU"</f>
        <v>OPR_DEF_VW_CU</v>
      </c>
    </row>
    <row r="87" spans="1:3" ht="15">
      <c r="A87" t="str">
        <f t="shared" si="2"/>
        <v>QUERY_TREE_CU_USER</v>
      </c>
      <c r="B87" t="str">
        <f t="shared" si="3"/>
        <v>GENERAL TABLES</v>
      </c>
      <c r="C87" t="str">
        <f>"PAYGROUP_TBL"</f>
        <v>PAYGROUP_TBL</v>
      </c>
    </row>
    <row r="88" spans="1:3" ht="15">
      <c r="A88" t="str">
        <f t="shared" si="2"/>
        <v>QUERY_TREE_CU_USER</v>
      </c>
      <c r="B88" t="str">
        <f t="shared" si="3"/>
        <v>GENERAL TABLES</v>
      </c>
      <c r="C88" t="str">
        <f>"PAYGROUP_VW_CU"</f>
        <v>PAYGROUP_VW_CU</v>
      </c>
    </row>
    <row r="89" spans="1:3" ht="15">
      <c r="A89" t="str">
        <f t="shared" si="2"/>
        <v>QUERY_TREE_CU_USER</v>
      </c>
      <c r="B89" t="str">
        <f t="shared" si="3"/>
        <v>GENERAL TABLES</v>
      </c>
      <c r="C89" t="str">
        <f>"PAY_CALENDAR"</f>
        <v>PAY_CALENDAR</v>
      </c>
    </row>
    <row r="90" spans="1:5" ht="15">
      <c r="A90" t="s">
        <v>122</v>
      </c>
      <c r="B90" t="s">
        <v>123</v>
      </c>
      <c r="C90" s="10" t="s">
        <v>318</v>
      </c>
      <c r="E90" s="9">
        <v>41386</v>
      </c>
    </row>
    <row r="91" spans="1:3" ht="15">
      <c r="A91" t="str">
        <f t="shared" si="2"/>
        <v>QUERY_TREE_CU_USER</v>
      </c>
      <c r="B91" t="str">
        <f t="shared" si="3"/>
        <v>GENERAL TABLES</v>
      </c>
      <c r="C91" t="str">
        <f>"PAY_CHECK_EARNS"</f>
        <v>PAY_CHECK_EARNS</v>
      </c>
    </row>
    <row r="92" spans="1:3" ht="15">
      <c r="A92" t="str">
        <f t="shared" si="2"/>
        <v>QUERY_TREE_CU_USER</v>
      </c>
      <c r="B92" t="str">
        <f t="shared" si="3"/>
        <v>GENERAL TABLES</v>
      </c>
      <c r="C92" t="str">
        <f>"PAY_CHECK_V2_CU"</f>
        <v>PAY_CHECK_V2_CU</v>
      </c>
    </row>
    <row r="93" spans="1:3" ht="15">
      <c r="A93" t="str">
        <f t="shared" si="2"/>
        <v>QUERY_TREE_CU_USER</v>
      </c>
      <c r="B93" t="str">
        <f t="shared" si="3"/>
        <v>GENERAL TABLES</v>
      </c>
      <c r="C93" t="str">
        <f>"PAY_RUN_TBL"</f>
        <v>PAY_RUN_TBL</v>
      </c>
    </row>
    <row r="94" spans="1:3" ht="15">
      <c r="A94" t="str">
        <f t="shared" si="2"/>
        <v>QUERY_TREE_CU_USER</v>
      </c>
      <c r="B94" t="str">
        <f t="shared" si="3"/>
        <v>GENERAL TABLES</v>
      </c>
      <c r="C94" t="str">
        <f>"PAY_TAX"</f>
        <v>PAY_TAX</v>
      </c>
    </row>
    <row r="95" spans="1:5" ht="15">
      <c r="A95" t="s">
        <v>122</v>
      </c>
      <c r="B95" t="s">
        <v>123</v>
      </c>
      <c r="C95" t="s">
        <v>297</v>
      </c>
      <c r="E95" s="9">
        <v>41302</v>
      </c>
    </row>
    <row r="96" spans="1:3" ht="15">
      <c r="A96" t="str">
        <f t="shared" si="2"/>
        <v>QUERY_TREE_CU_USER</v>
      </c>
      <c r="B96" t="str">
        <f t="shared" si="3"/>
        <v>GENERAL TABLES</v>
      </c>
      <c r="C96" t="str">
        <f>"PERSONAL_DTA_VW"</f>
        <v>PERSONAL_DTA_VW</v>
      </c>
    </row>
    <row r="97" spans="1:5" ht="15">
      <c r="A97" t="str">
        <f>"QUERY_TREE_CU_USER"</f>
        <v>QUERY_TREE_CU_USER</v>
      </c>
      <c r="B97" t="str">
        <f>"GENERAL TABLES"</f>
        <v>GENERAL TABLES</v>
      </c>
      <c r="C97" t="str">
        <f>"PERSON_NAME"</f>
        <v>PERSON_NAME</v>
      </c>
      <c r="E97" s="9">
        <v>41072</v>
      </c>
    </row>
    <row r="98" spans="1:3" ht="15">
      <c r="A98" t="str">
        <f>"QUERY_TREE_CU_USER"</f>
        <v>QUERY_TREE_CU_USER</v>
      </c>
      <c r="B98" t="str">
        <f>"GENERAL TABLES"</f>
        <v>GENERAL TABLES</v>
      </c>
      <c r="C98" t="str">
        <f>"PERSON_PHONE"</f>
        <v>PERSON_PHONE</v>
      </c>
    </row>
    <row r="99" spans="1:3" ht="15">
      <c r="A99" t="str">
        <f t="shared" si="2"/>
        <v>QUERY_TREE_CU_USER</v>
      </c>
      <c r="B99" t="str">
        <f t="shared" si="3"/>
        <v>GENERAL TABLES</v>
      </c>
      <c r="C99" t="str">
        <f>"PERSON_POI_VW"</f>
        <v>PERSON_POI_VW</v>
      </c>
    </row>
    <row r="100" spans="1:5" ht="15">
      <c r="A100" t="s">
        <v>122</v>
      </c>
      <c r="B100" t="s">
        <v>123</v>
      </c>
      <c r="C100" t="s">
        <v>225</v>
      </c>
      <c r="E100" t="s">
        <v>218</v>
      </c>
    </row>
    <row r="101" spans="1:5" ht="15">
      <c r="A101" t="s">
        <v>122</v>
      </c>
      <c r="B101" t="s">
        <v>123</v>
      </c>
      <c r="C101" t="s">
        <v>266</v>
      </c>
      <c r="E101" s="9">
        <v>41220</v>
      </c>
    </row>
    <row r="102" spans="1:3" ht="15">
      <c r="A102" t="str">
        <f t="shared" si="2"/>
        <v>QUERY_TREE_CU_USER</v>
      </c>
      <c r="B102" t="str">
        <f t="shared" si="3"/>
        <v>GENERAL TABLES</v>
      </c>
      <c r="C102" t="str">
        <f>"PER_POI_TRANS"</f>
        <v>PER_POI_TRANS</v>
      </c>
    </row>
    <row r="103" spans="1:3" ht="15">
      <c r="A103" t="str">
        <f t="shared" si="2"/>
        <v>QUERY_TREE_CU_USER</v>
      </c>
      <c r="B103" t="str">
        <f t="shared" si="3"/>
        <v>GENERAL TABLES</v>
      </c>
      <c r="C103" t="str">
        <f>"PER_POI_TYPE"</f>
        <v>PER_POI_TYPE</v>
      </c>
    </row>
    <row r="104" spans="1:5" ht="15">
      <c r="A104" t="s">
        <v>122</v>
      </c>
      <c r="B104" t="s">
        <v>123</v>
      </c>
      <c r="C104" t="s">
        <v>211</v>
      </c>
      <c r="E104" s="9">
        <v>41054</v>
      </c>
    </row>
    <row r="105" spans="1:3" ht="15">
      <c r="A105" t="s">
        <v>122</v>
      </c>
      <c r="B105" t="s">
        <v>123</v>
      </c>
      <c r="C105" t="s">
        <v>137</v>
      </c>
    </row>
    <row r="106" spans="1:5" ht="15">
      <c r="A106" t="s">
        <v>122</v>
      </c>
      <c r="B106" t="s">
        <v>123</v>
      </c>
      <c r="C106" t="s">
        <v>435</v>
      </c>
      <c r="E106" s="9">
        <v>41572</v>
      </c>
    </row>
    <row r="107" spans="1:3" ht="15">
      <c r="A107" t="str">
        <f aca="true" t="shared" si="4" ref="A107:A122">"QUERY_TREE_CU_USER"</f>
        <v>QUERY_TREE_CU_USER</v>
      </c>
      <c r="B107" t="str">
        <f aca="true" t="shared" si="5" ref="B107:B122">"GENERAL TABLES"</f>
        <v>GENERAL TABLES</v>
      </c>
      <c r="C107" t="str">
        <f>"POSITION_DATA"</f>
        <v>POSITION_DATA</v>
      </c>
    </row>
    <row r="108" spans="1:3" ht="15">
      <c r="A108" t="str">
        <f t="shared" si="4"/>
        <v>QUERY_TREE_CU_USER</v>
      </c>
      <c r="B108" t="str">
        <f t="shared" si="5"/>
        <v>GENERAL TABLES</v>
      </c>
      <c r="C108" t="str">
        <f>"POSITION_SRCH"</f>
        <v>POSITION_SRCH</v>
      </c>
    </row>
    <row r="109" spans="1:3" ht="15">
      <c r="A109" t="str">
        <f t="shared" si="4"/>
        <v>QUERY_TREE_CU_USER</v>
      </c>
      <c r="B109" t="str">
        <f t="shared" si="5"/>
        <v>GENERAL TABLES</v>
      </c>
      <c r="C109" t="str">
        <f>"POSN_HIST_VW_CU"</f>
        <v>POSN_HIST_VW_CU</v>
      </c>
    </row>
    <row r="110" spans="1:3" ht="15">
      <c r="A110" t="str">
        <f t="shared" si="4"/>
        <v>QUERY_TREE_CU_USER</v>
      </c>
      <c r="B110" t="str">
        <f t="shared" si="5"/>
        <v>GENERAL TABLES</v>
      </c>
      <c r="C110" t="str">
        <f>"POSN_INCUMBENTS"</f>
        <v>POSN_INCUMBENTS</v>
      </c>
    </row>
    <row r="111" spans="1:3" ht="15">
      <c r="A111" t="str">
        <f t="shared" si="4"/>
        <v>QUERY_TREE_CU_USER</v>
      </c>
      <c r="B111" t="str">
        <f t="shared" si="5"/>
        <v>GENERAL TABLES</v>
      </c>
      <c r="C111" t="str">
        <f>"POSN_INCUMB_WS1"</f>
        <v>POSN_INCUMB_WS1</v>
      </c>
    </row>
    <row r="112" spans="1:3" ht="15">
      <c r="A112" t="str">
        <f t="shared" si="4"/>
        <v>QUERY_TREE_CU_USER</v>
      </c>
      <c r="B112" t="str">
        <f t="shared" si="5"/>
        <v>GENERAL TABLES</v>
      </c>
      <c r="C112" t="str">
        <f>"POSN_INC_VW_CU"</f>
        <v>POSN_INC_VW_CU</v>
      </c>
    </row>
    <row r="113" spans="1:3" ht="15">
      <c r="A113" t="str">
        <f t="shared" si="4"/>
        <v>QUERY_TREE_CU_USER</v>
      </c>
      <c r="B113" t="str">
        <f t="shared" si="5"/>
        <v>GENERAL TABLES</v>
      </c>
      <c r="C113" t="str">
        <f>"POSN_VACANT"</f>
        <v>POSN_VACANT</v>
      </c>
    </row>
    <row r="114" spans="1:5" ht="15">
      <c r="A114" t="s">
        <v>122</v>
      </c>
      <c r="B114" t="s">
        <v>123</v>
      </c>
      <c r="C114" t="s">
        <v>178</v>
      </c>
      <c r="E114" s="9">
        <v>41054</v>
      </c>
    </row>
    <row r="115" spans="1:5" ht="15">
      <c r="A115" t="s">
        <v>122</v>
      </c>
      <c r="B115" t="s">
        <v>123</v>
      </c>
      <c r="C115" t="s">
        <v>179</v>
      </c>
      <c r="E115" s="9">
        <v>41054</v>
      </c>
    </row>
    <row r="116" spans="1:3" ht="15">
      <c r="A116" t="str">
        <f t="shared" si="4"/>
        <v>QUERY_TREE_CU_USER</v>
      </c>
      <c r="B116" t="str">
        <f t="shared" si="5"/>
        <v>GENERAL TABLES</v>
      </c>
      <c r="C116" t="str">
        <f>"POS_DATA_VW_CU"</f>
        <v>POS_DATA_VW_CU</v>
      </c>
    </row>
    <row r="117" spans="1:3" ht="15">
      <c r="A117" t="str">
        <f t="shared" si="4"/>
        <v>QUERY_TREE_CU_USER</v>
      </c>
      <c r="B117" t="str">
        <f t="shared" si="5"/>
        <v>GENERAL TABLES</v>
      </c>
      <c r="C117" t="str">
        <f>"PRCSDEFN"</f>
        <v>PRCSDEFN</v>
      </c>
    </row>
    <row r="118" spans="1:3" ht="15">
      <c r="A118" t="str">
        <f t="shared" si="4"/>
        <v>QUERY_TREE_CU_USER</v>
      </c>
      <c r="B118" t="str">
        <f t="shared" si="5"/>
        <v>GENERAL TABLES</v>
      </c>
      <c r="C118" t="str">
        <f>"PRCSRUNCNTL"</f>
        <v>PRCSRUNCNTL</v>
      </c>
    </row>
    <row r="119" spans="1:3" ht="15">
      <c r="A119" t="str">
        <f t="shared" si="4"/>
        <v>QUERY_TREE_CU_USER</v>
      </c>
      <c r="B119" t="str">
        <f t="shared" si="5"/>
        <v>GENERAL TABLES</v>
      </c>
      <c r="C119" t="str">
        <f>"PRIMARY_EMPL_VW"</f>
        <v>PRIMARY_EMPL_VW</v>
      </c>
    </row>
    <row r="120" spans="1:3" ht="15">
      <c r="A120" t="str">
        <f t="shared" si="4"/>
        <v>QUERY_TREE_CU_USER</v>
      </c>
      <c r="B120" t="str">
        <f t="shared" si="5"/>
        <v>GENERAL TABLES</v>
      </c>
      <c r="C120" t="str">
        <f>"PRIMARY_JOBS"</f>
        <v>PRIMARY_JOBS</v>
      </c>
    </row>
    <row r="121" spans="1:3" ht="15">
      <c r="A121" t="str">
        <f t="shared" si="4"/>
        <v>QUERY_TREE_CU_USER</v>
      </c>
      <c r="B121" t="str">
        <f t="shared" si="5"/>
        <v>GENERAL TABLES</v>
      </c>
      <c r="C121" t="str">
        <f>"PSACCESSPRFL"</f>
        <v>PSACCESSPRFL</v>
      </c>
    </row>
    <row r="122" spans="1:3" ht="15">
      <c r="A122" t="str">
        <f t="shared" si="4"/>
        <v>QUERY_TREE_CU_USER</v>
      </c>
      <c r="B122" t="str">
        <f t="shared" si="5"/>
        <v>GENERAL TABLES</v>
      </c>
      <c r="C122" t="str">
        <f>"PSACTIVITYDEFN"</f>
        <v>PSACTIVITYDEFN</v>
      </c>
    </row>
    <row r="123" spans="1:3" ht="15">
      <c r="A123" t="str">
        <f aca="true" t="shared" si="6" ref="A123:A148">"QUERY_TREE_CU_USER"</f>
        <v>QUERY_TREE_CU_USER</v>
      </c>
      <c r="B123" t="str">
        <f aca="true" t="shared" si="7" ref="B123:B148">"GENERAL TABLES"</f>
        <v>GENERAL TABLES</v>
      </c>
      <c r="C123" t="str">
        <f>"PSAUTHITEM"</f>
        <v>PSAUTHITEM</v>
      </c>
    </row>
    <row r="124" spans="1:3" ht="15">
      <c r="A124" t="str">
        <f t="shared" si="6"/>
        <v>QUERY_TREE_CU_USER</v>
      </c>
      <c r="B124" t="str">
        <f t="shared" si="7"/>
        <v>GENERAL TABLES</v>
      </c>
      <c r="C124" t="str">
        <f>"PSCLASSDEFN"</f>
        <v>PSCLASSDEFN</v>
      </c>
    </row>
    <row r="125" spans="1:3" ht="15">
      <c r="A125" t="str">
        <f t="shared" si="6"/>
        <v>QUERY_TREE_CU_USER</v>
      </c>
      <c r="B125" t="str">
        <f t="shared" si="7"/>
        <v>GENERAL TABLES</v>
      </c>
      <c r="C125" t="s">
        <v>362</v>
      </c>
    </row>
    <row r="126" spans="1:3" ht="15">
      <c r="A126" t="str">
        <f t="shared" si="6"/>
        <v>QUERY_TREE_CU_USER</v>
      </c>
      <c r="B126" t="str">
        <f t="shared" si="7"/>
        <v>GENERAL TABLES</v>
      </c>
      <c r="C126" t="str">
        <f>"PSOPRALIAS_VW"</f>
        <v>PSOPRALIAS_VW</v>
      </c>
    </row>
    <row r="127" spans="1:3" ht="15">
      <c r="A127" t="str">
        <f t="shared" si="6"/>
        <v>QUERY_TREE_CU_USER</v>
      </c>
      <c r="B127" t="str">
        <f t="shared" si="7"/>
        <v>GENERAL TABLES</v>
      </c>
      <c r="C127" t="str">
        <f>"PSOPRCLS_VW"</f>
        <v>PSOPRCLS_VW</v>
      </c>
    </row>
    <row r="128" spans="1:3" ht="15">
      <c r="A128" t="str">
        <f t="shared" si="6"/>
        <v>QUERY_TREE_CU_USER</v>
      </c>
      <c r="B128" t="str">
        <f t="shared" si="7"/>
        <v>GENERAL TABLES</v>
      </c>
      <c r="C128" t="str">
        <f>"PSOPRDEFN"</f>
        <v>PSOPRDEFN</v>
      </c>
    </row>
    <row r="129" spans="1:3" ht="15">
      <c r="A129" t="str">
        <f t="shared" si="6"/>
        <v>QUERY_TREE_CU_USER</v>
      </c>
      <c r="B129" t="str">
        <f t="shared" si="7"/>
        <v>GENERAL TABLES</v>
      </c>
      <c r="C129" t="str">
        <f>"PSPRCSRQST"</f>
        <v>PSPRCSRQST</v>
      </c>
    </row>
    <row r="130" spans="1:3" ht="15">
      <c r="A130" t="str">
        <f t="shared" si="6"/>
        <v>QUERY_TREE_CU_USER</v>
      </c>
      <c r="B130" t="str">
        <f t="shared" si="7"/>
        <v>GENERAL TABLES</v>
      </c>
      <c r="C130" t="str">
        <f>"PSQRYDEFN"</f>
        <v>PSQRYDEFN</v>
      </c>
    </row>
    <row r="131" spans="1:3" ht="15">
      <c r="A131" t="str">
        <f t="shared" si="6"/>
        <v>QUERY_TREE_CU_USER</v>
      </c>
      <c r="B131" t="str">
        <f t="shared" si="7"/>
        <v>GENERAL TABLES</v>
      </c>
      <c r="C131" t="str">
        <f>"PSROLECLASS"</f>
        <v>PSROLECLASS</v>
      </c>
    </row>
    <row r="132" spans="1:3" ht="15">
      <c r="A132" t="str">
        <f t="shared" si="6"/>
        <v>QUERY_TREE_CU_USER</v>
      </c>
      <c r="B132" t="str">
        <f t="shared" si="7"/>
        <v>GENERAL TABLES</v>
      </c>
      <c r="C132" t="str">
        <f>"PSROLEUSER"</f>
        <v>PSROLEUSER</v>
      </c>
    </row>
    <row r="133" spans="1:3" ht="15">
      <c r="A133" t="s">
        <v>122</v>
      </c>
      <c r="B133" t="s">
        <v>123</v>
      </c>
      <c r="C133" t="s">
        <v>200</v>
      </c>
    </row>
    <row r="134" spans="1:3" ht="15">
      <c r="A134" t="str">
        <f t="shared" si="6"/>
        <v>QUERY_TREE_CU_USER</v>
      </c>
      <c r="B134" t="str">
        <f t="shared" si="7"/>
        <v>GENERAL TABLES</v>
      </c>
      <c r="C134" t="str">
        <f>"PSWORKLIST"</f>
        <v>PSWORKLIST</v>
      </c>
    </row>
    <row r="135" spans="1:3" ht="15">
      <c r="A135" t="str">
        <f t="shared" si="6"/>
        <v>QUERY_TREE_CU_USER</v>
      </c>
      <c r="B135" t="str">
        <f t="shared" si="7"/>
        <v>GENERAL TABLES</v>
      </c>
      <c r="C135" t="str">
        <f>"PSXLATITEM"</f>
        <v>PSXLATITEM</v>
      </c>
    </row>
    <row r="136" spans="1:3" ht="15">
      <c r="A136" t="s">
        <v>122</v>
      </c>
      <c r="B136" t="s">
        <v>123</v>
      </c>
      <c r="C136" t="s">
        <v>302</v>
      </c>
    </row>
    <row r="137" spans="1:3" ht="15">
      <c r="A137" t="str">
        <f t="shared" si="6"/>
        <v>QUERY_TREE_CU_USER</v>
      </c>
      <c r="B137" t="str">
        <f t="shared" si="7"/>
        <v>GENERAL TABLES</v>
      </c>
      <c r="C137" t="str">
        <f>"ROLEXLATOPR"</f>
        <v>ROLEXLATOPR</v>
      </c>
    </row>
    <row r="138" spans="1:3" ht="15">
      <c r="A138" t="str">
        <f t="shared" si="6"/>
        <v>QUERY_TREE_CU_USER</v>
      </c>
      <c r="B138" t="str">
        <f t="shared" si="7"/>
        <v>GENERAL TABLES</v>
      </c>
      <c r="C138" t="str">
        <f>"RTE_CNTL_RUSER"</f>
        <v>RTE_CNTL_RUSER</v>
      </c>
    </row>
    <row r="139" spans="1:3" ht="15">
      <c r="A139" t="str">
        <f t="shared" si="6"/>
        <v>QUERY_TREE_CU_USER</v>
      </c>
      <c r="B139" t="str">
        <f t="shared" si="7"/>
        <v>GENERAL TABLES</v>
      </c>
      <c r="C139" t="str">
        <f>"RUN_CNTL_HR"</f>
        <v>RUN_CNTL_HR</v>
      </c>
    </row>
    <row r="140" spans="1:5" ht="15">
      <c r="A140" t="str">
        <f t="shared" si="6"/>
        <v>QUERY_TREE_CU_USER</v>
      </c>
      <c r="B140" t="str">
        <f t="shared" si="7"/>
        <v>GENERAL TABLES</v>
      </c>
      <c r="C140" t="s">
        <v>363</v>
      </c>
      <c r="E140" s="9">
        <v>41456</v>
      </c>
    </row>
    <row r="141" spans="1:5" ht="15">
      <c r="A141" t="str">
        <f t="shared" si="6"/>
        <v>QUERY_TREE_CU_USER</v>
      </c>
      <c r="B141" t="str">
        <f t="shared" si="7"/>
        <v>GENERAL TABLES</v>
      </c>
      <c r="C141" t="s">
        <v>416</v>
      </c>
      <c r="E141" s="9">
        <v>41571</v>
      </c>
    </row>
    <row r="142" spans="1:3" ht="15">
      <c r="A142" t="str">
        <f t="shared" si="6"/>
        <v>QUERY_TREE_CU_USER</v>
      </c>
      <c r="B142" t="str">
        <f t="shared" si="7"/>
        <v>GENERAL TABLES</v>
      </c>
      <c r="C142" t="str">
        <f>"SCRTY_TBL_DEPT"</f>
        <v>SCRTY_TBL_DEPT</v>
      </c>
    </row>
    <row r="143" spans="1:3" ht="15">
      <c r="A143" t="str">
        <f t="shared" si="6"/>
        <v>QUERY_TREE_CU_USER</v>
      </c>
      <c r="B143" t="str">
        <f t="shared" si="7"/>
        <v>GENERAL TABLES</v>
      </c>
      <c r="C143" t="str">
        <f>"SKPRT_COURSE_CU"</f>
        <v>SKPRT_COURSE_CU</v>
      </c>
    </row>
    <row r="144" spans="1:3" ht="15">
      <c r="A144" t="str">
        <f t="shared" si="6"/>
        <v>QUERY_TREE_CU_USER</v>
      </c>
      <c r="B144" t="str">
        <f t="shared" si="7"/>
        <v>GENERAL TABLES</v>
      </c>
      <c r="C144" t="str">
        <f>"SKPRT_HIST_CU"</f>
        <v>SKPRT_HIST_CU</v>
      </c>
    </row>
    <row r="145" spans="1:3" ht="15">
      <c r="A145" t="str">
        <f t="shared" si="6"/>
        <v>QUERY_TREE_CU_USER</v>
      </c>
      <c r="B145" t="str">
        <f t="shared" si="7"/>
        <v>GENERAL TABLES</v>
      </c>
      <c r="C145" t="s">
        <v>432</v>
      </c>
    </row>
    <row r="146" spans="1:5" ht="15">
      <c r="A146" t="str">
        <f t="shared" si="6"/>
        <v>QUERY_TREE_CU_USER</v>
      </c>
      <c r="B146" t="str">
        <f t="shared" si="7"/>
        <v>GENERAL TABLES</v>
      </c>
      <c r="C146" t="str">
        <f>"SPEEDTYP_VW_CU"</f>
        <v>SPEEDTYP_VW_CU</v>
      </c>
      <c r="E146" s="9">
        <v>41571</v>
      </c>
    </row>
    <row r="147" spans="1:5" ht="15">
      <c r="A147" t="s">
        <v>122</v>
      </c>
      <c r="B147" t="s">
        <v>123</v>
      </c>
      <c r="C147" t="s">
        <v>187</v>
      </c>
      <c r="E147" s="9">
        <v>41054</v>
      </c>
    </row>
    <row r="148" spans="1:3" ht="15">
      <c r="A148" t="str">
        <f t="shared" si="6"/>
        <v>QUERY_TREE_CU_USER</v>
      </c>
      <c r="B148" t="str">
        <f t="shared" si="7"/>
        <v>GENERAL TABLES</v>
      </c>
      <c r="C148" t="str">
        <f>"STATE_TAX_TBL"</f>
        <v>STATE_TAX_TBL</v>
      </c>
    </row>
    <row r="149" spans="1:5" ht="15">
      <c r="A149" t="s">
        <v>122</v>
      </c>
      <c r="B149" t="s">
        <v>123</v>
      </c>
      <c r="C149" t="s">
        <v>212</v>
      </c>
      <c r="E149" s="9">
        <v>41054</v>
      </c>
    </row>
    <row r="150" spans="1:5" ht="15">
      <c r="A150" t="s">
        <v>122</v>
      </c>
      <c r="B150" t="s">
        <v>123</v>
      </c>
      <c r="C150" t="s">
        <v>213</v>
      </c>
      <c r="E150" s="9">
        <v>41054</v>
      </c>
    </row>
    <row r="151" spans="1:5" ht="15">
      <c r="A151" t="s">
        <v>122</v>
      </c>
      <c r="B151" t="s">
        <v>123</v>
      </c>
      <c r="C151" t="s">
        <v>364</v>
      </c>
      <c r="E151" s="9">
        <v>41456</v>
      </c>
    </row>
    <row r="152" spans="1:5" ht="15">
      <c r="A152" t="s">
        <v>122</v>
      </c>
      <c r="B152" t="s">
        <v>123</v>
      </c>
      <c r="C152" t="s">
        <v>252</v>
      </c>
      <c r="E152" s="9">
        <v>41208</v>
      </c>
    </row>
    <row r="153" spans="1:5" ht="15">
      <c r="A153" t="s">
        <v>122</v>
      </c>
      <c r="B153" t="s">
        <v>123</v>
      </c>
      <c r="C153" t="s">
        <v>228</v>
      </c>
      <c r="E153" s="9">
        <v>41129</v>
      </c>
    </row>
    <row r="154" spans="1:5" ht="15">
      <c r="A154" t="s">
        <v>122</v>
      </c>
      <c r="B154" t="s">
        <v>123</v>
      </c>
      <c r="C154" t="s">
        <v>229</v>
      </c>
      <c r="E154" s="9">
        <v>41129</v>
      </c>
    </row>
    <row r="155" spans="1:3" ht="15">
      <c r="A155" t="s">
        <v>122</v>
      </c>
      <c r="B155" t="s">
        <v>123</v>
      </c>
      <c r="C155" t="s">
        <v>126</v>
      </c>
    </row>
    <row r="156" spans="1:3" ht="15">
      <c r="A156" t="str">
        <f aca="true" t="shared" si="8" ref="A156:A171">"QUERY_TREE_CU_USER"</f>
        <v>QUERY_TREE_CU_USER</v>
      </c>
      <c r="B156" t="str">
        <f aca="true" t="shared" si="9" ref="B156:B171">"GENERAL TABLES"</f>
        <v>GENERAL TABLES</v>
      </c>
      <c r="C156" t="str">
        <f>"TE_BTCH_CU"</f>
        <v>TE_BTCH_CU</v>
      </c>
    </row>
    <row r="157" spans="1:3" ht="15">
      <c r="A157" t="str">
        <f t="shared" si="8"/>
        <v>QUERY_TREE_CU_USER</v>
      </c>
      <c r="B157" t="str">
        <f t="shared" si="9"/>
        <v>GENERAL TABLES</v>
      </c>
      <c r="C157" t="str">
        <f>"TE_DATA_ARCH_CU"</f>
        <v>TE_DATA_ARCH_CU</v>
      </c>
    </row>
    <row r="158" spans="1:3" ht="15">
      <c r="A158" t="str">
        <f t="shared" si="8"/>
        <v>QUERY_TREE_CU_USER</v>
      </c>
      <c r="B158" t="str">
        <f t="shared" si="9"/>
        <v>GENERAL TABLES</v>
      </c>
      <c r="C158" t="str">
        <f>"TE_DATA_CU"</f>
        <v>TE_DATA_CU</v>
      </c>
    </row>
    <row r="159" spans="1:3" ht="15">
      <c r="A159" t="str">
        <f t="shared" si="8"/>
        <v>QUERY_TREE_CU_USER</v>
      </c>
      <c r="B159" t="str">
        <f t="shared" si="9"/>
        <v>GENERAL TABLES</v>
      </c>
      <c r="C159" t="str">
        <f>"TE_EE_CU"</f>
        <v>TE_EE_CU</v>
      </c>
    </row>
    <row r="160" spans="1:5" ht="15">
      <c r="A160" t="s">
        <v>122</v>
      </c>
      <c r="B160" t="s">
        <v>123</v>
      </c>
      <c r="C160" t="s">
        <v>215</v>
      </c>
      <c r="E160" s="9">
        <v>41092</v>
      </c>
    </row>
    <row r="161" spans="1:3" ht="15">
      <c r="A161" t="str">
        <f t="shared" si="8"/>
        <v>QUERY_TREE_CU_USER</v>
      </c>
      <c r="B161" t="str">
        <f t="shared" si="9"/>
        <v>GENERAL TABLES</v>
      </c>
      <c r="C161" t="str">
        <f>"TE_HDR_CU"</f>
        <v>TE_HDR_CU</v>
      </c>
    </row>
    <row r="162" spans="1:3" ht="15">
      <c r="A162" t="str">
        <f t="shared" si="8"/>
        <v>QUERY_TREE_CU_USER</v>
      </c>
      <c r="B162" t="str">
        <f t="shared" si="9"/>
        <v>GENERAL TABLES</v>
      </c>
      <c r="C162" t="str">
        <f>"TE_PYGR_SRCH_CU"</f>
        <v>TE_PYGR_SRCH_CU</v>
      </c>
    </row>
    <row r="163" spans="1:5" ht="15">
      <c r="A163" t="s">
        <v>122</v>
      </c>
      <c r="B163" t="s">
        <v>123</v>
      </c>
      <c r="C163" t="s">
        <v>162</v>
      </c>
      <c r="E163" s="9">
        <v>41054</v>
      </c>
    </row>
    <row r="164" spans="1:3" ht="15">
      <c r="A164" t="str">
        <f t="shared" si="8"/>
        <v>QUERY_TREE_CU_USER</v>
      </c>
      <c r="B164" t="str">
        <f t="shared" si="9"/>
        <v>GENERAL TABLES</v>
      </c>
      <c r="C164" t="str">
        <f>"TRAINING"</f>
        <v>TRAINING</v>
      </c>
    </row>
    <row r="165" spans="1:3" ht="15">
      <c r="A165" t="str">
        <f t="shared" si="8"/>
        <v>QUERY_TREE_CU_USER</v>
      </c>
      <c r="B165" t="str">
        <f t="shared" si="9"/>
        <v>GENERAL TABLES</v>
      </c>
      <c r="C165" t="str">
        <f>"TRAINING_SUM_VW"</f>
        <v>TRAINING_SUM_VW</v>
      </c>
    </row>
    <row r="166" spans="1:5" ht="15">
      <c r="A166" t="str">
        <f t="shared" si="8"/>
        <v>QUERY_TREE_CU_USER</v>
      </c>
      <c r="B166" t="str">
        <f t="shared" si="9"/>
        <v>GENERAL TABLES</v>
      </c>
      <c r="C166" t="s">
        <v>433</v>
      </c>
      <c r="E166" s="9">
        <v>41572</v>
      </c>
    </row>
    <row r="167" spans="1:5" ht="15">
      <c r="A167" t="str">
        <f t="shared" si="8"/>
        <v>QUERY_TREE_CU_USER</v>
      </c>
      <c r="B167" t="str">
        <f t="shared" si="9"/>
        <v>GENERAL TABLES</v>
      </c>
      <c r="C167" t="s">
        <v>434</v>
      </c>
      <c r="E167" s="9">
        <v>41572</v>
      </c>
    </row>
    <row r="168" spans="1:3" ht="15">
      <c r="A168" t="str">
        <f t="shared" si="8"/>
        <v>QUERY_TREE_CU_USER</v>
      </c>
      <c r="B168" t="str">
        <f t="shared" si="9"/>
        <v>GENERAL TABLES</v>
      </c>
      <c r="C168" t="str">
        <f>"WS_ACCT_TBL_CU"</f>
        <v>WS_ACCT_TBL_CU</v>
      </c>
    </row>
    <row r="169" spans="1:3" ht="15">
      <c r="A169" t="str">
        <f t="shared" si="8"/>
        <v>QUERY_TREE_CU_USER</v>
      </c>
      <c r="B169" t="str">
        <f t="shared" si="9"/>
        <v>GENERAL TABLES</v>
      </c>
      <c r="C169" t="str">
        <f>"WS_JOB_LIMIT_CU"</f>
        <v>WS_JOB_LIMIT_CU</v>
      </c>
    </row>
    <row r="170" spans="1:3" ht="15">
      <c r="A170" t="str">
        <f t="shared" si="8"/>
        <v>QUERY_TREE_CU_USER</v>
      </c>
      <c r="B170" t="str">
        <f t="shared" si="9"/>
        <v>GENERAL TABLES</v>
      </c>
      <c r="C170" t="str">
        <f>"WS_PER_LIMIT_CU"</f>
        <v>WS_PER_LIMIT_CU</v>
      </c>
    </row>
    <row r="171" spans="1:3" ht="15">
      <c r="A171" t="str">
        <f t="shared" si="8"/>
        <v>QUERY_TREE_CU_USER</v>
      </c>
      <c r="B171" t="str">
        <f t="shared" si="9"/>
        <v>GENERAL TABLES</v>
      </c>
      <c r="C171" t="str">
        <f>"XLATTABLE_VW"</f>
        <v>XLATTABLE_VW</v>
      </c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0.00390625" style="0" bestFit="1" customWidth="1"/>
    <col min="2" max="2" width="20.8515625" style="0" bestFit="1" customWidth="1"/>
    <col min="3" max="3" width="20.57421875" style="0" customWidth="1"/>
    <col min="4" max="4" width="7.140625" style="0" bestFit="1" customWidth="1"/>
  </cols>
  <sheetData>
    <row r="1" spans="1:4" ht="15">
      <c r="A1" s="4" t="str">
        <f>"TREE_NAME"</f>
        <v>TREE_NAME</v>
      </c>
      <c r="B1" s="4" t="str">
        <f>"PARENT_NODE_NAME"</f>
        <v>PARENT_NODE_NAME</v>
      </c>
      <c r="C1" s="4" t="str">
        <f>"TREE_NODE"</f>
        <v>TREE_NODE</v>
      </c>
      <c r="D1" s="4" t="s">
        <v>205</v>
      </c>
    </row>
    <row r="2" spans="1:4" ht="15">
      <c r="A2" t="s">
        <v>317</v>
      </c>
      <c r="B2" t="s">
        <v>323</v>
      </c>
      <c r="C2" t="s">
        <v>323</v>
      </c>
      <c r="D2" t="s">
        <v>342</v>
      </c>
    </row>
    <row r="3" spans="1:4" ht="15">
      <c r="A3" t="s">
        <v>317</v>
      </c>
      <c r="B3" t="s">
        <v>323</v>
      </c>
      <c r="C3" t="s">
        <v>319</v>
      </c>
      <c r="D3" t="s">
        <v>316</v>
      </c>
    </row>
    <row r="4" spans="1:4" ht="15">
      <c r="A4" t="s">
        <v>317</v>
      </c>
      <c r="B4" t="s">
        <v>323</v>
      </c>
      <c r="C4" t="s">
        <v>406</v>
      </c>
      <c r="D4" t="s">
        <v>342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21.421875" style="0" customWidth="1"/>
    <col min="2" max="2" width="23.7109375" style="0" customWidth="1"/>
    <col min="3" max="3" width="22.421875" style="0" customWidth="1"/>
    <col min="5" max="5" width="7.140625" style="0" bestFit="1" customWidth="1"/>
  </cols>
  <sheetData>
    <row r="1" spans="1:4" ht="15">
      <c r="A1" s="4" t="str">
        <f>"TREE_NAME"</f>
        <v>TREE_NAME</v>
      </c>
      <c r="B1" s="4" t="str">
        <f>"PARENT_NODE_NAME"</f>
        <v>PARENT_NODE_NAME</v>
      </c>
      <c r="C1" s="4" t="str">
        <f>"TREE_NODE"</f>
        <v>TREE_NODE</v>
      </c>
      <c r="D1" s="4" t="s">
        <v>205</v>
      </c>
    </row>
    <row r="2" spans="1:4" ht="15">
      <c r="A2" t="s">
        <v>315</v>
      </c>
      <c r="B2" t="s">
        <v>322</v>
      </c>
      <c r="C2" t="s">
        <v>332</v>
      </c>
      <c r="D2" t="s">
        <v>333</v>
      </c>
    </row>
    <row r="3" spans="1:4" ht="15">
      <c r="A3" t="s">
        <v>315</v>
      </c>
      <c r="B3" t="s">
        <v>322</v>
      </c>
      <c r="C3" t="s">
        <v>320</v>
      </c>
      <c r="D3" t="s">
        <v>316</v>
      </c>
    </row>
    <row r="4" spans="1:4" ht="15">
      <c r="A4" t="s">
        <v>315</v>
      </c>
      <c r="B4" t="s">
        <v>322</v>
      </c>
      <c r="C4" t="s">
        <v>321</v>
      </c>
      <c r="D4" t="s">
        <v>316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Grudle</dc:creator>
  <cp:keywords/>
  <dc:description/>
  <cp:lastModifiedBy>sneezy</cp:lastModifiedBy>
  <cp:lastPrinted>2011-10-12T17:33:47Z</cp:lastPrinted>
  <dcterms:created xsi:type="dcterms:W3CDTF">2010-10-25T17:46:05Z</dcterms:created>
  <dcterms:modified xsi:type="dcterms:W3CDTF">2013-10-31T15:03:16Z</dcterms:modified>
  <cp:category/>
  <cp:version/>
  <cp:contentType/>
  <cp:contentStatus/>
</cp:coreProperties>
</file>