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15" windowWidth="9990" windowHeight="12015" activeTab="0"/>
  </bookViews>
  <sheets>
    <sheet name="FY11 Consolidated" sheetId="1" r:id="rId1"/>
    <sheet name="FY11 Boulder" sheetId="2" r:id="rId2"/>
    <sheet name="FY11 Colorado Springs" sheetId="3" r:id="rId3"/>
    <sheet name="FY11 Denver" sheetId="4" r:id="rId4"/>
    <sheet name="FY11 AMC" sheetId="5" r:id="rId5"/>
  </sheets>
  <externalReferences>
    <externalReference r:id="rId8"/>
    <externalReference r:id="rId9"/>
  </externalReferences>
  <definedNames>
    <definedName name="_xlnm.Print_Area" localSheetId="4">'FY11 AMC'!$A$1:$F$60</definedName>
    <definedName name="_xlnm.Print_Area" localSheetId="1">'FY11 Boulder'!$A$1:$H$72</definedName>
    <definedName name="_xlnm.Print_Area" localSheetId="2">'FY11 Colorado Springs'!$A$1:$F$63</definedName>
    <definedName name="_xlnm.Print_Area" localSheetId="0">'FY11 Consolidated'!$A$1:$F$60</definedName>
    <definedName name="_xlnm.Print_Area" localSheetId="3">'FY11 Denver'!$A$1:$F$60</definedName>
  </definedNames>
  <calcPr fullCalcOnLoad="1"/>
</workbook>
</file>

<file path=xl/sharedStrings.xml><?xml version="1.0" encoding="utf-8"?>
<sst xmlns="http://schemas.openxmlformats.org/spreadsheetml/2006/main" count="313" uniqueCount="79">
  <si>
    <t>FY 2010-11 Current Funds Budget</t>
  </si>
  <si>
    <t>Description</t>
  </si>
  <si>
    <t>State Appropriated Funding</t>
  </si>
  <si>
    <t>Auxiliary &amp; 
Self-Funded Activities</t>
  </si>
  <si>
    <t>Restricted Fund</t>
  </si>
  <si>
    <t>Total Current Funds</t>
  </si>
  <si>
    <t>FY 2010 Est. Actuals Total Current Funds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</si>
  <si>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</si>
  <si>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</si>
  <si>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</si>
  <si>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</si>
  <si>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</si>
  <si>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</si>
  <si>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</si>
  <si>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</si>
  <si>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</si>
  <si>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</si>
  <si>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</si>
  <si>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 xml:space="preserve">American Recovery and Reinvestment  </t>
  </si>
  <si>
    <t>State and Local Grants &amp; Contracts</t>
  </si>
  <si>
    <t>Tobacco Funding</t>
  </si>
  <si>
    <t>Fee for Service Contract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</si>
  <si>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</si>
  <si>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</si>
  <si>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</si>
  <si>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</si>
  <si>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</si>
  <si>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</si>
  <si>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</si>
  <si>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</si>
  <si>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</si>
  <si>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</si>
  <si>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</si>
  <si>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</si>
  <si>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</si>
  <si>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</si>
  <si>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</si>
  <si>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</si>
  <si>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</si>
  <si>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</si>
  <si>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</si>
  <si>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</si>
  <si>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</si>
  <si>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</si>
  <si>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</si>
  <si>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</si>
  <si>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</si>
  <si>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</si>
  <si>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</si>
  <si>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</si>
  <si>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</si>
  <si>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</si>
  <si>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</si>
  <si>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Subtotal Voluntary Transfers</t>
  </si>
  <si>
    <t>TOTAL EXPENDITURES &amp; TRANSFERS</t>
  </si>
  <si>
    <t>Net Increase (Decrease) in Fund Balances</t>
  </si>
  <si>
    <t>University of Colorado</t>
  </si>
  <si>
    <t>CU Consolidated</t>
  </si>
  <si>
    <t>University of Colorado at Boulder</t>
  </si>
  <si>
    <t>Notes:</t>
  </si>
  <si>
    <t xml:space="preserve">2) This schedule removes Restricted Fund revenue equal to the indirect costs associated with research activities ($70.6M in FY2010 and $71.2M in FY2011). </t>
  </si>
  <si>
    <t xml:space="preserve">3) Revenue associated with research activity indirect costs is reflected only in the General Fund and Auxiliary Fund. </t>
  </si>
  <si>
    <t>4) Internal service revenue/expense activity is excluded from this schedule.</t>
  </si>
  <si>
    <t xml:space="preserve">5) All Auxiliary tuition for Continuing Education is classified as "Other Tuition" on this schedule. </t>
  </si>
  <si>
    <t>6) Scholarship allowance, fixed assets and other GASB-related adjustments are not included in the above figures.</t>
  </si>
  <si>
    <t>7) The scholarship continuing budget in the General Fund is estimated to be $39.0M in FY2010 and $41.7M in FY2011. Actual scholarship activity occurs in multiple expenditure categories.</t>
  </si>
  <si>
    <t>8) This schedule includes federal America Recovery and Reinvestment (ARRA) funding for both operating and research enterprise activities.  For FY10, ARRA for operating activities is $50.8M</t>
  </si>
  <si>
    <t>and ARRA for research activities is $19.7M.  For FY11, ARRA for operating activities is $15.5M and ARRA for research activities is $28.4M.</t>
  </si>
  <si>
    <t>For FY2010, the Direct Lending amount is estimated to be $154M and $162M in FY2011.  Pell and Work Study financial aid are in the Restricted Fund.</t>
  </si>
  <si>
    <t>1) This schedule does not include revenue or expenses associated with the Direct Lending Program.   Direct Lending is reported outside of the current funds.</t>
  </si>
  <si>
    <t>Boulder Campus</t>
  </si>
  <si>
    <t>Table A:  FY 2010-11 Current Funds Budget</t>
  </si>
  <si>
    <t>Other Sources (Includes transfers-in)</t>
  </si>
  <si>
    <t>1.) The balance in Voluntary Transfers-Other State Appropriated is being held in reserve for possible future state funding cuts.</t>
  </si>
  <si>
    <t>Colorado Springs Campus</t>
  </si>
  <si>
    <t>University of Colorado Denver</t>
  </si>
  <si>
    <t>Denver Campus</t>
  </si>
  <si>
    <t xml:space="preserve">Other </t>
  </si>
  <si>
    <t xml:space="preserve">Anschutz Medical Campus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</si>
</sst>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[$$-409]#,##0"/>
  </numFmts>
  <fonts count="55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u val="single"/>
      <sz val="9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double"/>
    </border>
    <border>
      <left style="thin"/>
      <right/>
      <top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/>
      <bottom style="double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/>
    </xf>
    <xf numFmtId="164" fontId="10" fillId="0" borderId="10" xfId="0" applyNumberFormat="1" applyFont="1" applyBorder="1" applyAlignment="1">
      <alignment/>
    </xf>
    <xf numFmtId="164" fontId="11" fillId="0" borderId="11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 horizontal="left" indent="1"/>
    </xf>
    <xf numFmtId="164" fontId="11" fillId="0" borderId="13" xfId="0" applyNumberFormat="1" applyFont="1" applyBorder="1" applyAlignment="1">
      <alignment horizontal="left" indent="1"/>
    </xf>
    <xf numFmtId="164" fontId="10" fillId="0" borderId="1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wrapText="1"/>
    </xf>
    <xf numFmtId="164" fontId="10" fillId="0" borderId="16" xfId="0" applyNumberFormat="1" applyFont="1" applyBorder="1" applyAlignment="1">
      <alignment wrapText="1"/>
    </xf>
    <xf numFmtId="164" fontId="10" fillId="0" borderId="17" xfId="0" applyNumberFormat="1" applyFont="1" applyBorder="1" applyAlignment="1">
      <alignment wrapText="1"/>
    </xf>
    <xf numFmtId="164" fontId="11" fillId="0" borderId="10" xfId="0" applyNumberFormat="1" applyFont="1" applyFill="1" applyBorder="1" applyAlignment="1">
      <alignment horizontal="left" indent="1"/>
    </xf>
    <xf numFmtId="164" fontId="11" fillId="0" borderId="0" xfId="0" applyNumberFormat="1" applyFont="1" applyFill="1" applyBorder="1" applyAlignment="1">
      <alignment wrapText="1"/>
    </xf>
    <xf numFmtId="164" fontId="11" fillId="0" borderId="18" xfId="0" applyNumberFormat="1" applyFont="1" applyBorder="1" applyAlignment="1">
      <alignment horizontal="left" indent="1"/>
    </xf>
    <xf numFmtId="164" fontId="11" fillId="0" borderId="19" xfId="0" applyNumberFormat="1" applyFont="1" applyBorder="1" applyAlignment="1">
      <alignment wrapText="1"/>
    </xf>
    <xf numFmtId="164" fontId="11" fillId="0" borderId="19" xfId="0" applyNumberFormat="1" applyFont="1" applyFill="1" applyBorder="1" applyAlignment="1">
      <alignment wrapText="1"/>
    </xf>
    <xf numFmtId="164" fontId="11" fillId="0" borderId="18" xfId="0" applyNumberFormat="1" applyFont="1" applyBorder="1" applyAlignment="1">
      <alignment/>
    </xf>
    <xf numFmtId="164" fontId="11" fillId="0" borderId="20" xfId="0" applyNumberFormat="1" applyFont="1" applyBorder="1" applyAlignment="1">
      <alignment wrapText="1"/>
    </xf>
    <xf numFmtId="164" fontId="11" fillId="0" borderId="14" xfId="0" applyNumberFormat="1" applyFont="1" applyBorder="1" applyAlignment="1">
      <alignment horizontal="right"/>
    </xf>
    <xf numFmtId="164" fontId="11" fillId="0" borderId="15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1" fillId="0" borderId="17" xfId="0" applyNumberFormat="1" applyFont="1" applyBorder="1" applyAlignment="1">
      <alignment wrapText="1"/>
    </xf>
    <xf numFmtId="164" fontId="11" fillId="0" borderId="21" xfId="0" applyNumberFormat="1" applyFont="1" applyBorder="1" applyAlignment="1">
      <alignment wrapText="1"/>
    </xf>
    <xf numFmtId="164" fontId="11" fillId="0" borderId="22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wrapText="1"/>
    </xf>
    <xf numFmtId="164" fontId="11" fillId="0" borderId="24" xfId="0" applyNumberFormat="1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26" xfId="0" applyNumberFormat="1" applyFont="1" applyBorder="1" applyAlignment="1">
      <alignment wrapText="1"/>
    </xf>
    <xf numFmtId="164" fontId="11" fillId="0" borderId="27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 wrapText="1"/>
    </xf>
    <xf numFmtId="164" fontId="11" fillId="0" borderId="29" xfId="0" applyNumberFormat="1" applyFont="1" applyBorder="1" applyAlignment="1">
      <alignment wrapText="1"/>
    </xf>
    <xf numFmtId="164" fontId="2" fillId="0" borderId="27" xfId="0" applyNumberFormat="1" applyFont="1" applyBorder="1" applyAlignment="1">
      <alignment horizontal="center"/>
    </xf>
    <xf numFmtId="0" fontId="51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left" indent="1"/>
    </xf>
    <xf numFmtId="164" fontId="3" fillId="0" borderId="13" xfId="0" applyNumberFormat="1" applyFont="1" applyBorder="1" applyAlignment="1">
      <alignment horizontal="left" indent="1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164" fontId="4" fillId="0" borderId="30" xfId="0" applyNumberFormat="1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164" fontId="3" fillId="0" borderId="10" xfId="0" applyNumberFormat="1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wrapText="1"/>
    </xf>
    <xf numFmtId="164" fontId="3" fillId="0" borderId="18" xfId="0" applyNumberFormat="1" applyFont="1" applyBorder="1" applyAlignment="1">
      <alignment horizontal="left" inden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Fill="1" applyBorder="1" applyAlignment="1">
      <alignment wrapText="1"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164" fontId="3" fillId="0" borderId="21" xfId="0" applyNumberFormat="1" applyFont="1" applyBorder="1" applyAlignment="1">
      <alignment wrapText="1"/>
    </xf>
    <xf numFmtId="164" fontId="3" fillId="0" borderId="31" xfId="0" applyNumberFormat="1" applyFont="1" applyBorder="1" applyAlignment="1">
      <alignment wrapText="1"/>
    </xf>
    <xf numFmtId="164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wrapText="1"/>
    </xf>
    <xf numFmtId="164" fontId="3" fillId="0" borderId="24" xfId="0" applyNumberFormat="1" applyFont="1" applyBorder="1" applyAlignment="1">
      <alignment wrapText="1"/>
    </xf>
    <xf numFmtId="164" fontId="3" fillId="0" borderId="25" xfId="0" applyNumberFormat="1" applyFont="1" applyBorder="1" applyAlignment="1">
      <alignment/>
    </xf>
    <xf numFmtId="164" fontId="3" fillId="0" borderId="26" xfId="0" applyNumberFormat="1" applyFont="1" applyBorder="1" applyAlignment="1">
      <alignment wrapText="1"/>
    </xf>
    <xf numFmtId="165" fontId="3" fillId="0" borderId="27" xfId="0" applyNumberFormat="1" applyFont="1" applyBorder="1" applyAlignment="1">
      <alignment wrapText="1"/>
    </xf>
    <xf numFmtId="164" fontId="3" fillId="0" borderId="27" xfId="0" applyNumberFormat="1" applyFont="1" applyBorder="1" applyAlignment="1">
      <alignment wrapText="1"/>
    </xf>
    <xf numFmtId="164" fontId="3" fillId="0" borderId="28" xfId="0" applyNumberFormat="1" applyFont="1" applyBorder="1" applyAlignment="1">
      <alignment wrapText="1"/>
    </xf>
    <xf numFmtId="164" fontId="3" fillId="0" borderId="29" xfId="0" applyNumberFormat="1" applyFont="1" applyBorder="1" applyAlignment="1">
      <alignment wrapText="1"/>
    </xf>
    <xf numFmtId="0" fontId="52" fillId="0" borderId="0" xfId="0" applyFont="1" applyAlignment="1">
      <alignment/>
    </xf>
    <xf numFmtId="164" fontId="4" fillId="33" borderId="32" xfId="0" applyNumberFormat="1" applyFont="1" applyFill="1" applyBorder="1" applyAlignment="1">
      <alignment/>
    </xf>
    <xf numFmtId="164" fontId="4" fillId="33" borderId="33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wrapText="1"/>
    </xf>
    <xf numFmtId="0" fontId="53" fillId="0" borderId="0" xfId="0" applyFont="1" applyAlignment="1">
      <alignment/>
    </xf>
    <xf numFmtId="164" fontId="3" fillId="0" borderId="34" xfId="0" applyNumberFormat="1" applyFont="1" applyBorder="1" applyAlignment="1">
      <alignment wrapText="1"/>
    </xf>
    <xf numFmtId="164" fontId="11" fillId="0" borderId="35" xfId="0" applyNumberFormat="1" applyFont="1" applyBorder="1" applyAlignment="1">
      <alignment wrapText="1"/>
    </xf>
    <xf numFmtId="164" fontId="11" fillId="0" borderId="12" xfId="0" applyNumberFormat="1" applyFont="1" applyFill="1" applyBorder="1" applyAlignment="1">
      <alignment wrapText="1"/>
    </xf>
    <xf numFmtId="164" fontId="11" fillId="0" borderId="36" xfId="0" applyNumberFormat="1" applyFont="1" applyFill="1" applyBorder="1" applyAlignment="1">
      <alignment wrapText="1"/>
    </xf>
    <xf numFmtId="164" fontId="11" fillId="0" borderId="36" xfId="0" applyNumberFormat="1" applyFont="1" applyBorder="1" applyAlignment="1">
      <alignment wrapText="1"/>
    </xf>
    <xf numFmtId="164" fontId="11" fillId="0" borderId="37" xfId="0" applyNumberFormat="1" applyFont="1" applyBorder="1" applyAlignment="1">
      <alignment wrapText="1"/>
    </xf>
    <xf numFmtId="164" fontId="11" fillId="0" borderId="38" xfId="0" applyNumberFormat="1" applyFont="1" applyBorder="1" applyAlignment="1">
      <alignment wrapText="1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wrapText="1"/>
    </xf>
    <xf numFmtId="164" fontId="11" fillId="0" borderId="20" xfId="0" applyNumberFormat="1" applyFont="1" applyFill="1" applyBorder="1" applyAlignment="1">
      <alignment wrapText="1"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 wrapText="1"/>
    </xf>
    <xf numFmtId="164" fontId="11" fillId="0" borderId="34" xfId="0" applyNumberFormat="1" applyFont="1" applyBorder="1" applyAlignment="1">
      <alignment wrapText="1"/>
    </xf>
    <xf numFmtId="164" fontId="3" fillId="0" borderId="35" xfId="0" applyNumberFormat="1" applyFont="1" applyBorder="1" applyAlignment="1">
      <alignment wrapText="1"/>
    </xf>
    <xf numFmtId="164" fontId="3" fillId="0" borderId="12" xfId="0" applyNumberFormat="1" applyFont="1" applyFill="1" applyBorder="1" applyAlignment="1">
      <alignment wrapText="1"/>
    </xf>
    <xf numFmtId="164" fontId="3" fillId="0" borderId="36" xfId="0" applyNumberFormat="1" applyFont="1" applyFill="1" applyBorder="1" applyAlignment="1">
      <alignment wrapText="1"/>
    </xf>
    <xf numFmtId="164" fontId="3" fillId="0" borderId="36" xfId="0" applyNumberFormat="1" applyFont="1" applyBorder="1" applyAlignment="1">
      <alignment wrapText="1"/>
    </xf>
    <xf numFmtId="164" fontId="3" fillId="0" borderId="37" xfId="0" applyNumberFormat="1" applyFont="1" applyBorder="1" applyAlignment="1">
      <alignment wrapText="1"/>
    </xf>
    <xf numFmtId="164" fontId="3" fillId="0" borderId="38" xfId="0" applyNumberFormat="1" applyFont="1" applyBorder="1" applyAlignment="1">
      <alignment wrapText="1"/>
    </xf>
    <xf numFmtId="0" fontId="7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164" fontId="4" fillId="33" borderId="39" xfId="0" applyNumberFormat="1" applyFont="1" applyFill="1" applyBorder="1" applyAlignment="1">
      <alignment/>
    </xf>
    <xf numFmtId="164" fontId="4" fillId="33" borderId="4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64" fontId="54" fillId="34" borderId="41" xfId="62" applyNumberFormat="1" applyFont="1" applyFill="1" applyBorder="1" applyAlignment="1">
      <alignment horizontal="center" wrapText="1"/>
      <protection/>
    </xf>
    <xf numFmtId="164" fontId="54" fillId="34" borderId="42" xfId="62" applyNumberFormat="1" applyFont="1" applyFill="1" applyBorder="1" applyAlignment="1">
      <alignment horizontal="center" wrapText="1"/>
      <protection/>
    </xf>
    <xf numFmtId="164" fontId="54" fillId="34" borderId="43" xfId="62" applyNumberFormat="1" applyFont="1" applyFill="1" applyBorder="1" applyAlignment="1">
      <alignment horizontal="center" wrapText="1"/>
      <protection/>
    </xf>
    <xf numFmtId="164" fontId="54" fillId="34" borderId="44" xfId="62" applyNumberFormat="1" applyFont="1" applyFill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urrency" xfId="49"/>
    <cellStyle name="Currency [0]" xfId="50"/>
    <cellStyle name="Currency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liss\Local%20Settings\Temporary%20Internet%20Files\Content.Outlook\BZAVG2RL\UCD%20DC%20AMC%20Tables%20ABC%20to%20C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liss\Local%20Settings\Temporary%20Internet%20Files\Content.Outlook\BZAVG2RL\UCD%20DDC%20AMC%20Tables%20AB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 Table A- Current Funds"/>
      <sheetName val="DC Table B- State Appropriated"/>
      <sheetName val="DC Table C -- Research"/>
      <sheetName val="AMC Table A- Current Funds"/>
      <sheetName val="AMC Table B- State Appropriated"/>
      <sheetName val="AMC Table C- Resear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DC Table A- Current Funds"/>
      <sheetName val="DDC Table B- State Appropriated"/>
      <sheetName val="DDC Table C -- Research"/>
      <sheetName val="AMC Table A- Current Funds"/>
      <sheetName val="AMC Table B- State Appropriated"/>
      <sheetName val="AMC Table C- Resear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GridLines="0" tabSelected="1" zoomScale="90" zoomScaleNormal="90" zoomScalePageLayoutView="0" workbookViewId="0" topLeftCell="A1">
      <selection activeCell="I7" sqref="I7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7" ht="15.75">
      <c r="A1" s="100" t="s">
        <v>0</v>
      </c>
      <c r="B1" s="100"/>
      <c r="C1" s="100"/>
      <c r="D1" s="100"/>
      <c r="E1" s="100"/>
      <c r="F1" s="100"/>
      <c r="G1" s="69"/>
    </row>
    <row r="2" spans="1:7" ht="15.75">
      <c r="A2" s="100" t="s">
        <v>56</v>
      </c>
      <c r="B2" s="100"/>
      <c r="C2" s="100"/>
      <c r="D2" s="100"/>
      <c r="E2" s="100"/>
      <c r="F2" s="100"/>
      <c r="G2" s="69"/>
    </row>
    <row r="3" spans="1:7" s="1" customFormat="1" ht="15.75">
      <c r="A3" s="102" t="s">
        <v>57</v>
      </c>
      <c r="B3" s="102"/>
      <c r="C3" s="102"/>
      <c r="D3" s="102"/>
      <c r="E3" s="102"/>
      <c r="F3" s="102"/>
      <c r="G3" s="69"/>
    </row>
    <row r="4" spans="1:7" ht="16.5" thickBot="1">
      <c r="A4" s="101"/>
      <c r="B4" s="101"/>
      <c r="C4" s="101"/>
      <c r="D4" s="101"/>
      <c r="E4" s="101"/>
      <c r="F4" s="101"/>
      <c r="G4" s="69"/>
    </row>
    <row r="5" spans="1:7" ht="39.75" thickBot="1">
      <c r="A5" s="106" t="s">
        <v>1</v>
      </c>
      <c r="B5" s="107" t="s">
        <v>2</v>
      </c>
      <c r="C5" s="107" t="s">
        <v>3</v>
      </c>
      <c r="D5" s="107" t="s">
        <v>4</v>
      </c>
      <c r="E5" s="107" t="s">
        <v>5</v>
      </c>
      <c r="F5" s="108" t="s">
        <v>6</v>
      </c>
      <c r="G5" s="34"/>
    </row>
    <row r="6" spans="1:7" ht="15">
      <c r="A6" s="35" t="s">
        <v>7</v>
      </c>
      <c r="B6" s="36"/>
      <c r="C6" s="37"/>
      <c r="D6" s="37"/>
      <c r="E6" s="37"/>
      <c r="F6" s="38"/>
      <c r="G6" s="34"/>
    </row>
    <row r="7" spans="1:7" ht="15">
      <c r="A7" s="39" t="s">
        <v>8</v>
      </c>
      <c r="B7" s="36"/>
      <c r="C7" s="37"/>
      <c r="D7" s="37"/>
      <c r="E7" s="37"/>
      <c r="F7" s="38"/>
      <c r="G7" s="34"/>
    </row>
    <row r="8" spans="1:7" ht="15">
      <c r="A8" s="40" t="s">
        <v>9</v>
      </c>
      <c r="B8" s="36">
        <v>55346160</v>
      </c>
      <c r="C8" s="37">
        <v>0</v>
      </c>
      <c r="D8" s="37">
        <v>0</v>
      </c>
      <c r="E8" s="37">
        <v>55346160</v>
      </c>
      <c r="F8" s="38">
        <v>37438022</v>
      </c>
      <c r="G8" s="34"/>
    </row>
    <row r="9" spans="1:7" ht="15">
      <c r="A9" s="40" t="s">
        <v>10</v>
      </c>
      <c r="B9" s="36">
        <v>331644070</v>
      </c>
      <c r="C9" s="37">
        <v>0</v>
      </c>
      <c r="D9" s="37">
        <v>0</v>
      </c>
      <c r="E9" s="37">
        <v>331644070</v>
      </c>
      <c r="F9" s="38">
        <v>306643735</v>
      </c>
      <c r="G9" s="34"/>
    </row>
    <row r="10" spans="1:7" ht="15">
      <c r="A10" s="40" t="s">
        <v>11</v>
      </c>
      <c r="B10" s="36">
        <v>305904610</v>
      </c>
      <c r="C10" s="37">
        <v>0</v>
      </c>
      <c r="D10" s="37">
        <v>0</v>
      </c>
      <c r="E10" s="37">
        <v>305904610</v>
      </c>
      <c r="F10" s="38">
        <v>286880146</v>
      </c>
      <c r="G10" s="34"/>
    </row>
    <row r="11" spans="1:7" ht="15">
      <c r="A11" s="40" t="s">
        <v>12</v>
      </c>
      <c r="B11" s="36">
        <v>0</v>
      </c>
      <c r="C11" s="37">
        <v>49894127.37772</v>
      </c>
      <c r="D11" s="37">
        <v>0</v>
      </c>
      <c r="E11" s="37">
        <v>49894127.37772</v>
      </c>
      <c r="F11" s="38">
        <v>44030291</v>
      </c>
      <c r="G11" s="34"/>
    </row>
    <row r="12" spans="1:7" ht="15">
      <c r="A12" s="41" t="s">
        <v>13</v>
      </c>
      <c r="B12" s="36">
        <v>32844914</v>
      </c>
      <c r="C12" s="37">
        <v>52496578.48924</v>
      </c>
      <c r="D12" s="37">
        <v>0</v>
      </c>
      <c r="E12" s="37">
        <v>85341492.48923999</v>
      </c>
      <c r="F12" s="38">
        <v>83090168</v>
      </c>
      <c r="G12" s="34"/>
    </row>
    <row r="13" spans="1:7" ht="15">
      <c r="A13" s="42" t="s">
        <v>14</v>
      </c>
      <c r="B13" s="43">
        <v>725739754</v>
      </c>
      <c r="C13" s="44">
        <v>102390705.86695999</v>
      </c>
      <c r="D13" s="44">
        <v>0</v>
      </c>
      <c r="E13" s="45">
        <v>828130459.86696</v>
      </c>
      <c r="F13" s="46">
        <v>758082362</v>
      </c>
      <c r="G13" s="34"/>
    </row>
    <row r="14" spans="1:7" ht="15">
      <c r="A14" s="39" t="s">
        <v>15</v>
      </c>
      <c r="B14" s="36">
        <v>14923483</v>
      </c>
      <c r="C14" s="37">
        <v>25245697</v>
      </c>
      <c r="D14" s="37">
        <v>5752738</v>
      </c>
      <c r="E14" s="37">
        <v>45921918</v>
      </c>
      <c r="F14" s="38">
        <v>40079078</v>
      </c>
      <c r="G14" s="34"/>
    </row>
    <row r="15" spans="1:7" ht="15">
      <c r="A15" s="39" t="s">
        <v>16</v>
      </c>
      <c r="B15" s="36"/>
      <c r="C15" s="37"/>
      <c r="D15" s="37"/>
      <c r="E15" s="37"/>
      <c r="F15" s="38"/>
      <c r="G15" s="34"/>
    </row>
    <row r="16" spans="1:7" ht="15">
      <c r="A16" s="40" t="s">
        <v>17</v>
      </c>
      <c r="B16" s="36">
        <v>0</v>
      </c>
      <c r="C16" s="37">
        <v>0</v>
      </c>
      <c r="D16" s="37">
        <v>492688532.19159997</v>
      </c>
      <c r="E16" s="37">
        <v>492688532.19159997</v>
      </c>
      <c r="F16" s="38">
        <v>485833802</v>
      </c>
      <c r="G16" s="34"/>
    </row>
    <row r="17" spans="1:7" ht="15">
      <c r="A17" s="47" t="s">
        <v>18</v>
      </c>
      <c r="B17" s="36">
        <v>33361537</v>
      </c>
      <c r="C17" s="37">
        <v>0</v>
      </c>
      <c r="D17" s="37">
        <v>542699</v>
      </c>
      <c r="E17" s="37">
        <v>33904236</v>
      </c>
      <c r="F17" s="38">
        <v>120888356</v>
      </c>
      <c r="G17" s="34"/>
    </row>
    <row r="18" spans="1:7" ht="15">
      <c r="A18" s="40" t="s">
        <v>19</v>
      </c>
      <c r="B18" s="36">
        <v>0</v>
      </c>
      <c r="C18" s="37">
        <v>0</v>
      </c>
      <c r="D18" s="37">
        <v>46876764.0675</v>
      </c>
      <c r="E18" s="37">
        <v>46876764.0675</v>
      </c>
      <c r="F18" s="38">
        <v>47417209</v>
      </c>
      <c r="G18" s="34"/>
    </row>
    <row r="19" spans="1:7" ht="15">
      <c r="A19" s="40" t="s">
        <v>20</v>
      </c>
      <c r="B19" s="36">
        <v>16004485</v>
      </c>
      <c r="C19" s="37">
        <v>0</v>
      </c>
      <c r="D19" s="37">
        <v>0</v>
      </c>
      <c r="E19" s="37">
        <v>16004485</v>
      </c>
      <c r="F19" s="38">
        <v>17150000</v>
      </c>
      <c r="G19" s="34"/>
    </row>
    <row r="20" spans="1:7" ht="15">
      <c r="A20" s="41" t="s">
        <v>21</v>
      </c>
      <c r="B20" s="36">
        <v>103757823</v>
      </c>
      <c r="C20" s="37">
        <v>0</v>
      </c>
      <c r="D20" s="37">
        <v>0</v>
      </c>
      <c r="E20" s="37">
        <v>103757823</v>
      </c>
      <c r="F20" s="38">
        <v>50773071</v>
      </c>
      <c r="G20" s="34"/>
    </row>
    <row r="21" spans="1:7" ht="15">
      <c r="A21" s="42" t="s">
        <v>22</v>
      </c>
      <c r="B21" s="43">
        <v>168047328</v>
      </c>
      <c r="C21" s="44">
        <v>25245697</v>
      </c>
      <c r="D21" s="44">
        <v>545860733.2591</v>
      </c>
      <c r="E21" s="44">
        <v>739153758.2591</v>
      </c>
      <c r="F21" s="46">
        <v>762141516</v>
      </c>
      <c r="G21" s="34"/>
    </row>
    <row r="22" spans="1:7" ht="15">
      <c r="A22" s="39" t="s">
        <v>23</v>
      </c>
      <c r="B22" s="36">
        <v>0</v>
      </c>
      <c r="C22" s="37">
        <v>0</v>
      </c>
      <c r="D22" s="37">
        <v>187394721.69889998</v>
      </c>
      <c r="E22" s="37">
        <v>187394721.69889998</v>
      </c>
      <c r="F22" s="38">
        <v>177413801</v>
      </c>
      <c r="G22" s="34"/>
    </row>
    <row r="23" spans="1:7" ht="15">
      <c r="A23" s="39" t="s">
        <v>24</v>
      </c>
      <c r="B23" s="36">
        <v>0</v>
      </c>
      <c r="C23" s="37">
        <v>143509396.8743</v>
      </c>
      <c r="D23" s="37">
        <v>0</v>
      </c>
      <c r="E23" s="48">
        <v>143509396.8743</v>
      </c>
      <c r="F23" s="38">
        <v>137517870.17000002</v>
      </c>
      <c r="G23" s="34"/>
    </row>
    <row r="24" spans="1:7" ht="15">
      <c r="A24" s="39" t="s">
        <v>25</v>
      </c>
      <c r="B24" s="36">
        <v>0</v>
      </c>
      <c r="C24" s="37">
        <v>185542974.14992002</v>
      </c>
      <c r="D24" s="37">
        <v>0</v>
      </c>
      <c r="E24" s="37">
        <v>185542974.14992002</v>
      </c>
      <c r="F24" s="38">
        <v>179105502.48</v>
      </c>
      <c r="G24" s="34"/>
    </row>
    <row r="25" spans="1:7" ht="15">
      <c r="A25" s="39" t="s">
        <v>26</v>
      </c>
      <c r="B25" s="36">
        <v>1620000</v>
      </c>
      <c r="C25" s="37">
        <v>408545657.62208</v>
      </c>
      <c r="D25" s="37">
        <v>0</v>
      </c>
      <c r="E25" s="37">
        <v>410165657.62208</v>
      </c>
      <c r="F25" s="38">
        <v>390633960</v>
      </c>
      <c r="G25" s="34"/>
    </row>
    <row r="26" spans="1:7" ht="15">
      <c r="A26" s="39" t="s">
        <v>27</v>
      </c>
      <c r="B26" s="36"/>
      <c r="C26" s="37"/>
      <c r="D26" s="37"/>
      <c r="E26" s="37"/>
      <c r="F26" s="38"/>
      <c r="G26" s="34"/>
    </row>
    <row r="27" spans="1:7" ht="15">
      <c r="A27" s="40" t="s">
        <v>28</v>
      </c>
      <c r="B27" s="36">
        <v>104287317</v>
      </c>
      <c r="C27" s="37">
        <v>49123914</v>
      </c>
      <c r="D27" s="37">
        <v>0</v>
      </c>
      <c r="E27" s="37">
        <v>153411231</v>
      </c>
      <c r="F27" s="38">
        <v>148093020</v>
      </c>
      <c r="G27" s="34"/>
    </row>
    <row r="28" spans="1:7" ht="15">
      <c r="A28" s="40" t="s">
        <v>29</v>
      </c>
      <c r="B28" s="36">
        <v>4375010</v>
      </c>
      <c r="C28" s="37">
        <v>0</v>
      </c>
      <c r="D28" s="37">
        <v>0</v>
      </c>
      <c r="E28" s="37">
        <v>4375010</v>
      </c>
      <c r="F28" s="38">
        <v>4195310</v>
      </c>
      <c r="G28" s="34"/>
    </row>
    <row r="29" spans="1:7" ht="15.75" thickBot="1">
      <c r="A29" s="49" t="s">
        <v>30</v>
      </c>
      <c r="B29" s="61">
        <v>47379108</v>
      </c>
      <c r="C29" s="50">
        <v>60504664.8371</v>
      </c>
      <c r="D29" s="50">
        <v>3846606.5363</v>
      </c>
      <c r="E29" s="75">
        <v>111730379.3734</v>
      </c>
      <c r="F29" s="38">
        <v>117847581</v>
      </c>
      <c r="G29" s="34"/>
    </row>
    <row r="30" spans="1:7" ht="15.75" thickTop="1">
      <c r="A30" s="70" t="s">
        <v>31</v>
      </c>
      <c r="B30" s="72">
        <v>1051448517</v>
      </c>
      <c r="C30" s="73">
        <v>974863010.3503599</v>
      </c>
      <c r="D30" s="73">
        <v>737102061.4942999</v>
      </c>
      <c r="E30" s="74">
        <v>2763413588.84466</v>
      </c>
      <c r="F30" s="71">
        <v>2675030922.65</v>
      </c>
      <c r="G30" s="34"/>
    </row>
    <row r="31" spans="1:7" ht="15">
      <c r="A31" s="39"/>
      <c r="B31" s="36"/>
      <c r="C31" s="37"/>
      <c r="D31" s="37"/>
      <c r="E31" s="37"/>
      <c r="F31" s="38"/>
      <c r="G31" s="76"/>
    </row>
    <row r="32" spans="1:7" ht="15">
      <c r="A32" s="35" t="s">
        <v>32</v>
      </c>
      <c r="B32" s="36"/>
      <c r="C32" s="37"/>
      <c r="D32" s="37"/>
      <c r="E32" s="37"/>
      <c r="F32" s="38"/>
      <c r="G32" s="34"/>
    </row>
    <row r="33" spans="1:7" ht="15">
      <c r="A33" s="39" t="s">
        <v>33</v>
      </c>
      <c r="B33" s="36"/>
      <c r="C33" s="37"/>
      <c r="D33" s="37"/>
      <c r="E33" s="37"/>
      <c r="F33" s="38"/>
      <c r="G33" s="34"/>
    </row>
    <row r="34" spans="1:7" ht="15">
      <c r="A34" s="40" t="s">
        <v>34</v>
      </c>
      <c r="B34" s="36">
        <v>520645402.3885</v>
      </c>
      <c r="C34" s="37">
        <v>151797010.06770003</v>
      </c>
      <c r="D34" s="37">
        <v>110668032.47670001</v>
      </c>
      <c r="E34" s="37">
        <v>783110444.9329</v>
      </c>
      <c r="F34" s="38">
        <v>759707905.820819</v>
      </c>
      <c r="G34" s="34"/>
    </row>
    <row r="35" spans="1:7" ht="15">
      <c r="A35" s="40" t="s">
        <v>35</v>
      </c>
      <c r="B35" s="36">
        <v>3667858.3101000004</v>
      </c>
      <c r="C35" s="37">
        <v>406213.42588</v>
      </c>
      <c r="D35" s="37">
        <v>469069513.06949997</v>
      </c>
      <c r="E35" s="37">
        <v>473143584.80547994</v>
      </c>
      <c r="F35" s="38">
        <v>466996603.111392</v>
      </c>
      <c r="G35" s="34"/>
    </row>
    <row r="36" spans="1:7" ht="15">
      <c r="A36" s="40" t="s">
        <v>36</v>
      </c>
      <c r="B36" s="36">
        <v>1086318.5082</v>
      </c>
      <c r="C36" s="37">
        <v>51400761.942360006</v>
      </c>
      <c r="D36" s="37">
        <v>42792591.3055</v>
      </c>
      <c r="E36" s="37">
        <v>95279671.75606</v>
      </c>
      <c r="F36" s="38">
        <v>90461168.11919308</v>
      </c>
      <c r="G36" s="34"/>
    </row>
    <row r="37" spans="1:7" ht="15">
      <c r="A37" s="40" t="s">
        <v>37</v>
      </c>
      <c r="B37" s="36">
        <v>138940408.65</v>
      </c>
      <c r="C37" s="37">
        <v>8080672.02329</v>
      </c>
      <c r="D37" s="37">
        <v>5622514.694700001</v>
      </c>
      <c r="E37" s="37">
        <v>152643595.36799002</v>
      </c>
      <c r="F37" s="38">
        <v>150959224.3241446</v>
      </c>
      <c r="G37" s="34"/>
    </row>
    <row r="38" spans="1:7" ht="15">
      <c r="A38" s="40" t="s">
        <v>38</v>
      </c>
      <c r="B38" s="36">
        <v>49519572.945999995</v>
      </c>
      <c r="C38" s="37">
        <v>44434461.206030004</v>
      </c>
      <c r="D38" s="37">
        <v>5657523.7336</v>
      </c>
      <c r="E38" s="37">
        <v>99611557.88563</v>
      </c>
      <c r="F38" s="38">
        <v>97395451.21163979</v>
      </c>
      <c r="G38" s="34"/>
    </row>
    <row r="39" spans="1:7" ht="15">
      <c r="A39" s="40" t="s">
        <v>39</v>
      </c>
      <c r="B39" s="36">
        <v>119072888.67</v>
      </c>
      <c r="C39" s="37">
        <v>32597699.32116</v>
      </c>
      <c r="D39" s="37">
        <v>3613648.3072000006</v>
      </c>
      <c r="E39" s="37">
        <v>155284236.29836002</v>
      </c>
      <c r="F39" s="38">
        <v>155738683.0694398</v>
      </c>
      <c r="G39" s="34"/>
    </row>
    <row r="40" spans="1:7" ht="15">
      <c r="A40" s="40" t="s">
        <v>40</v>
      </c>
      <c r="B40" s="36">
        <v>93364357.27000001</v>
      </c>
      <c r="C40" s="37">
        <v>17824034.0024</v>
      </c>
      <c r="D40" s="37">
        <v>1276970.6467</v>
      </c>
      <c r="E40" s="37">
        <v>112465361.9191</v>
      </c>
      <c r="F40" s="38">
        <v>110931985.21920002</v>
      </c>
      <c r="G40" s="34"/>
    </row>
    <row r="41" spans="1:7" ht="15">
      <c r="A41" s="40" t="s">
        <v>41</v>
      </c>
      <c r="B41" s="36">
        <v>41057607.99</v>
      </c>
      <c r="C41" s="37">
        <v>8320518.469</v>
      </c>
      <c r="D41" s="37">
        <v>84543875.58489999</v>
      </c>
      <c r="E41" s="37">
        <v>133922002.04389998</v>
      </c>
      <c r="F41" s="38">
        <v>122272090.85620001</v>
      </c>
      <c r="G41" s="34"/>
    </row>
    <row r="42" spans="1:7" ht="15">
      <c r="A42" s="39" t="s">
        <v>42</v>
      </c>
      <c r="B42" s="36">
        <v>0</v>
      </c>
      <c r="C42" s="37">
        <v>175875840.39080998</v>
      </c>
      <c r="D42" s="37">
        <v>8988549.2412</v>
      </c>
      <c r="E42" s="37">
        <v>184864389.63200998</v>
      </c>
      <c r="F42" s="38">
        <v>182899938.5898</v>
      </c>
      <c r="G42" s="34"/>
    </row>
    <row r="43" spans="1:7" ht="15">
      <c r="A43" s="39" t="s">
        <v>26</v>
      </c>
      <c r="B43" s="36">
        <v>0</v>
      </c>
      <c r="C43" s="37">
        <v>395047206.78795</v>
      </c>
      <c r="D43" s="37">
        <v>204980</v>
      </c>
      <c r="E43" s="37">
        <v>395252186.78795</v>
      </c>
      <c r="F43" s="38">
        <v>380959927.12160003</v>
      </c>
      <c r="G43" s="34"/>
    </row>
    <row r="44" spans="1:7" ht="15.75" thickBot="1">
      <c r="A44" s="52" t="s">
        <v>43</v>
      </c>
      <c r="B44" s="61">
        <v>0</v>
      </c>
      <c r="C44" s="50">
        <v>0</v>
      </c>
      <c r="D44" s="50">
        <v>101411</v>
      </c>
      <c r="E44" s="77">
        <v>101411</v>
      </c>
      <c r="F44" s="38">
        <v>780295</v>
      </c>
      <c r="G44" s="34"/>
    </row>
    <row r="45" spans="1:7" ht="15.75" thickTop="1">
      <c r="A45" s="70" t="s">
        <v>44</v>
      </c>
      <c r="B45" s="72">
        <v>967354414.7327999</v>
      </c>
      <c r="C45" s="73">
        <v>885784417.63658</v>
      </c>
      <c r="D45" s="73">
        <v>732539610.0600001</v>
      </c>
      <c r="E45" s="74">
        <v>2585678442.42938</v>
      </c>
      <c r="F45" s="71">
        <v>2519103272.4434285</v>
      </c>
      <c r="G45" s="34"/>
    </row>
    <row r="46" spans="1:7" ht="15">
      <c r="A46" s="39"/>
      <c r="B46" s="36"/>
      <c r="C46" s="37"/>
      <c r="D46" s="37"/>
      <c r="E46" s="37"/>
      <c r="F46" s="38"/>
      <c r="G46" s="34"/>
    </row>
    <row r="47" spans="1:7" ht="15">
      <c r="A47" s="35" t="s">
        <v>45</v>
      </c>
      <c r="B47" s="36"/>
      <c r="C47" s="37"/>
      <c r="D47" s="37"/>
      <c r="E47" s="37"/>
      <c r="F47" s="38"/>
      <c r="G47" s="34"/>
    </row>
    <row r="48" spans="1:7" ht="15">
      <c r="A48" s="39" t="s">
        <v>46</v>
      </c>
      <c r="B48" s="36"/>
      <c r="C48" s="37"/>
      <c r="D48" s="37"/>
      <c r="E48" s="37"/>
      <c r="F48" s="38"/>
      <c r="G48" s="34"/>
    </row>
    <row r="49" spans="1:7" ht="15">
      <c r="A49" s="40" t="s">
        <v>47</v>
      </c>
      <c r="B49" s="36">
        <v>15813097</v>
      </c>
      <c r="C49" s="37">
        <v>77389350</v>
      </c>
      <c r="D49" s="37">
        <v>0</v>
      </c>
      <c r="E49" s="37">
        <v>93202447</v>
      </c>
      <c r="F49" s="38">
        <v>72335392</v>
      </c>
      <c r="G49" s="34"/>
    </row>
    <row r="50" spans="1:7" ht="15">
      <c r="A50" s="40" t="s">
        <v>48</v>
      </c>
      <c r="B50" s="36">
        <v>0</v>
      </c>
      <c r="C50" s="37">
        <v>6761054</v>
      </c>
      <c r="D50" s="37">
        <v>0</v>
      </c>
      <c r="E50" s="37">
        <v>6761054</v>
      </c>
      <c r="F50" s="38">
        <v>8656017</v>
      </c>
      <c r="G50" s="34"/>
    </row>
    <row r="51" spans="1:7" ht="15">
      <c r="A51" s="41" t="s">
        <v>49</v>
      </c>
      <c r="B51" s="36">
        <v>6943239</v>
      </c>
      <c r="C51" s="53">
        <v>0</v>
      </c>
      <c r="D51" s="37">
        <v>0</v>
      </c>
      <c r="E51" s="37">
        <v>6943239</v>
      </c>
      <c r="F51" s="38">
        <v>7226093</v>
      </c>
      <c r="G51" s="34"/>
    </row>
    <row r="52" spans="1:7" ht="15">
      <c r="A52" s="54" t="s">
        <v>50</v>
      </c>
      <c r="B52" s="55">
        <v>22756336</v>
      </c>
      <c r="C52" s="53">
        <v>84150404</v>
      </c>
      <c r="D52" s="56">
        <v>0</v>
      </c>
      <c r="E52" s="56">
        <v>106906740</v>
      </c>
      <c r="F52" s="57">
        <v>88217502</v>
      </c>
      <c r="G52" s="34"/>
    </row>
    <row r="53" spans="1:7" ht="15">
      <c r="A53" s="39"/>
      <c r="B53" s="36"/>
      <c r="C53" s="37"/>
      <c r="D53" s="37"/>
      <c r="E53" s="37"/>
      <c r="F53" s="38"/>
      <c r="G53" s="34"/>
    </row>
    <row r="54" spans="1:7" ht="15">
      <c r="A54" s="39" t="s">
        <v>51</v>
      </c>
      <c r="B54" s="36"/>
      <c r="C54" s="37"/>
      <c r="D54" s="37"/>
      <c r="E54" s="37"/>
      <c r="F54" s="38"/>
      <c r="G54" s="34"/>
    </row>
    <row r="55" spans="1:7" ht="15">
      <c r="A55" s="40" t="s">
        <v>52</v>
      </c>
      <c r="B55" s="36">
        <v>0</v>
      </c>
      <c r="C55" s="37">
        <v>0</v>
      </c>
      <c r="D55" s="37">
        <v>0</v>
      </c>
      <c r="E55" s="37">
        <v>0</v>
      </c>
      <c r="F55" s="38">
        <v>0</v>
      </c>
      <c r="G55" s="34"/>
    </row>
    <row r="56" spans="1:7" ht="15">
      <c r="A56" s="41" t="s">
        <v>43</v>
      </c>
      <c r="B56" s="58">
        <v>61337766</v>
      </c>
      <c r="C56" s="53">
        <v>4928189</v>
      </c>
      <c r="D56" s="53">
        <v>4562451</v>
      </c>
      <c r="E56" s="59">
        <v>70828406</v>
      </c>
      <c r="F56" s="38">
        <v>67710149</v>
      </c>
      <c r="G56" s="34"/>
    </row>
    <row r="57" spans="1:7" ht="15.75" thickBot="1">
      <c r="A57" s="60" t="s">
        <v>53</v>
      </c>
      <c r="B57" s="61">
        <v>61337766</v>
      </c>
      <c r="C57" s="50">
        <v>4928189</v>
      </c>
      <c r="D57" s="50">
        <v>4562451</v>
      </c>
      <c r="E57" s="50">
        <v>70828406</v>
      </c>
      <c r="F57" s="62">
        <v>67710149</v>
      </c>
      <c r="G57" s="34"/>
    </row>
    <row r="58" spans="1:7" ht="15.75" thickTop="1">
      <c r="A58" s="70" t="s">
        <v>54</v>
      </c>
      <c r="B58" s="72">
        <v>1051448516.7327999</v>
      </c>
      <c r="C58" s="73">
        <v>974863010.63658</v>
      </c>
      <c r="D58" s="73">
        <v>737102061.0600001</v>
      </c>
      <c r="E58" s="74">
        <v>2763413588.42938</v>
      </c>
      <c r="F58" s="71">
        <v>2675030923.4434285</v>
      </c>
      <c r="G58" s="34"/>
    </row>
    <row r="59" spans="1:7" ht="15">
      <c r="A59" s="39"/>
      <c r="B59" s="36"/>
      <c r="C59" s="37"/>
      <c r="D59" s="37"/>
      <c r="E59" s="37"/>
      <c r="F59" s="38"/>
      <c r="G59" s="34"/>
    </row>
    <row r="60" spans="1:7" ht="15.75" thickBot="1">
      <c r="A60" s="63" t="s">
        <v>55</v>
      </c>
      <c r="B60" s="64">
        <v>0.2672001123428345</v>
      </c>
      <c r="C60" s="65">
        <v>-0.28622007369995117</v>
      </c>
      <c r="D60" s="66">
        <v>0.4342998266220093</v>
      </c>
      <c r="E60" s="67">
        <v>0.4152798652648926</v>
      </c>
      <c r="F60" s="68">
        <v>0.2065715789794922</v>
      </c>
      <c r="G60" s="34"/>
    </row>
    <row r="61" spans="1:7" ht="15">
      <c r="A61" s="34"/>
      <c r="B61" s="34"/>
      <c r="C61" s="34"/>
      <c r="D61" s="34"/>
      <c r="E61" s="34"/>
      <c r="F61" s="34"/>
      <c r="G61" s="34"/>
    </row>
    <row r="62" spans="1:7" ht="15">
      <c r="A62" s="34"/>
      <c r="B62" s="34"/>
      <c r="C62" s="34"/>
      <c r="D62" s="34"/>
      <c r="E62" s="34"/>
      <c r="F62" s="34"/>
      <c r="G62" s="34"/>
    </row>
    <row r="63" spans="1:7" ht="15">
      <c r="A63" s="34"/>
      <c r="B63" s="34"/>
      <c r="C63" s="34"/>
      <c r="D63" s="34"/>
      <c r="E63" s="34"/>
      <c r="F63" s="34"/>
      <c r="G63" s="34"/>
    </row>
    <row r="64" spans="1:7" ht="15">
      <c r="A64" s="34"/>
      <c r="B64" s="34"/>
      <c r="C64" s="34"/>
      <c r="D64" s="34"/>
      <c r="E64" s="34"/>
      <c r="F64" s="34"/>
      <c r="G64" s="34"/>
    </row>
    <row r="65" spans="1:7" ht="15.75">
      <c r="A65" s="69"/>
      <c r="B65" s="69"/>
      <c r="C65" s="69"/>
      <c r="D65" s="69"/>
      <c r="E65" s="69"/>
      <c r="F65" s="69"/>
      <c r="G65" s="69"/>
    </row>
    <row r="66" spans="1:7" ht="15.75">
      <c r="A66" s="69"/>
      <c r="B66" s="69"/>
      <c r="C66" s="69"/>
      <c r="D66" s="69"/>
      <c r="E66" s="69"/>
      <c r="F66" s="69"/>
      <c r="G66" s="69"/>
    </row>
    <row r="67" spans="1:7" ht="15.75">
      <c r="A67" s="69"/>
      <c r="B67" s="69"/>
      <c r="C67" s="69"/>
      <c r="D67" s="69"/>
      <c r="E67" s="69"/>
      <c r="F67" s="69"/>
      <c r="G67" s="69"/>
    </row>
  </sheetData>
  <sheetProtection/>
  <mergeCells count="4">
    <mergeCell ref="A1:F1"/>
    <mergeCell ref="A2:F2"/>
    <mergeCell ref="A4:F4"/>
    <mergeCell ref="A3:F3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zoomScalePageLayoutView="0" workbookViewId="0" topLeftCell="A1">
      <selection activeCell="H5" sqref="H5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7" ht="15.75">
      <c r="A1" s="100" t="s">
        <v>0</v>
      </c>
      <c r="B1" s="100"/>
      <c r="C1" s="100"/>
      <c r="D1" s="100"/>
      <c r="E1" s="100"/>
      <c r="F1" s="100"/>
      <c r="G1" s="1"/>
    </row>
    <row r="2" spans="1:7" ht="15.75">
      <c r="A2" s="100" t="s">
        <v>58</v>
      </c>
      <c r="B2" s="100"/>
      <c r="C2" s="100"/>
      <c r="D2" s="100"/>
      <c r="E2" s="100"/>
      <c r="F2" s="100"/>
      <c r="G2" s="1"/>
    </row>
    <row r="3" spans="1:7" ht="15.75">
      <c r="A3" s="103" t="s">
        <v>70</v>
      </c>
      <c r="B3" s="104"/>
      <c r="C3" s="104"/>
      <c r="D3" s="104"/>
      <c r="E3" s="104"/>
      <c r="F3" s="104"/>
      <c r="G3" s="1"/>
    </row>
    <row r="4" spans="1:6" s="1" customFormat="1" ht="16.5" thickBot="1">
      <c r="A4" s="33"/>
      <c r="B4" s="33"/>
      <c r="C4" s="33"/>
      <c r="D4" s="33"/>
      <c r="E4" s="33"/>
      <c r="F4" s="33"/>
    </row>
    <row r="5" spans="1:7" ht="41.25" customHeight="1" thickBot="1">
      <c r="A5" s="106" t="s">
        <v>1</v>
      </c>
      <c r="B5" s="106" t="s">
        <v>2</v>
      </c>
      <c r="C5" s="107" t="s">
        <v>3</v>
      </c>
      <c r="D5" s="107" t="s">
        <v>4</v>
      </c>
      <c r="E5" s="107" t="s">
        <v>5</v>
      </c>
      <c r="F5" s="106" t="s">
        <v>6</v>
      </c>
      <c r="G5" s="1"/>
    </row>
    <row r="6" spans="1:7" ht="15">
      <c r="A6" s="35" t="s">
        <v>7</v>
      </c>
      <c r="B6" s="36"/>
      <c r="C6" s="37"/>
      <c r="D6" s="37"/>
      <c r="E6" s="37"/>
      <c r="F6" s="38"/>
      <c r="G6" s="1"/>
    </row>
    <row r="7" spans="1:7" ht="15">
      <c r="A7" s="39" t="s">
        <v>8</v>
      </c>
      <c r="B7" s="36"/>
      <c r="C7" s="37"/>
      <c r="D7" s="37"/>
      <c r="E7" s="37"/>
      <c r="F7" s="38"/>
      <c r="G7" s="1"/>
    </row>
    <row r="8" spans="1:7" ht="15">
      <c r="A8" s="40" t="s">
        <v>9</v>
      </c>
      <c r="B8" s="36">
        <v>30451162</v>
      </c>
      <c r="C8" s="37">
        <v>0</v>
      </c>
      <c r="D8" s="37">
        <v>0</v>
      </c>
      <c r="E8" s="37">
        <f aca="true" t="shared" si="0" ref="E8:E30">+B8+C8+D8</f>
        <v>30451162</v>
      </c>
      <c r="F8" s="38">
        <v>21288149</v>
      </c>
      <c r="G8" s="1"/>
    </row>
    <row r="9" spans="1:7" ht="15">
      <c r="A9" s="40" t="s">
        <v>10</v>
      </c>
      <c r="B9" s="36">
        <v>164769117</v>
      </c>
      <c r="C9" s="37">
        <v>0</v>
      </c>
      <c r="D9" s="37">
        <v>0</v>
      </c>
      <c r="E9" s="37">
        <f t="shared" si="0"/>
        <v>164769117</v>
      </c>
      <c r="F9" s="38">
        <v>153132865</v>
      </c>
      <c r="G9" s="1"/>
    </row>
    <row r="10" spans="1:7" ht="15">
      <c r="A10" s="40" t="s">
        <v>11</v>
      </c>
      <c r="B10" s="36">
        <v>258131718</v>
      </c>
      <c r="C10" s="37">
        <v>0</v>
      </c>
      <c r="D10" s="37">
        <v>0</v>
      </c>
      <c r="E10" s="37">
        <f t="shared" si="0"/>
        <v>258131718</v>
      </c>
      <c r="F10" s="38">
        <v>241624911</v>
      </c>
      <c r="G10" s="1"/>
    </row>
    <row r="11" spans="1:7" ht="15">
      <c r="A11" s="40" t="s">
        <v>12</v>
      </c>
      <c r="B11" s="36">
        <v>0</v>
      </c>
      <c r="C11" s="37">
        <v>18484077</v>
      </c>
      <c r="D11" s="37">
        <v>0</v>
      </c>
      <c r="E11" s="37">
        <f t="shared" si="0"/>
        <v>18484077</v>
      </c>
      <c r="F11" s="38">
        <v>17358618</v>
      </c>
      <c r="G11" s="1"/>
    </row>
    <row r="12" spans="1:7" ht="15">
      <c r="A12" s="41" t="s">
        <v>13</v>
      </c>
      <c r="B12" s="58">
        <f>8263923+5379885</f>
        <v>13643808</v>
      </c>
      <c r="C12" s="53">
        <v>38926667</v>
      </c>
      <c r="D12" s="53">
        <v>0</v>
      </c>
      <c r="E12" s="53">
        <f t="shared" si="0"/>
        <v>52570475</v>
      </c>
      <c r="F12" s="90">
        <v>52267811</v>
      </c>
      <c r="G12" s="1"/>
    </row>
    <row r="13" spans="1:7" ht="15">
      <c r="A13" s="42" t="s">
        <v>14</v>
      </c>
      <c r="B13" s="43">
        <f>SUM(B8:B12)</f>
        <v>466995805</v>
      </c>
      <c r="C13" s="44">
        <f>SUM(C8:C12)</f>
        <v>57410744</v>
      </c>
      <c r="D13" s="44">
        <f>SUM(D8:D12)</f>
        <v>0</v>
      </c>
      <c r="E13" s="44">
        <f t="shared" si="0"/>
        <v>524406549</v>
      </c>
      <c r="F13" s="46">
        <f>SUM(F8:F12)</f>
        <v>485672354</v>
      </c>
      <c r="G13" s="1"/>
    </row>
    <row r="14" spans="1:7" ht="15">
      <c r="A14" s="39" t="s">
        <v>15</v>
      </c>
      <c r="B14" s="36">
        <v>0</v>
      </c>
      <c r="C14" s="37">
        <v>0</v>
      </c>
      <c r="D14" s="37">
        <v>2347004</v>
      </c>
      <c r="E14" s="37">
        <f t="shared" si="0"/>
        <v>2347004</v>
      </c>
      <c r="F14" s="38">
        <v>2278645</v>
      </c>
      <c r="G14" s="1"/>
    </row>
    <row r="15" spans="1:7" ht="15">
      <c r="A15" s="39" t="s">
        <v>16</v>
      </c>
      <c r="B15" s="36">
        <v>0</v>
      </c>
      <c r="C15" s="37">
        <v>0</v>
      </c>
      <c r="D15" s="37">
        <v>0</v>
      </c>
      <c r="E15" s="37">
        <f t="shared" si="0"/>
        <v>0</v>
      </c>
      <c r="F15" s="38">
        <v>0</v>
      </c>
      <c r="G15" s="1"/>
    </row>
    <row r="16" spans="1:7" ht="15">
      <c r="A16" s="40" t="s">
        <v>17</v>
      </c>
      <c r="B16" s="36">
        <v>0</v>
      </c>
      <c r="C16" s="37">
        <v>0</v>
      </c>
      <c r="D16" s="37">
        <f>316631314-71227106</f>
        <v>245404208</v>
      </c>
      <c r="E16" s="37">
        <f t="shared" si="0"/>
        <v>245404208</v>
      </c>
      <c r="F16" s="38">
        <v>244204585</v>
      </c>
      <c r="G16" s="1"/>
    </row>
    <row r="17" spans="1:7" ht="15">
      <c r="A17" s="47" t="s">
        <v>18</v>
      </c>
      <c r="B17" s="36">
        <v>15474002</v>
      </c>
      <c r="C17" s="37">
        <v>0</v>
      </c>
      <c r="D17" s="37">
        <v>0</v>
      </c>
      <c r="E17" s="37">
        <f t="shared" si="0"/>
        <v>15474002</v>
      </c>
      <c r="F17" s="38">
        <v>50830263</v>
      </c>
      <c r="G17" s="1"/>
    </row>
    <row r="18" spans="1:7" ht="15">
      <c r="A18" s="40" t="s">
        <v>19</v>
      </c>
      <c r="B18" s="36">
        <v>0</v>
      </c>
      <c r="C18" s="37">
        <v>0</v>
      </c>
      <c r="D18" s="37">
        <v>10835252</v>
      </c>
      <c r="E18" s="37">
        <f t="shared" si="0"/>
        <v>10835252</v>
      </c>
      <c r="F18" s="38">
        <v>10896839</v>
      </c>
      <c r="G18" s="1"/>
    </row>
    <row r="19" spans="1:7" ht="15">
      <c r="A19" s="40" t="s">
        <v>20</v>
      </c>
      <c r="B19" s="36">
        <v>0</v>
      </c>
      <c r="C19" s="37">
        <v>0</v>
      </c>
      <c r="D19" s="37">
        <v>0</v>
      </c>
      <c r="E19" s="37">
        <f t="shared" si="0"/>
        <v>0</v>
      </c>
      <c r="F19" s="38">
        <v>0</v>
      </c>
      <c r="G19" s="1"/>
    </row>
    <row r="20" spans="1:7" ht="15">
      <c r="A20" s="41" t="s">
        <v>21</v>
      </c>
      <c r="B20" s="58">
        <v>33494001</v>
      </c>
      <c r="C20" s="53">
        <v>0</v>
      </c>
      <c r="D20" s="53">
        <v>0</v>
      </c>
      <c r="E20" s="53">
        <f t="shared" si="0"/>
        <v>33494001</v>
      </c>
      <c r="F20" s="90">
        <v>14164594</v>
      </c>
      <c r="G20" s="1"/>
    </row>
    <row r="21" spans="1:7" ht="15">
      <c r="A21" s="42" t="s">
        <v>22</v>
      </c>
      <c r="B21" s="43">
        <f>SUM(B14:B20)</f>
        <v>48968003</v>
      </c>
      <c r="C21" s="44">
        <f>SUM(C14:C20)</f>
        <v>0</v>
      </c>
      <c r="D21" s="44">
        <f>SUM(D14:D20)</f>
        <v>258586464</v>
      </c>
      <c r="E21" s="44">
        <f t="shared" si="0"/>
        <v>307554467</v>
      </c>
      <c r="F21" s="46">
        <f>SUM(F14:F20)</f>
        <v>322374926</v>
      </c>
      <c r="G21" s="1"/>
    </row>
    <row r="22" spans="1:7" ht="15">
      <c r="A22" s="39" t="s">
        <v>23</v>
      </c>
      <c r="B22" s="36">
        <v>0</v>
      </c>
      <c r="C22" s="37">
        <v>0</v>
      </c>
      <c r="D22" s="37">
        <f>28190307+44758988</f>
        <v>72949295</v>
      </c>
      <c r="E22" s="37">
        <f t="shared" si="0"/>
        <v>72949295</v>
      </c>
      <c r="F22" s="38">
        <v>70303239</v>
      </c>
      <c r="G22" s="1"/>
    </row>
    <row r="23" spans="1:7" ht="15">
      <c r="A23" s="39" t="s">
        <v>24</v>
      </c>
      <c r="B23" s="36">
        <v>0</v>
      </c>
      <c r="C23" s="37">
        <v>28807212</v>
      </c>
      <c r="D23" s="37">
        <v>0</v>
      </c>
      <c r="E23" s="48">
        <f t="shared" si="0"/>
        <v>28807212</v>
      </c>
      <c r="F23" s="91">
        <v>28309759</v>
      </c>
      <c r="G23" s="1"/>
    </row>
    <row r="24" spans="1:7" ht="15">
      <c r="A24" s="39" t="s">
        <v>25</v>
      </c>
      <c r="B24" s="36">
        <v>0</v>
      </c>
      <c r="C24" s="37">
        <v>153694552</v>
      </c>
      <c r="D24" s="37">
        <v>0</v>
      </c>
      <c r="E24" s="37">
        <f t="shared" si="0"/>
        <v>153694552</v>
      </c>
      <c r="F24" s="38">
        <v>148209116</v>
      </c>
      <c r="G24" s="1"/>
    </row>
    <row r="25" spans="1:7" ht="15">
      <c r="A25" s="39" t="s">
        <v>26</v>
      </c>
      <c r="B25" s="36">
        <v>0</v>
      </c>
      <c r="C25" s="37">
        <v>0</v>
      </c>
      <c r="D25" s="37">
        <v>0</v>
      </c>
      <c r="E25" s="37">
        <f t="shared" si="0"/>
        <v>0</v>
      </c>
      <c r="F25" s="38">
        <v>0</v>
      </c>
      <c r="G25" s="1"/>
    </row>
    <row r="26" spans="1:7" ht="15">
      <c r="A26" s="39" t="s">
        <v>27</v>
      </c>
      <c r="B26" s="36"/>
      <c r="C26" s="37"/>
      <c r="D26" s="37"/>
      <c r="E26" s="37"/>
      <c r="F26" s="38"/>
      <c r="G26" s="1"/>
    </row>
    <row r="27" spans="1:7" ht="15">
      <c r="A27" s="40" t="s">
        <v>28</v>
      </c>
      <c r="B27" s="36">
        <v>48889459</v>
      </c>
      <c r="C27" s="37">
        <v>22337647</v>
      </c>
      <c r="D27" s="37">
        <v>0</v>
      </c>
      <c r="E27" s="37">
        <f t="shared" si="0"/>
        <v>71227106</v>
      </c>
      <c r="F27" s="38">
        <v>70758627</v>
      </c>
      <c r="G27" s="1"/>
    </row>
    <row r="28" spans="1:7" ht="15">
      <c r="A28" s="40" t="s">
        <v>29</v>
      </c>
      <c r="B28" s="36">
        <v>0</v>
      </c>
      <c r="C28" s="37">
        <v>0</v>
      </c>
      <c r="D28" s="37">
        <v>0</v>
      </c>
      <c r="E28" s="37">
        <f t="shared" si="0"/>
        <v>0</v>
      </c>
      <c r="F28" s="38">
        <v>0</v>
      </c>
      <c r="G28" s="1"/>
    </row>
    <row r="29" spans="1:7" ht="15.75" thickBot="1">
      <c r="A29" s="49" t="s">
        <v>30</v>
      </c>
      <c r="B29" s="61">
        <v>4459713</v>
      </c>
      <c r="C29" s="50">
        <v>10016388</v>
      </c>
      <c r="D29" s="50">
        <v>0</v>
      </c>
      <c r="E29" s="51">
        <f t="shared" si="0"/>
        <v>14476101</v>
      </c>
      <c r="F29" s="92">
        <v>14368201</v>
      </c>
      <c r="G29" s="1"/>
    </row>
    <row r="30" spans="1:7" ht="15.75" thickTop="1">
      <c r="A30" s="70" t="s">
        <v>31</v>
      </c>
      <c r="B30" s="72">
        <f>+B29+B28+B27+B25+B24+B23+B22+B21+B13</f>
        <v>569312980</v>
      </c>
      <c r="C30" s="73">
        <f>+C29+C28+C27+C25+C24+C23+C22+C21+C13</f>
        <v>272266543</v>
      </c>
      <c r="D30" s="73">
        <f>+D29+D28+D27+D25+D24+D23+D22+D21+D13</f>
        <v>331535759</v>
      </c>
      <c r="E30" s="74">
        <f t="shared" si="0"/>
        <v>1173115282</v>
      </c>
      <c r="F30" s="71">
        <f>+F29+F28+F27+F25+F24+F23+F22+F21+F13</f>
        <v>1139996222</v>
      </c>
      <c r="G30" s="1"/>
    </row>
    <row r="31" spans="1:7" ht="15">
      <c r="A31" s="39"/>
      <c r="B31" s="36"/>
      <c r="C31" s="37"/>
      <c r="D31" s="37"/>
      <c r="E31" s="37"/>
      <c r="F31" s="38"/>
      <c r="G31" s="1"/>
    </row>
    <row r="32" spans="1:7" ht="15">
      <c r="A32" s="35" t="s">
        <v>32</v>
      </c>
      <c r="B32" s="36"/>
      <c r="C32" s="37"/>
      <c r="D32" s="37"/>
      <c r="E32" s="37"/>
      <c r="F32" s="38"/>
      <c r="G32" s="1"/>
    </row>
    <row r="33" spans="1:7" ht="15">
      <c r="A33" s="39" t="s">
        <v>33</v>
      </c>
      <c r="B33" s="36"/>
      <c r="C33" s="37"/>
      <c r="D33" s="37"/>
      <c r="E33" s="37"/>
      <c r="F33" s="38"/>
      <c r="G33" s="1"/>
    </row>
    <row r="34" spans="1:7" ht="15">
      <c r="A34" s="40" t="s">
        <v>34</v>
      </c>
      <c r="B34" s="36">
        <v>318233290</v>
      </c>
      <c r="C34" s="37">
        <v>31068013.76</v>
      </c>
      <c r="D34" s="37">
        <v>27237885.941999998</v>
      </c>
      <c r="E34" s="37">
        <f aca="true" t="shared" si="1" ref="E34:E45">+B34+C34+D34</f>
        <v>376539189.70199996</v>
      </c>
      <c r="F34" s="38">
        <v>368680838.336819</v>
      </c>
      <c r="G34" s="1"/>
    </row>
    <row r="35" spans="1:7" ht="15">
      <c r="A35" s="40" t="s">
        <v>35</v>
      </c>
      <c r="B35" s="36">
        <v>3388953</v>
      </c>
      <c r="C35" s="37">
        <v>377254.45279999997</v>
      </c>
      <c r="D35" s="37">
        <v>235126789.82200003</v>
      </c>
      <c r="E35" s="37">
        <f t="shared" si="1"/>
        <v>238892997.27480003</v>
      </c>
      <c r="F35" s="38">
        <v>237926617.256592</v>
      </c>
      <c r="G35" s="1"/>
    </row>
    <row r="36" spans="1:7" ht="15">
      <c r="A36" s="40" t="s">
        <v>36</v>
      </c>
      <c r="B36" s="36">
        <v>855587</v>
      </c>
      <c r="C36" s="37">
        <v>2662972.608</v>
      </c>
      <c r="D36" s="37">
        <v>3519913.2848</v>
      </c>
      <c r="E36" s="37">
        <f t="shared" si="1"/>
        <v>7038472.8928</v>
      </c>
      <c r="F36" s="38">
        <v>6987213.12479309</v>
      </c>
      <c r="G36" s="1"/>
    </row>
    <row r="37" spans="1:7" ht="15">
      <c r="A37" s="40" t="s">
        <v>37</v>
      </c>
      <c r="B37" s="36">
        <v>81998382</v>
      </c>
      <c r="C37" s="37">
        <v>5104030.8319999995</v>
      </c>
      <c r="D37" s="37">
        <v>3999901.46</v>
      </c>
      <c r="E37" s="37">
        <f t="shared" si="1"/>
        <v>91102314.292</v>
      </c>
      <c r="F37" s="91">
        <v>89314162.2741446</v>
      </c>
      <c r="G37" s="1"/>
    </row>
    <row r="38" spans="1:7" ht="15">
      <c r="A38" s="40" t="s">
        <v>38</v>
      </c>
      <c r="B38" s="36">
        <v>35836213</v>
      </c>
      <c r="C38" s="37">
        <v>39500760.352</v>
      </c>
      <c r="D38" s="37">
        <v>2799931.022</v>
      </c>
      <c r="E38" s="37">
        <f t="shared" si="1"/>
        <v>78136904.374</v>
      </c>
      <c r="F38" s="38">
        <v>77182675.6388398</v>
      </c>
      <c r="G38" s="1"/>
    </row>
    <row r="39" spans="1:7" ht="15">
      <c r="A39" s="40" t="s">
        <v>39</v>
      </c>
      <c r="B39" s="36">
        <v>32471666</v>
      </c>
      <c r="C39" s="37">
        <v>3328715.76</v>
      </c>
      <c r="D39" s="37">
        <v>2399940.876</v>
      </c>
      <c r="E39" s="37">
        <f t="shared" si="1"/>
        <v>38200322.636</v>
      </c>
      <c r="F39" s="38">
        <v>37118431.6118398</v>
      </c>
      <c r="G39" s="1"/>
    </row>
    <row r="40" spans="1:7" ht="15">
      <c r="A40" s="40" t="s">
        <v>40</v>
      </c>
      <c r="B40" s="36">
        <v>55697088</v>
      </c>
      <c r="C40" s="37">
        <v>0</v>
      </c>
      <c r="D40" s="37">
        <v>799980.292</v>
      </c>
      <c r="E40" s="37">
        <f t="shared" si="1"/>
        <v>56497068.292</v>
      </c>
      <c r="F40" s="91">
        <v>55814794.564</v>
      </c>
      <c r="G40" s="1"/>
    </row>
    <row r="41" spans="1:7" ht="15">
      <c r="A41" s="40" t="s">
        <v>41</v>
      </c>
      <c r="B41" s="36">
        <v>25357799</v>
      </c>
      <c r="C41" s="37">
        <v>7767003.44</v>
      </c>
      <c r="D41" s="37">
        <v>43998916.06</v>
      </c>
      <c r="E41" s="37">
        <f t="shared" si="1"/>
        <v>77123718.5</v>
      </c>
      <c r="F41" s="38">
        <f>73225561.465</f>
        <v>73225561.465</v>
      </c>
      <c r="G41" s="1"/>
    </row>
    <row r="42" spans="1:7" ht="15">
      <c r="A42" s="39" t="s">
        <v>42</v>
      </c>
      <c r="B42" s="36">
        <v>0</v>
      </c>
      <c r="C42" s="37">
        <v>132105632.7952</v>
      </c>
      <c r="D42" s="37">
        <v>8879781.2412</v>
      </c>
      <c r="E42" s="48">
        <f t="shared" si="1"/>
        <v>140985414.03640002</v>
      </c>
      <c r="F42" s="38">
        <v>139432795.1714</v>
      </c>
      <c r="G42" s="1"/>
    </row>
    <row r="43" spans="1:7" ht="15">
      <c r="A43" s="39" t="s">
        <v>26</v>
      </c>
      <c r="B43" s="36">
        <v>0</v>
      </c>
      <c r="C43" s="37">
        <v>0</v>
      </c>
      <c r="D43" s="37">
        <v>0</v>
      </c>
      <c r="E43" s="37">
        <f t="shared" si="1"/>
        <v>0</v>
      </c>
      <c r="F43" s="38">
        <v>0</v>
      </c>
      <c r="G43" s="1"/>
    </row>
    <row r="44" spans="1:7" ht="15.75" thickBot="1">
      <c r="A44" s="52" t="s">
        <v>43</v>
      </c>
      <c r="B44" s="61">
        <v>0</v>
      </c>
      <c r="C44" s="50">
        <v>0</v>
      </c>
      <c r="D44" s="50">
        <v>0</v>
      </c>
      <c r="E44" s="50">
        <f t="shared" si="1"/>
        <v>0</v>
      </c>
      <c r="F44" s="93">
        <v>0</v>
      </c>
      <c r="G44" s="1"/>
    </row>
    <row r="45" spans="1:7" ht="15.75" thickTop="1">
      <c r="A45" s="70" t="s">
        <v>44</v>
      </c>
      <c r="B45" s="72">
        <f>SUM(B34:B44)</f>
        <v>553838978</v>
      </c>
      <c r="C45" s="73">
        <f>SUM(C34:C44)</f>
        <v>221914384</v>
      </c>
      <c r="D45" s="73">
        <f>SUM(D34:D44)</f>
        <v>328763040</v>
      </c>
      <c r="E45" s="74">
        <f t="shared" si="1"/>
        <v>1104516402</v>
      </c>
      <c r="F45" s="71">
        <f>SUM(F34:F44)</f>
        <v>1085683089.4434283</v>
      </c>
      <c r="G45" s="1"/>
    </row>
    <row r="46" spans="1:7" ht="15">
      <c r="A46" s="39"/>
      <c r="B46" s="36"/>
      <c r="C46" s="37"/>
      <c r="D46" s="37"/>
      <c r="E46" s="37"/>
      <c r="F46" s="38"/>
      <c r="G46" s="1"/>
    </row>
    <row r="47" spans="1:7" ht="15">
      <c r="A47" s="35" t="s">
        <v>45</v>
      </c>
      <c r="B47" s="36"/>
      <c r="C47" s="37"/>
      <c r="D47" s="37"/>
      <c r="E47" s="37"/>
      <c r="F47" s="38"/>
      <c r="G47" s="1"/>
    </row>
    <row r="48" spans="1:7" ht="15">
      <c r="A48" s="39" t="s">
        <v>46</v>
      </c>
      <c r="B48" s="36"/>
      <c r="C48" s="37"/>
      <c r="D48" s="37"/>
      <c r="E48" s="37"/>
      <c r="F48" s="38"/>
      <c r="G48" s="1"/>
    </row>
    <row r="49" spans="1:7" ht="15">
      <c r="A49" s="40" t="s">
        <v>47</v>
      </c>
      <c r="B49" s="36">
        <v>0</v>
      </c>
      <c r="C49" s="37">
        <v>44246450</v>
      </c>
      <c r="D49" s="37">
        <v>0</v>
      </c>
      <c r="E49" s="37">
        <f>+B49+C49+D49</f>
        <v>44246450</v>
      </c>
      <c r="F49" s="38">
        <v>31233080</v>
      </c>
      <c r="G49" s="1"/>
    </row>
    <row r="50" spans="1:7" ht="15">
      <c r="A50" s="40" t="s">
        <v>48</v>
      </c>
      <c r="B50" s="36">
        <v>0</v>
      </c>
      <c r="C50" s="37">
        <v>0</v>
      </c>
      <c r="D50" s="37">
        <v>0</v>
      </c>
      <c r="E50" s="37">
        <f>+B50+C50+D50</f>
        <v>0</v>
      </c>
      <c r="F50" s="38">
        <v>0</v>
      </c>
      <c r="G50" s="1"/>
    </row>
    <row r="51" spans="1:7" ht="15">
      <c r="A51" s="41" t="s">
        <v>49</v>
      </c>
      <c r="B51" s="58">
        <v>0</v>
      </c>
      <c r="C51" s="53">
        <v>0</v>
      </c>
      <c r="D51" s="53">
        <v>0</v>
      </c>
      <c r="E51" s="53">
        <f>+B51+C51+D51</f>
        <v>0</v>
      </c>
      <c r="F51" s="90">
        <v>0</v>
      </c>
      <c r="G51" s="1"/>
    </row>
    <row r="52" spans="1:7" ht="15">
      <c r="A52" s="54" t="s">
        <v>50</v>
      </c>
      <c r="B52" s="55">
        <f>SUM(B49:B51)</f>
        <v>0</v>
      </c>
      <c r="C52" s="56">
        <f>SUM(C49:C51)</f>
        <v>44246450</v>
      </c>
      <c r="D52" s="56">
        <f>SUM(D49:D51)</f>
        <v>0</v>
      </c>
      <c r="E52" s="56">
        <f>+B52+C52+D52</f>
        <v>44246450</v>
      </c>
      <c r="F52" s="57">
        <f>SUM(F49:F51)</f>
        <v>31233080</v>
      </c>
      <c r="G52" s="1"/>
    </row>
    <row r="53" spans="1:7" ht="15">
      <c r="A53" s="39"/>
      <c r="B53" s="36"/>
      <c r="C53" s="37"/>
      <c r="D53" s="37"/>
      <c r="E53" s="37"/>
      <c r="F53" s="38"/>
      <c r="G53" s="1"/>
    </row>
    <row r="54" spans="1:7" ht="15">
      <c r="A54" s="39" t="s">
        <v>51</v>
      </c>
      <c r="B54" s="36"/>
      <c r="C54" s="37"/>
      <c r="D54" s="37"/>
      <c r="E54" s="37"/>
      <c r="F54" s="38"/>
      <c r="G54" s="1"/>
    </row>
    <row r="55" spans="1:7" ht="15">
      <c r="A55" s="40" t="s">
        <v>52</v>
      </c>
      <c r="B55" s="36">
        <v>0</v>
      </c>
      <c r="C55" s="37">
        <v>0</v>
      </c>
      <c r="D55" s="37">
        <v>0</v>
      </c>
      <c r="E55" s="37">
        <f>+B55+C55+D55</f>
        <v>0</v>
      </c>
      <c r="F55" s="38">
        <v>0</v>
      </c>
      <c r="G55" s="1"/>
    </row>
    <row r="56" spans="1:7" ht="15">
      <c r="A56" s="41" t="s">
        <v>43</v>
      </c>
      <c r="B56" s="58">
        <v>15474002</v>
      </c>
      <c r="C56" s="53">
        <v>6105709</v>
      </c>
      <c r="D56" s="53">
        <v>2772719</v>
      </c>
      <c r="E56" s="53">
        <f>+B56+C56+D56</f>
        <v>24352430</v>
      </c>
      <c r="F56" s="90">
        <f>10152789+12927264</f>
        <v>23080053</v>
      </c>
      <c r="G56" s="1"/>
    </row>
    <row r="57" spans="1:7" ht="15.75" thickBot="1">
      <c r="A57" s="60" t="s">
        <v>53</v>
      </c>
      <c r="B57" s="94">
        <f>SUM(B55:B56)</f>
        <v>15474002</v>
      </c>
      <c r="C57" s="95">
        <f>SUM(C55:C56)</f>
        <v>6105709</v>
      </c>
      <c r="D57" s="95">
        <f>SUM(D55:D56)</f>
        <v>2772719</v>
      </c>
      <c r="E57" s="95">
        <f>+B57+C57+D57</f>
        <v>24352430</v>
      </c>
      <c r="F57" s="62">
        <f>SUM(F55:F56)</f>
        <v>23080053</v>
      </c>
      <c r="G57" s="1"/>
    </row>
    <row r="58" spans="1:7" ht="15.75" thickTop="1">
      <c r="A58" s="70" t="s">
        <v>54</v>
      </c>
      <c r="B58" s="72">
        <f>+B45+B52+B57</f>
        <v>569312980</v>
      </c>
      <c r="C58" s="73">
        <f>+C57+C52+C45</f>
        <v>272266543</v>
      </c>
      <c r="D58" s="73">
        <f>+D57+D52+D45</f>
        <v>331535759</v>
      </c>
      <c r="E58" s="74">
        <f>+B58+C58+D58</f>
        <v>1173115282</v>
      </c>
      <c r="F58" s="71">
        <f>+F57+F52+F45</f>
        <v>1139996222.4434283</v>
      </c>
      <c r="G58" s="1"/>
    </row>
    <row r="59" spans="1:7" ht="15">
      <c r="A59" s="39"/>
      <c r="B59" s="36"/>
      <c r="C59" s="37"/>
      <c r="D59" s="37"/>
      <c r="E59" s="37"/>
      <c r="F59" s="38"/>
      <c r="G59" s="1"/>
    </row>
    <row r="60" spans="1:7" ht="15.75" thickBot="1">
      <c r="A60" s="63" t="s">
        <v>55</v>
      </c>
      <c r="B60" s="64">
        <f>+B30-B58</f>
        <v>0</v>
      </c>
      <c r="C60" s="66">
        <f>+C30-C58</f>
        <v>0</v>
      </c>
      <c r="D60" s="66">
        <f>+D30-D58</f>
        <v>0</v>
      </c>
      <c r="E60" s="67">
        <f>+E30-E58</f>
        <v>0</v>
      </c>
      <c r="F60" s="68">
        <f>+F30-F58+0.5</f>
        <v>0.05657172203063965</v>
      </c>
      <c r="G60" s="1"/>
    </row>
    <row r="61" spans="1:7" ht="15.75">
      <c r="A61" s="84"/>
      <c r="B61" s="85"/>
      <c r="C61" s="85"/>
      <c r="D61" s="85"/>
      <c r="E61" s="85"/>
      <c r="F61" s="85"/>
      <c r="G61" s="1"/>
    </row>
    <row r="62" spans="1:10" ht="15.75" customHeight="1">
      <c r="A62" s="97" t="s">
        <v>59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15.75" customHeight="1">
      <c r="A63" s="96" t="s">
        <v>69</v>
      </c>
      <c r="B63" s="96"/>
      <c r="C63" s="96"/>
      <c r="D63" s="96"/>
      <c r="E63" s="96"/>
      <c r="F63" s="96"/>
      <c r="G63" s="96"/>
      <c r="H63" s="96"/>
      <c r="I63" s="96"/>
      <c r="J63" s="96"/>
    </row>
    <row r="64" spans="1:10" ht="15.75" customHeight="1">
      <c r="A64" s="96" t="s">
        <v>68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5.75" customHeight="1">
      <c r="A65" s="96" t="s">
        <v>60</v>
      </c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5.75" customHeight="1">
      <c r="A66" s="96" t="s">
        <v>61</v>
      </c>
      <c r="B66" s="96"/>
      <c r="C66" s="96"/>
      <c r="D66" s="96"/>
      <c r="E66" s="96"/>
      <c r="F66" s="96"/>
      <c r="G66" s="96"/>
      <c r="H66" s="96"/>
      <c r="I66" s="96"/>
      <c r="J66" s="96"/>
    </row>
    <row r="67" spans="1:10" ht="15.75" customHeight="1">
      <c r="A67" s="96" t="s">
        <v>62</v>
      </c>
      <c r="B67" s="96"/>
      <c r="C67" s="96"/>
      <c r="D67" s="96"/>
      <c r="E67" s="96"/>
      <c r="F67" s="96"/>
      <c r="G67" s="96"/>
      <c r="H67" s="96"/>
      <c r="I67" s="96"/>
      <c r="J67" s="96"/>
    </row>
    <row r="68" spans="1:10" ht="15.75" customHeight="1">
      <c r="A68" s="96" t="s">
        <v>63</v>
      </c>
      <c r="B68" s="96"/>
      <c r="C68" s="96"/>
      <c r="D68" s="96"/>
      <c r="E68" s="96"/>
      <c r="F68" s="96"/>
      <c r="G68" s="96"/>
      <c r="H68" s="96"/>
      <c r="I68" s="96"/>
      <c r="J68" s="96"/>
    </row>
    <row r="69" spans="1:10" ht="15.75" customHeight="1">
      <c r="A69" s="96" t="s">
        <v>64</v>
      </c>
      <c r="B69" s="96"/>
      <c r="C69" s="96"/>
      <c r="D69" s="96"/>
      <c r="E69" s="96"/>
      <c r="F69" s="96"/>
      <c r="G69" s="96"/>
      <c r="H69" s="96"/>
      <c r="I69" s="96"/>
      <c r="J69" s="96"/>
    </row>
    <row r="70" spans="1:12" ht="15.75" customHeight="1">
      <c r="A70" s="96" t="s">
        <v>65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1:13" ht="15.75" customHeight="1">
      <c r="A71" s="96" t="s">
        <v>66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9" ht="15.75" customHeight="1">
      <c r="A72" s="96" t="s">
        <v>67</v>
      </c>
      <c r="B72" s="96"/>
      <c r="C72" s="96"/>
      <c r="D72" s="96"/>
      <c r="E72" s="96"/>
      <c r="F72" s="96"/>
      <c r="G72" s="96"/>
      <c r="H72" s="96"/>
      <c r="I72" s="96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1">
      <selection activeCell="H5" sqref="H5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100" t="s">
        <v>71</v>
      </c>
      <c r="B1" s="100"/>
      <c r="C1" s="100"/>
      <c r="D1" s="100"/>
      <c r="E1" s="100"/>
      <c r="F1" s="100"/>
    </row>
    <row r="2" spans="1:6" ht="15.75">
      <c r="A2" s="100" t="s">
        <v>56</v>
      </c>
      <c r="B2" s="100"/>
      <c r="C2" s="100"/>
      <c r="D2" s="100"/>
      <c r="E2" s="100"/>
      <c r="F2" s="100"/>
    </row>
    <row r="3" spans="1:6" ht="15.75">
      <c r="A3" s="103" t="s">
        <v>74</v>
      </c>
      <c r="B3" s="103"/>
      <c r="C3" s="103"/>
      <c r="D3" s="103"/>
      <c r="E3" s="103"/>
      <c r="F3" s="103"/>
    </row>
    <row r="4" spans="1:6" s="1" customFormat="1" ht="16.5" thickBot="1">
      <c r="A4" s="33"/>
      <c r="B4" s="33"/>
      <c r="C4" s="33"/>
      <c r="D4" s="33"/>
      <c r="E4" s="33"/>
      <c r="F4" s="33"/>
    </row>
    <row r="5" spans="1:6" ht="39.75" customHeight="1" thickBot="1">
      <c r="A5" s="106" t="s">
        <v>1</v>
      </c>
      <c r="B5" s="106" t="s">
        <v>2</v>
      </c>
      <c r="C5" s="107" t="s">
        <v>3</v>
      </c>
      <c r="D5" s="107" t="s">
        <v>4</v>
      </c>
      <c r="E5" s="107" t="s">
        <v>5</v>
      </c>
      <c r="F5" s="106" t="s">
        <v>6</v>
      </c>
    </row>
    <row r="6" spans="1:6" ht="15">
      <c r="A6" s="2" t="s">
        <v>7</v>
      </c>
      <c r="B6" s="3"/>
      <c r="C6" s="4"/>
      <c r="D6" s="4"/>
      <c r="E6" s="4"/>
      <c r="F6" s="5"/>
    </row>
    <row r="7" spans="1:6" ht="15">
      <c r="A7" s="6" t="s">
        <v>8</v>
      </c>
      <c r="B7" s="3"/>
      <c r="C7" s="4"/>
      <c r="D7" s="4"/>
      <c r="E7" s="4"/>
      <c r="F7" s="5"/>
    </row>
    <row r="8" spans="1:6" ht="15">
      <c r="A8" s="7" t="s">
        <v>9</v>
      </c>
      <c r="B8" s="3">
        <v>10756288</v>
      </c>
      <c r="C8" s="4"/>
      <c r="D8" s="4"/>
      <c r="E8" s="4">
        <f aca="true" t="shared" si="0" ref="E8:E14">+B8+C8+D8</f>
        <v>10756288</v>
      </c>
      <c r="F8" s="5">
        <v>6455413</v>
      </c>
    </row>
    <row r="9" spans="1:6" ht="15">
      <c r="A9" s="7" t="s">
        <v>10</v>
      </c>
      <c r="B9" s="3">
        <v>48815522</v>
      </c>
      <c r="C9" s="4"/>
      <c r="D9" s="4"/>
      <c r="E9" s="4">
        <f t="shared" si="0"/>
        <v>48815522</v>
      </c>
      <c r="F9" s="5">
        <v>45114356</v>
      </c>
    </row>
    <row r="10" spans="1:6" ht="15">
      <c r="A10" s="7" t="s">
        <v>11</v>
      </c>
      <c r="B10" s="3">
        <v>9023666</v>
      </c>
      <c r="C10" s="4"/>
      <c r="D10" s="4"/>
      <c r="E10" s="4">
        <f t="shared" si="0"/>
        <v>9023666</v>
      </c>
      <c r="F10" s="5">
        <v>8941015</v>
      </c>
    </row>
    <row r="11" spans="1:6" ht="15">
      <c r="A11" s="7" t="s">
        <v>12</v>
      </c>
      <c r="B11" s="3"/>
      <c r="C11" s="4">
        <v>5391986</v>
      </c>
      <c r="D11" s="4"/>
      <c r="E11" s="4">
        <f t="shared" si="0"/>
        <v>5391986</v>
      </c>
      <c r="F11" s="5">
        <v>5175678</v>
      </c>
    </row>
    <row r="12" spans="1:6" ht="15">
      <c r="A12" s="8" t="s">
        <v>13</v>
      </c>
      <c r="B12" s="24">
        <f>2910934+87417</f>
        <v>2998351</v>
      </c>
      <c r="C12" s="19">
        <v>7726496</v>
      </c>
      <c r="D12" s="19"/>
      <c r="E12" s="19">
        <f t="shared" si="0"/>
        <v>10724847</v>
      </c>
      <c r="F12" s="78">
        <f>2927063+7413168</f>
        <v>10340231</v>
      </c>
    </row>
    <row r="13" spans="1:6" ht="15">
      <c r="A13" s="9" t="s">
        <v>14</v>
      </c>
      <c r="B13" s="10">
        <f>SUM(B8:B12)</f>
        <v>71593827</v>
      </c>
      <c r="C13" s="11">
        <f>SUM(C8:C12)</f>
        <v>13118482</v>
      </c>
      <c r="D13" s="11">
        <f>SUM(D8:D12)</f>
        <v>0</v>
      </c>
      <c r="E13" s="11">
        <f t="shared" si="0"/>
        <v>84712309</v>
      </c>
      <c r="F13" s="12">
        <f>SUM(F8:F12)</f>
        <v>76026693</v>
      </c>
    </row>
    <row r="14" spans="1:6" ht="15">
      <c r="A14" s="6" t="s">
        <v>15</v>
      </c>
      <c r="B14" s="3"/>
      <c r="C14" s="4"/>
      <c r="D14" s="4"/>
      <c r="E14" s="4">
        <f t="shared" si="0"/>
        <v>0</v>
      </c>
      <c r="F14" s="5"/>
    </row>
    <row r="15" spans="1:6" ht="15">
      <c r="A15" s="6" t="s">
        <v>16</v>
      </c>
      <c r="B15" s="3"/>
      <c r="C15" s="4"/>
      <c r="D15" s="4"/>
      <c r="E15" s="4"/>
      <c r="F15" s="5"/>
    </row>
    <row r="16" spans="1:6" ht="15">
      <c r="A16" s="7" t="s">
        <v>17</v>
      </c>
      <c r="B16" s="3"/>
      <c r="C16" s="4"/>
      <c r="D16" s="4">
        <v>18291059</v>
      </c>
      <c r="E16" s="4">
        <f aca="true" t="shared" si="1" ref="E16:E25">+B16+C16+D16</f>
        <v>18291059</v>
      </c>
      <c r="F16" s="5">
        <v>12635952</v>
      </c>
    </row>
    <row r="17" spans="1:6" ht="15">
      <c r="A17" s="13" t="s">
        <v>18</v>
      </c>
      <c r="B17" s="3">
        <v>3107483</v>
      </c>
      <c r="C17" s="4"/>
      <c r="D17" s="4">
        <v>542699</v>
      </c>
      <c r="E17" s="4">
        <f t="shared" si="1"/>
        <v>3650182</v>
      </c>
      <c r="F17" s="5">
        <v>12956917</v>
      </c>
    </row>
    <row r="18" spans="1:6" ht="15">
      <c r="A18" s="7" t="s">
        <v>19</v>
      </c>
      <c r="B18" s="3"/>
      <c r="C18" s="4"/>
      <c r="D18" s="4">
        <v>5348425</v>
      </c>
      <c r="E18" s="4">
        <f t="shared" si="1"/>
        <v>5348425</v>
      </c>
      <c r="F18" s="5">
        <v>5956157</v>
      </c>
    </row>
    <row r="19" spans="1:6" ht="15">
      <c r="A19" s="7" t="s">
        <v>20</v>
      </c>
      <c r="B19" s="3"/>
      <c r="C19" s="4"/>
      <c r="D19" s="4"/>
      <c r="E19" s="4">
        <f t="shared" si="1"/>
        <v>0</v>
      </c>
      <c r="F19" s="5">
        <v>0</v>
      </c>
    </row>
    <row r="20" spans="1:6" ht="15">
      <c r="A20" s="8" t="s">
        <v>21</v>
      </c>
      <c r="B20" s="24">
        <v>7252817</v>
      </c>
      <c r="C20" s="19"/>
      <c r="D20" s="19"/>
      <c r="E20" s="19">
        <f t="shared" si="1"/>
        <v>7252817</v>
      </c>
      <c r="F20" s="78">
        <v>3529270</v>
      </c>
    </row>
    <row r="21" spans="1:6" ht="15">
      <c r="A21" s="9" t="s">
        <v>22</v>
      </c>
      <c r="B21" s="10">
        <f>SUM(B14:B20)</f>
        <v>10360300</v>
      </c>
      <c r="C21" s="11">
        <f>SUM(C14:C20)</f>
        <v>0</v>
      </c>
      <c r="D21" s="11">
        <f>SUM(D14:D20)</f>
        <v>24182183</v>
      </c>
      <c r="E21" s="11">
        <f t="shared" si="1"/>
        <v>34542483</v>
      </c>
      <c r="F21" s="12">
        <f>SUM(F14:F20)</f>
        <v>35078296</v>
      </c>
    </row>
    <row r="22" spans="1:6" ht="15">
      <c r="A22" s="6" t="s">
        <v>23</v>
      </c>
      <c r="B22" s="3"/>
      <c r="C22" s="4"/>
      <c r="D22" s="4">
        <v>7127902</v>
      </c>
      <c r="E22" s="4">
        <f t="shared" si="1"/>
        <v>7127902</v>
      </c>
      <c r="F22" s="5">
        <v>5456927</v>
      </c>
    </row>
    <row r="23" spans="1:6" ht="15">
      <c r="A23" s="6" t="s">
        <v>24</v>
      </c>
      <c r="B23" s="3"/>
      <c r="C23" s="4">
        <v>555928</v>
      </c>
      <c r="D23" s="4"/>
      <c r="E23" s="14">
        <f t="shared" si="1"/>
        <v>555928</v>
      </c>
      <c r="F23" s="79">
        <v>631736</v>
      </c>
    </row>
    <row r="24" spans="1:6" ht="15">
      <c r="A24" s="6" t="s">
        <v>25</v>
      </c>
      <c r="B24" s="3"/>
      <c r="C24" s="14">
        <v>15728333</v>
      </c>
      <c r="D24" s="4"/>
      <c r="E24" s="4">
        <f t="shared" si="1"/>
        <v>15728333</v>
      </c>
      <c r="F24" s="5">
        <v>15873823</v>
      </c>
    </row>
    <row r="25" spans="1:6" ht="15">
      <c r="A25" s="6" t="s">
        <v>26</v>
      </c>
      <c r="B25" s="3"/>
      <c r="C25" s="4"/>
      <c r="D25" s="4"/>
      <c r="E25" s="4">
        <f t="shared" si="1"/>
        <v>0</v>
      </c>
      <c r="F25" s="5">
        <v>0</v>
      </c>
    </row>
    <row r="26" spans="1:6" ht="15">
      <c r="A26" s="6" t="s">
        <v>27</v>
      </c>
      <c r="B26" s="3"/>
      <c r="C26" s="4"/>
      <c r="D26" s="4"/>
      <c r="E26" s="4"/>
      <c r="F26" s="5"/>
    </row>
    <row r="27" spans="1:6" ht="15">
      <c r="A27" s="7" t="s">
        <v>28</v>
      </c>
      <c r="B27" s="3">
        <v>1207593</v>
      </c>
      <c r="C27" s="4"/>
      <c r="D27" s="4"/>
      <c r="E27" s="4">
        <f>+B27+C27+D27</f>
        <v>1207593</v>
      </c>
      <c r="F27" s="5">
        <v>1439135</v>
      </c>
    </row>
    <row r="28" spans="1:6" ht="15">
      <c r="A28" s="7" t="s">
        <v>29</v>
      </c>
      <c r="B28" s="3"/>
      <c r="C28" s="4"/>
      <c r="D28" s="4"/>
      <c r="E28" s="4">
        <f>+B28+C28+D28</f>
        <v>0</v>
      </c>
      <c r="F28" s="5">
        <v>0</v>
      </c>
    </row>
    <row r="29" spans="1:6" ht="15.75" thickBot="1">
      <c r="A29" s="15" t="s">
        <v>72</v>
      </c>
      <c r="B29" s="26">
        <f>(1033874-87417)+1133798</f>
        <v>2080255</v>
      </c>
      <c r="C29" s="17">
        <f>231042+1215867+805057+12388+2540240</f>
        <v>4804594</v>
      </c>
      <c r="D29" s="16"/>
      <c r="E29" s="17">
        <f>+B29+C29+D29</f>
        <v>6884849</v>
      </c>
      <c r="F29" s="80">
        <v>13317287</v>
      </c>
    </row>
    <row r="30" spans="1:6" ht="15.75" thickTop="1">
      <c r="A30" s="70" t="s">
        <v>31</v>
      </c>
      <c r="B30" s="72">
        <f>+B29+B28+B27+B25+B24+B23+B22+B21+B13</f>
        <v>85241975</v>
      </c>
      <c r="C30" s="73">
        <f>+C29+C28+C27+C25+C24+C23+C22+C21+C13</f>
        <v>34207337</v>
      </c>
      <c r="D30" s="73">
        <f>+D29+D28+D27+D25+D24+D23+D22+D21+D13</f>
        <v>31310085</v>
      </c>
      <c r="E30" s="74">
        <f>+B30+C30+D30</f>
        <v>150759397</v>
      </c>
      <c r="F30" s="71">
        <f>+F29+F28+F27+F25+F24+F23+F22+F21+F13</f>
        <v>147823897</v>
      </c>
    </row>
    <row r="31" spans="1:6" ht="15">
      <c r="A31" s="6"/>
      <c r="B31" s="3"/>
      <c r="C31" s="4"/>
      <c r="D31" s="4"/>
      <c r="E31" s="4"/>
      <c r="F31" s="5"/>
    </row>
    <row r="32" spans="1:6" ht="15">
      <c r="A32" s="2" t="s">
        <v>32</v>
      </c>
      <c r="B32" s="3"/>
      <c r="C32" s="4"/>
      <c r="D32" s="4"/>
      <c r="E32" s="4"/>
      <c r="F32" s="5"/>
    </row>
    <row r="33" spans="1:6" ht="15">
      <c r="A33" s="6" t="s">
        <v>33</v>
      </c>
      <c r="B33" s="3"/>
      <c r="C33" s="4"/>
      <c r="D33" s="4"/>
      <c r="E33" s="4"/>
      <c r="F33" s="5"/>
    </row>
    <row r="34" spans="1:6" ht="15">
      <c r="A34" s="7" t="s">
        <v>34</v>
      </c>
      <c r="B34" s="3">
        <f>39626015+3107483-300000+150000-112123-133348</f>
        <v>42338027</v>
      </c>
      <c r="C34" s="4">
        <v>3450838</v>
      </c>
      <c r="D34" s="4">
        <v>1762926</v>
      </c>
      <c r="E34" s="4">
        <f>SUM(B34:D34)</f>
        <v>47551791</v>
      </c>
      <c r="F34" s="5">
        <v>45221221</v>
      </c>
    </row>
    <row r="35" spans="1:6" ht="15">
      <c r="A35" s="7" t="s">
        <v>35</v>
      </c>
      <c r="B35" s="3">
        <v>87671</v>
      </c>
      <c r="C35" s="4">
        <v>3895</v>
      </c>
      <c r="D35" s="4">
        <v>6839041</v>
      </c>
      <c r="E35" s="4">
        <f aca="true" t="shared" si="2" ref="E35:E44">SUM(B35:D35)</f>
        <v>6930607</v>
      </c>
      <c r="F35" s="5">
        <v>5744627</v>
      </c>
    </row>
    <row r="36" spans="1:6" ht="15">
      <c r="A36" s="7" t="s">
        <v>36</v>
      </c>
      <c r="B36" s="3">
        <v>0</v>
      </c>
      <c r="C36" s="4">
        <v>959227</v>
      </c>
      <c r="D36" s="4">
        <v>1385669</v>
      </c>
      <c r="E36" s="4">
        <f t="shared" si="2"/>
        <v>2344896</v>
      </c>
      <c r="F36" s="5">
        <v>2476583</v>
      </c>
    </row>
    <row r="37" spans="1:6" ht="15">
      <c r="A37" s="7" t="s">
        <v>37</v>
      </c>
      <c r="B37" s="3">
        <f>9714503-111894</f>
        <v>9602609</v>
      </c>
      <c r="C37" s="4">
        <v>660770</v>
      </c>
      <c r="D37" s="4">
        <v>1238866</v>
      </c>
      <c r="E37" s="4">
        <f t="shared" si="2"/>
        <v>11502245</v>
      </c>
      <c r="F37" s="79">
        <v>11659698</v>
      </c>
    </row>
    <row r="38" spans="1:6" ht="15">
      <c r="A38" s="7" t="s">
        <v>38</v>
      </c>
      <c r="B38" s="3">
        <f>6550760-1237342+30000</f>
        <v>5343418</v>
      </c>
      <c r="C38" s="4">
        <v>326938</v>
      </c>
      <c r="D38" s="4">
        <v>2096309</v>
      </c>
      <c r="E38" s="4">
        <f t="shared" si="2"/>
        <v>7766665</v>
      </c>
      <c r="F38" s="5">
        <v>7446706</v>
      </c>
    </row>
    <row r="39" spans="1:6" ht="15">
      <c r="A39" s="7" t="s">
        <v>39</v>
      </c>
      <c r="B39" s="3">
        <f>13298362-3107483-186548+180178+12473-142006+277623-120000+60000</f>
        <v>10272599</v>
      </c>
      <c r="C39" s="4">
        <v>808824</v>
      </c>
      <c r="D39" s="4">
        <v>342099</v>
      </c>
      <c r="E39" s="4">
        <f t="shared" si="2"/>
        <v>11423522</v>
      </c>
      <c r="F39" s="5">
        <v>11402904</v>
      </c>
    </row>
    <row r="40" spans="1:6" ht="15">
      <c r="A40" s="7" t="s">
        <v>40</v>
      </c>
      <c r="B40" s="3">
        <f>9022013-B49-321306+258406</f>
        <v>6979700</v>
      </c>
      <c r="C40" s="4">
        <v>274135</v>
      </c>
      <c r="D40" s="4">
        <v>55299</v>
      </c>
      <c r="E40" s="4">
        <f t="shared" si="2"/>
        <v>7309134</v>
      </c>
      <c r="F40" s="79">
        <v>6230845</v>
      </c>
    </row>
    <row r="41" spans="1:6" ht="15">
      <c r="A41" s="7" t="s">
        <v>41</v>
      </c>
      <c r="B41" s="3">
        <f>4067907+133348+111894</f>
        <v>4313149</v>
      </c>
      <c r="C41" s="4">
        <v>77000</v>
      </c>
      <c r="D41" s="4">
        <v>17174717</v>
      </c>
      <c r="E41" s="4">
        <f t="shared" si="2"/>
        <v>21564866</v>
      </c>
      <c r="F41" s="5">
        <v>15661613</v>
      </c>
    </row>
    <row r="42" spans="1:6" ht="15">
      <c r="A42" s="6" t="s">
        <v>42</v>
      </c>
      <c r="B42" s="3">
        <v>0</v>
      </c>
      <c r="C42" s="4">
        <v>15375802</v>
      </c>
      <c r="D42" s="4">
        <v>108768</v>
      </c>
      <c r="E42" s="4">
        <f t="shared" si="2"/>
        <v>15484570</v>
      </c>
      <c r="F42" s="5">
        <v>16213442</v>
      </c>
    </row>
    <row r="43" spans="1:6" ht="15">
      <c r="A43" s="6" t="s">
        <v>26</v>
      </c>
      <c r="B43" s="3">
        <v>0</v>
      </c>
      <c r="C43" s="4">
        <v>526043</v>
      </c>
      <c r="D43" s="4">
        <v>204980</v>
      </c>
      <c r="E43" s="4">
        <f t="shared" si="2"/>
        <v>731023</v>
      </c>
      <c r="F43" s="5">
        <v>686785</v>
      </c>
    </row>
    <row r="44" spans="1:6" ht="15.75" thickBot="1">
      <c r="A44" s="18" t="s">
        <v>43</v>
      </c>
      <c r="B44" s="26">
        <v>0</v>
      </c>
      <c r="C44" s="16">
        <v>0</v>
      </c>
      <c r="D44" s="16">
        <v>101411</v>
      </c>
      <c r="E44" s="89">
        <f t="shared" si="2"/>
        <v>101411</v>
      </c>
      <c r="F44" s="81">
        <v>780295</v>
      </c>
    </row>
    <row r="45" spans="1:6" ht="15.75" thickTop="1">
      <c r="A45" s="70" t="s">
        <v>44</v>
      </c>
      <c r="B45" s="72">
        <f>SUM(B34:B44)</f>
        <v>78937173</v>
      </c>
      <c r="C45" s="73">
        <f>SUM(C34:C44)</f>
        <v>22463472</v>
      </c>
      <c r="D45" s="73">
        <f>SUM(D34:D44)</f>
        <v>31310085</v>
      </c>
      <c r="E45" s="74">
        <f>+B45+C45+D45</f>
        <v>132710730</v>
      </c>
      <c r="F45" s="71">
        <f>SUM(F34:F44)</f>
        <v>123524719</v>
      </c>
    </row>
    <row r="46" spans="1:6" ht="15">
      <c r="A46" s="6"/>
      <c r="B46" s="3"/>
      <c r="C46" s="4"/>
      <c r="D46" s="4"/>
      <c r="E46" s="4"/>
      <c r="F46" s="5"/>
    </row>
    <row r="47" spans="1:6" ht="15">
      <c r="A47" s="2" t="s">
        <v>45</v>
      </c>
      <c r="B47" s="3"/>
      <c r="C47" s="4"/>
      <c r="D47" s="4"/>
      <c r="E47" s="4"/>
      <c r="F47" s="5"/>
    </row>
    <row r="48" spans="1:6" ht="15">
      <c r="A48" s="6" t="s">
        <v>46</v>
      </c>
      <c r="B48" s="3"/>
      <c r="C48" s="4"/>
      <c r="D48" s="4"/>
      <c r="E48" s="4"/>
      <c r="F48" s="5"/>
    </row>
    <row r="49" spans="1:6" ht="15">
      <c r="A49" s="7" t="s">
        <v>47</v>
      </c>
      <c r="B49" s="3">
        <v>1979413</v>
      </c>
      <c r="C49" s="4">
        <v>4982811</v>
      </c>
      <c r="D49" s="4"/>
      <c r="E49" s="4">
        <f>SUM(B49:D49)</f>
        <v>6962224</v>
      </c>
      <c r="F49" s="5">
        <v>7111152</v>
      </c>
    </row>
    <row r="50" spans="1:6" ht="15">
      <c r="A50" s="7" t="s">
        <v>48</v>
      </c>
      <c r="B50" s="3"/>
      <c r="C50" s="14">
        <f>4220814+2540240</f>
        <v>6761054</v>
      </c>
      <c r="D50" s="4"/>
      <c r="E50" s="4">
        <f>SUM(B50:D50)</f>
        <v>6761054</v>
      </c>
      <c r="F50" s="5">
        <v>8656017</v>
      </c>
    </row>
    <row r="51" spans="1:6" ht="15">
      <c r="A51" s="8" t="s">
        <v>49</v>
      </c>
      <c r="B51" s="24"/>
      <c r="C51" s="86"/>
      <c r="D51" s="19"/>
      <c r="E51" s="4">
        <f>SUM(B51:D51)</f>
        <v>0</v>
      </c>
      <c r="F51" s="78"/>
    </row>
    <row r="52" spans="1:6" ht="15">
      <c r="A52" s="20" t="s">
        <v>50</v>
      </c>
      <c r="B52" s="21">
        <f>SUM(B49:B51)</f>
        <v>1979413</v>
      </c>
      <c r="C52" s="22">
        <f>SUM(C49:C51)</f>
        <v>11743865</v>
      </c>
      <c r="D52" s="22">
        <f>SUM(D49:D51)</f>
        <v>0</v>
      </c>
      <c r="E52" s="22">
        <f>+B52+C52+D52</f>
        <v>13723278</v>
      </c>
      <c r="F52" s="23">
        <f>SUM(F49:F51)</f>
        <v>15767169</v>
      </c>
    </row>
    <row r="53" spans="1:6" ht="15">
      <c r="A53" s="6"/>
      <c r="B53" s="3"/>
      <c r="C53" s="4"/>
      <c r="D53" s="4"/>
      <c r="E53" s="4"/>
      <c r="F53" s="5"/>
    </row>
    <row r="54" spans="1:6" ht="15">
      <c r="A54" s="6" t="s">
        <v>51</v>
      </c>
      <c r="B54" s="3"/>
      <c r="C54" s="4"/>
      <c r="D54" s="4"/>
      <c r="E54" s="4"/>
      <c r="F54" s="5"/>
    </row>
    <row r="55" spans="1:6" ht="15">
      <c r="A55" s="7" t="s">
        <v>52</v>
      </c>
      <c r="B55" s="3"/>
      <c r="C55" s="4"/>
      <c r="D55" s="4"/>
      <c r="E55" s="4"/>
      <c r="F55" s="5"/>
    </row>
    <row r="56" spans="1:6" ht="15">
      <c r="A56" s="8" t="s">
        <v>43</v>
      </c>
      <c r="B56" s="24">
        <v>4325389</v>
      </c>
      <c r="C56" s="86"/>
      <c r="D56" s="19"/>
      <c r="E56" s="19">
        <f>SUM(B56:D56)</f>
        <v>4325389</v>
      </c>
      <c r="F56" s="78">
        <f>2893931+6928582-1290504</f>
        <v>8532009</v>
      </c>
    </row>
    <row r="57" spans="1:6" ht="15.75" thickBot="1">
      <c r="A57" s="25" t="s">
        <v>53</v>
      </c>
      <c r="B57" s="82">
        <f>SUM(B55:B56)</f>
        <v>4325389</v>
      </c>
      <c r="C57" s="83">
        <f>SUM(C55:C56)</f>
        <v>0</v>
      </c>
      <c r="D57" s="83">
        <f>SUM(D55:D56)</f>
        <v>0</v>
      </c>
      <c r="E57" s="83">
        <f>+B57+C57+D57</f>
        <v>4325389</v>
      </c>
      <c r="F57" s="27">
        <f>SUM(F55:F56)</f>
        <v>8532009</v>
      </c>
    </row>
    <row r="58" spans="1:6" ht="15.75" thickTop="1">
      <c r="A58" s="70" t="s">
        <v>54</v>
      </c>
      <c r="B58" s="72">
        <f>+B45+B52+B57</f>
        <v>85241975</v>
      </c>
      <c r="C58" s="73">
        <f>+C57+C52+C45</f>
        <v>34207337</v>
      </c>
      <c r="D58" s="73">
        <f>+D57+D52+D45</f>
        <v>31310085</v>
      </c>
      <c r="E58" s="74">
        <f>+B58+C58+D58</f>
        <v>150759397</v>
      </c>
      <c r="F58" s="71">
        <f>+F57+F52+F45</f>
        <v>147823897</v>
      </c>
    </row>
    <row r="59" spans="1:6" ht="15">
      <c r="A59" s="6"/>
      <c r="B59" s="3"/>
      <c r="C59" s="4"/>
      <c r="D59" s="4"/>
      <c r="E59" s="4"/>
      <c r="F59" s="5"/>
    </row>
    <row r="60" spans="1:6" ht="15.75" thickBot="1">
      <c r="A60" s="28" t="s">
        <v>55</v>
      </c>
      <c r="B60" s="29">
        <f>+B30-B58</f>
        <v>0</v>
      </c>
      <c r="C60" s="30">
        <f>+C30-C58</f>
        <v>0</v>
      </c>
      <c r="D60" s="30">
        <f>+D30-D58</f>
        <v>0</v>
      </c>
      <c r="E60" s="31">
        <f>+E30-E58</f>
        <v>0</v>
      </c>
      <c r="F60" s="32">
        <f>+F30-F58</f>
        <v>0</v>
      </c>
    </row>
    <row r="61" spans="1:6" ht="15.75">
      <c r="A61" s="84"/>
      <c r="B61" s="85"/>
      <c r="C61" s="85"/>
      <c r="D61" s="85"/>
      <c r="E61" s="85"/>
      <c r="F61" s="85"/>
    </row>
    <row r="62" spans="1:6" ht="15">
      <c r="A62" s="87" t="s">
        <v>59</v>
      </c>
      <c r="B62" s="88"/>
      <c r="C62" s="88"/>
      <c r="D62" s="88"/>
      <c r="E62" s="88"/>
      <c r="F62" s="88"/>
    </row>
    <row r="63" spans="1:6" ht="15">
      <c r="A63" s="105" t="s">
        <v>73</v>
      </c>
      <c r="B63" s="105"/>
      <c r="C63" s="105"/>
      <c r="D63" s="105"/>
      <c r="E63" s="105"/>
      <c r="F63" s="105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</sheetData>
  <sheetProtection/>
  <mergeCells count="4">
    <mergeCell ref="A1:F1"/>
    <mergeCell ref="A2:F2"/>
    <mergeCell ref="A3:F3"/>
    <mergeCell ref="A63:F6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G18" sqref="G18"/>
    </sheetView>
  </sheetViews>
  <sheetFormatPr defaultColWidth="9.140625" defaultRowHeight="15"/>
  <cols>
    <col min="1" max="1" width="44.7109375" style="0" customWidth="1"/>
    <col min="2" max="6" width="15.7109375" style="0" customWidth="1"/>
  </cols>
  <sheetData>
    <row r="1" spans="1:6" ht="15.75">
      <c r="A1" s="100" t="s">
        <v>0</v>
      </c>
      <c r="B1" s="100"/>
      <c r="C1" s="100"/>
      <c r="D1" s="100"/>
      <c r="E1" s="100"/>
      <c r="F1" s="100"/>
    </row>
    <row r="2" spans="1:6" ht="15.75">
      <c r="A2" s="100" t="s">
        <v>56</v>
      </c>
      <c r="B2" s="100"/>
      <c r="C2" s="100"/>
      <c r="D2" s="100"/>
      <c r="E2" s="100"/>
      <c r="F2" s="100"/>
    </row>
    <row r="3" spans="1:6" ht="15.75">
      <c r="A3" s="103" t="s">
        <v>76</v>
      </c>
      <c r="B3" s="103"/>
      <c r="C3" s="103"/>
      <c r="D3" s="103"/>
      <c r="E3" s="103"/>
      <c r="F3" s="103"/>
    </row>
    <row r="4" spans="1:6" s="1" customFormat="1" ht="16.5" thickBot="1">
      <c r="A4" s="33"/>
      <c r="B4" s="33"/>
      <c r="C4" s="33"/>
      <c r="D4" s="33"/>
      <c r="E4" s="33"/>
      <c r="F4" s="33"/>
    </row>
    <row r="5" spans="1:6" ht="39.75" customHeight="1" thickBot="1">
      <c r="A5" s="106" t="s">
        <v>1</v>
      </c>
      <c r="B5" s="106" t="s">
        <v>2</v>
      </c>
      <c r="C5" s="107" t="s">
        <v>3</v>
      </c>
      <c r="D5" s="107" t="s">
        <v>4</v>
      </c>
      <c r="E5" s="107" t="s">
        <v>5</v>
      </c>
      <c r="F5" s="109" t="s">
        <v>6</v>
      </c>
    </row>
    <row r="6" spans="1:6" ht="15">
      <c r="A6" s="2" t="s">
        <v>7</v>
      </c>
      <c r="B6" s="3"/>
      <c r="C6" s="4"/>
      <c r="D6" s="4"/>
      <c r="E6" s="4"/>
      <c r="F6" s="5"/>
    </row>
    <row r="7" spans="1:6" ht="15">
      <c r="A7" s="6" t="s">
        <v>8</v>
      </c>
      <c r="B7" s="3"/>
      <c r="C7" s="4"/>
      <c r="D7" s="4"/>
      <c r="E7" s="4"/>
      <c r="F7" s="5"/>
    </row>
    <row r="8" spans="1:6" ht="15">
      <c r="A8" s="7" t="s">
        <v>9</v>
      </c>
      <c r="B8" s="3">
        <v>13274732</v>
      </c>
      <c r="C8" s="4"/>
      <c r="D8" s="4"/>
      <c r="E8" s="4">
        <f aca="true" t="shared" si="0" ref="E8:E14">+B8+C8+D8</f>
        <v>13274732</v>
      </c>
      <c r="F8" s="5">
        <v>9032904</v>
      </c>
    </row>
    <row r="9" spans="1:6" ht="15">
      <c r="A9" s="7" t="s">
        <v>10</v>
      </c>
      <c r="B9" s="3">
        <v>79784612</v>
      </c>
      <c r="C9" s="4"/>
      <c r="D9" s="4"/>
      <c r="E9" s="4">
        <f t="shared" si="0"/>
        <v>79784612</v>
      </c>
      <c r="F9" s="5">
        <v>73746247</v>
      </c>
    </row>
    <row r="10" spans="1:6" ht="15">
      <c r="A10" s="7" t="s">
        <v>11</v>
      </c>
      <c r="B10" s="3">
        <v>25570171</v>
      </c>
      <c r="C10" s="4"/>
      <c r="D10" s="4"/>
      <c r="E10" s="4">
        <f t="shared" si="0"/>
        <v>25570171</v>
      </c>
      <c r="F10" s="5">
        <v>24366725</v>
      </c>
    </row>
    <row r="11" spans="1:6" ht="15">
      <c r="A11" s="7" t="s">
        <v>12</v>
      </c>
      <c r="B11" s="3"/>
      <c r="C11" s="4">
        <f>27177144*0.6783-1000000-1000000</f>
        <v>16434256.775200002</v>
      </c>
      <c r="D11" s="4"/>
      <c r="E11" s="4">
        <f t="shared" si="0"/>
        <v>16434256.775200002</v>
      </c>
      <c r="F11" s="5">
        <f>21495995*0.63</f>
        <v>13542476.85</v>
      </c>
    </row>
    <row r="12" spans="1:6" ht="15">
      <c r="A12" s="8" t="s">
        <v>13</v>
      </c>
      <c r="B12" s="24">
        <v>9654993</v>
      </c>
      <c r="C12" s="19">
        <f>27177144*0.1291+1000000</f>
        <v>4508569.2904</v>
      </c>
      <c r="D12" s="19"/>
      <c r="E12" s="19">
        <f t="shared" si="0"/>
        <v>14163562.2904</v>
      </c>
      <c r="F12" s="78">
        <v>13826734</v>
      </c>
    </row>
    <row r="13" spans="1:6" ht="15">
      <c r="A13" s="9" t="s">
        <v>14</v>
      </c>
      <c r="B13" s="10">
        <f>SUM(B8:B12)</f>
        <v>128284508</v>
      </c>
      <c r="C13" s="11">
        <f>SUM(C8:C12)</f>
        <v>20942826.0656</v>
      </c>
      <c r="D13" s="11">
        <f>SUM(D8:D12)</f>
        <v>0</v>
      </c>
      <c r="E13" s="11">
        <f t="shared" si="0"/>
        <v>149227334.0656</v>
      </c>
      <c r="F13" s="12">
        <f>SUM(F8:F12)</f>
        <v>134515086.85</v>
      </c>
    </row>
    <row r="14" spans="1:6" ht="15">
      <c r="A14" s="6" t="s">
        <v>15</v>
      </c>
      <c r="B14" s="3"/>
      <c r="C14" s="4"/>
      <c r="D14" s="4"/>
      <c r="E14" s="4">
        <f t="shared" si="0"/>
        <v>0</v>
      </c>
      <c r="F14" s="5"/>
    </row>
    <row r="15" spans="1:6" ht="15">
      <c r="A15" s="6" t="s">
        <v>16</v>
      </c>
      <c r="B15" s="3"/>
      <c r="C15" s="4"/>
      <c r="D15" s="4"/>
      <c r="E15" s="4"/>
      <c r="F15" s="5"/>
    </row>
    <row r="16" spans="1:6" ht="15">
      <c r="A16" s="7" t="s">
        <v>17</v>
      </c>
      <c r="B16" s="3"/>
      <c r="C16" s="4"/>
      <c r="D16" s="4">
        <f>37371521*0.6288</f>
        <v>23499212.4048</v>
      </c>
      <c r="E16" s="4">
        <f aca="true" t="shared" si="1" ref="E16:E25">+B16+C16+D16</f>
        <v>23499212.4048</v>
      </c>
      <c r="F16" s="5">
        <f>23499212</f>
        <v>23499212</v>
      </c>
    </row>
    <row r="17" spans="1:6" ht="15">
      <c r="A17" s="13" t="s">
        <v>18</v>
      </c>
      <c r="B17" s="3">
        <v>5764220</v>
      </c>
      <c r="C17" s="4"/>
      <c r="D17" s="4"/>
      <c r="E17" s="4">
        <f t="shared" si="1"/>
        <v>5764220</v>
      </c>
      <c r="F17" s="5">
        <v>19623611</v>
      </c>
    </row>
    <row r="18" spans="1:6" ht="15">
      <c r="A18" s="7" t="s">
        <v>19</v>
      </c>
      <c r="B18" s="3"/>
      <c r="C18" s="4"/>
      <c r="D18" s="4">
        <f>37371524*0.2791-3738-1000000</f>
        <v>9426654.3484</v>
      </c>
      <c r="E18" s="4">
        <f t="shared" si="1"/>
        <v>9426654.3484</v>
      </c>
      <c r="F18" s="5">
        <f>9426654</f>
        <v>9426654</v>
      </c>
    </row>
    <row r="19" spans="1:6" ht="15">
      <c r="A19" s="7" t="s">
        <v>20</v>
      </c>
      <c r="B19" s="3"/>
      <c r="C19" s="4"/>
      <c r="D19" s="4"/>
      <c r="E19" s="4">
        <f t="shared" si="1"/>
        <v>0</v>
      </c>
      <c r="F19" s="5"/>
    </row>
    <row r="20" spans="1:6" ht="15">
      <c r="A20" s="8" t="s">
        <v>21</v>
      </c>
      <c r="B20" s="24">
        <v>10908607</v>
      </c>
      <c r="C20" s="19"/>
      <c r="D20" s="19"/>
      <c r="E20" s="19">
        <f t="shared" si="1"/>
        <v>10908607</v>
      </c>
      <c r="F20" s="78">
        <v>4374924</v>
      </c>
    </row>
    <row r="21" spans="1:6" ht="15">
      <c r="A21" s="9" t="s">
        <v>22</v>
      </c>
      <c r="B21" s="10">
        <f>SUM(B14:B20)</f>
        <v>16672827</v>
      </c>
      <c r="C21" s="11">
        <f>SUM(C14:C20)</f>
        <v>0</v>
      </c>
      <c r="D21" s="11">
        <f>SUM(D14:D20)</f>
        <v>32925866.753200002</v>
      </c>
      <c r="E21" s="11">
        <f t="shared" si="1"/>
        <v>49598693.7532</v>
      </c>
      <c r="F21" s="12">
        <f>SUM(F14:F20)</f>
        <v>56924401</v>
      </c>
    </row>
    <row r="22" spans="1:6" ht="15">
      <c r="A22" s="6" t="s">
        <v>23</v>
      </c>
      <c r="B22" s="3"/>
      <c r="C22" s="4"/>
      <c r="D22" s="4">
        <f>37371524*0.0866+1000000+1000000</f>
        <v>5236373.978399999</v>
      </c>
      <c r="E22" s="4">
        <f t="shared" si="1"/>
        <v>5236373.978399999</v>
      </c>
      <c r="F22" s="5">
        <f>4236374-1663890+2500000</f>
        <v>5072484</v>
      </c>
    </row>
    <row r="23" spans="1:6" ht="15">
      <c r="A23" s="6" t="s">
        <v>24</v>
      </c>
      <c r="B23" s="3"/>
      <c r="C23" s="4">
        <f>27177144*0.0475</f>
        <v>1290914.34</v>
      </c>
      <c r="D23" s="4"/>
      <c r="E23" s="14">
        <f t="shared" si="1"/>
        <v>1290914.34</v>
      </c>
      <c r="F23" s="79">
        <f>1222456</f>
        <v>1222456</v>
      </c>
    </row>
    <row r="24" spans="1:6" ht="15">
      <c r="A24" s="6" t="s">
        <v>25</v>
      </c>
      <c r="B24" s="3"/>
      <c r="C24" s="4">
        <f>27177144*0.0293</f>
        <v>796290.3192</v>
      </c>
      <c r="D24" s="4"/>
      <c r="E24" s="4">
        <f t="shared" si="1"/>
        <v>796290.3192</v>
      </c>
      <c r="F24" s="5">
        <f>758371</f>
        <v>758371</v>
      </c>
    </row>
    <row r="25" spans="1:6" ht="15">
      <c r="A25" s="6" t="s">
        <v>26</v>
      </c>
      <c r="B25" s="3"/>
      <c r="C25" s="4"/>
      <c r="D25" s="4"/>
      <c r="E25" s="4">
        <f t="shared" si="1"/>
        <v>0</v>
      </c>
      <c r="F25" s="5"/>
    </row>
    <row r="26" spans="1:6" ht="15">
      <c r="A26" s="6" t="s">
        <v>27</v>
      </c>
      <c r="B26" s="3"/>
      <c r="C26" s="4"/>
      <c r="D26" s="4"/>
      <c r="E26" s="4"/>
      <c r="F26" s="5"/>
    </row>
    <row r="27" spans="1:6" ht="15">
      <c r="A27" s="7" t="s">
        <v>28</v>
      </c>
      <c r="B27" s="3">
        <v>2500000</v>
      </c>
      <c r="C27" s="4"/>
      <c r="D27" s="4"/>
      <c r="E27" s="4">
        <f>+B27+C27+D27</f>
        <v>2500000</v>
      </c>
      <c r="F27" s="5">
        <f>2500000</f>
        <v>2500000</v>
      </c>
    </row>
    <row r="28" spans="1:6" ht="15">
      <c r="A28" s="7" t="s">
        <v>29</v>
      </c>
      <c r="B28" s="3">
        <v>4375010</v>
      </c>
      <c r="C28" s="4"/>
      <c r="D28" s="4"/>
      <c r="E28" s="4">
        <f>+B28+C28+D28</f>
        <v>4375010</v>
      </c>
      <c r="F28" s="5">
        <f>4195310</f>
        <v>4195310</v>
      </c>
    </row>
    <row r="29" spans="1:6" ht="15.75" thickBot="1">
      <c r="A29" s="15" t="s">
        <v>30</v>
      </c>
      <c r="B29" s="26">
        <v>2622940</v>
      </c>
      <c r="C29" s="16">
        <f>27177144*0.1158+1000000</f>
        <v>4147113.2752</v>
      </c>
      <c r="D29" s="16">
        <f>37371521*0.0056</f>
        <v>209280.5176</v>
      </c>
      <c r="E29" s="17">
        <f>+B29+C29+D29</f>
        <v>6979333.7928</v>
      </c>
      <c r="F29" s="80">
        <f>6979334</f>
        <v>6979334</v>
      </c>
    </row>
    <row r="30" spans="1:6" ht="15.75" thickTop="1">
      <c r="A30" s="70" t="s">
        <v>31</v>
      </c>
      <c r="B30" s="72">
        <f>+B29+B28+B27+B25+B24+B23+B22+B21+B13</f>
        <v>154455285</v>
      </c>
      <c r="C30" s="73">
        <f>+C29+C28+C27+C25+C24+C23+C22+C21+C13</f>
        <v>27177144</v>
      </c>
      <c r="D30" s="73">
        <f>+D29+D28+D27+D25+D24+D23+D22+D21+D13</f>
        <v>38371521.2492</v>
      </c>
      <c r="E30" s="98">
        <f>+B30+C30+D30</f>
        <v>220003950.2492</v>
      </c>
      <c r="F30" s="99">
        <f>+F29+F28+F27+F25+F24+F23+F22+F21+F13</f>
        <v>212167442.85</v>
      </c>
    </row>
    <row r="31" spans="1:6" ht="15">
      <c r="A31" s="6"/>
      <c r="B31" s="3"/>
      <c r="C31" s="4"/>
      <c r="D31" s="4"/>
      <c r="E31" s="4"/>
      <c r="F31" s="5"/>
    </row>
    <row r="32" spans="1:6" ht="15">
      <c r="A32" s="2" t="s">
        <v>32</v>
      </c>
      <c r="B32" s="3"/>
      <c r="C32" s="4"/>
      <c r="D32" s="4"/>
      <c r="E32" s="4"/>
      <c r="F32" s="5"/>
    </row>
    <row r="33" spans="1:6" ht="15">
      <c r="A33" s="6" t="s">
        <v>33</v>
      </c>
      <c r="B33" s="3"/>
      <c r="C33" s="4"/>
      <c r="D33" s="4"/>
      <c r="E33" s="4"/>
      <c r="F33" s="5"/>
    </row>
    <row r="34" spans="1:6" ht="15">
      <c r="A34" s="7" t="s">
        <v>34</v>
      </c>
      <c r="B34" s="3">
        <f>139689241*0.5685+9755303+500000-2882110-90</f>
        <v>86786436.5085</v>
      </c>
      <c r="C34" s="4">
        <f>27177144*0.6558</f>
        <v>17822771.0352</v>
      </c>
      <c r="D34" s="4">
        <f>37317829*0.2755+1000000</f>
        <v>11281061.889500001</v>
      </c>
      <c r="E34" s="4">
        <f aca="true" t="shared" si="2" ref="E34:E44">+B34+C34+D34</f>
        <v>115890269.4332</v>
      </c>
      <c r="F34" s="5">
        <f>198813636*0.5282+2500000</f>
        <v>107513362.5352</v>
      </c>
    </row>
    <row r="35" spans="1:6" ht="15">
      <c r="A35" s="7" t="s">
        <v>35</v>
      </c>
      <c r="B35" s="3">
        <f>139689241*0.0005</f>
        <v>69844.6205</v>
      </c>
      <c r="C35" s="4"/>
      <c r="D35" s="4">
        <f>37317829*0.1286</f>
        <v>4799072.8094</v>
      </c>
      <c r="E35" s="4">
        <f t="shared" si="2"/>
        <v>4868917.4299</v>
      </c>
      <c r="F35" s="5">
        <f>198813636*0.0225</f>
        <v>4473306.81</v>
      </c>
    </row>
    <row r="36" spans="1:6" ht="15">
      <c r="A36" s="7" t="s">
        <v>36</v>
      </c>
      <c r="B36" s="3">
        <f>139689241*0.001</f>
        <v>139689.241</v>
      </c>
      <c r="C36" s="4">
        <f>27177144*0.0819</f>
        <v>2225808.0936</v>
      </c>
      <c r="D36" s="4">
        <f>37317829*0.0944</f>
        <v>3522803.0576</v>
      </c>
      <c r="E36" s="4">
        <f t="shared" si="2"/>
        <v>5888300.3922</v>
      </c>
      <c r="F36" s="5">
        <f>198813636*0.0262</f>
        <v>5208917.2632</v>
      </c>
    </row>
    <row r="37" spans="1:6" ht="15">
      <c r="A37" s="7" t="s">
        <v>37</v>
      </c>
      <c r="B37" s="3">
        <f>139689241*0.17+2090422+1000000-2882110</f>
        <v>23955482.970000003</v>
      </c>
      <c r="C37" s="4">
        <f>27177144*0.0836</f>
        <v>2272009.2383999997</v>
      </c>
      <c r="D37" s="4">
        <f>37317829*0.0058</f>
        <v>216443.40819999998</v>
      </c>
      <c r="E37" s="4">
        <f t="shared" si="2"/>
        <v>26443935.616600003</v>
      </c>
      <c r="F37" s="79">
        <f>198813636*0.1341</f>
        <v>26660908.5876</v>
      </c>
    </row>
    <row r="38" spans="1:6" ht="15">
      <c r="A38" s="7" t="s">
        <v>38</v>
      </c>
      <c r="B38" s="3">
        <f>139689241*0.05</f>
        <v>6984462.050000001</v>
      </c>
      <c r="C38" s="4">
        <f>27177144*0.1536</f>
        <v>4174409.3183999998</v>
      </c>
      <c r="D38" s="4">
        <f>37317829*0.0204</f>
        <v>761283.7116</v>
      </c>
      <c r="E38" s="4">
        <f t="shared" si="2"/>
        <v>11920155.08</v>
      </c>
      <c r="F38" s="5">
        <f>198813636*0.0556</f>
        <v>11054038.1616</v>
      </c>
    </row>
    <row r="39" spans="1:6" ht="15">
      <c r="A39" s="7" t="s">
        <v>39</v>
      </c>
      <c r="B39" s="3">
        <f>139689241*0.11+2090422-600000-1500000-200000</f>
        <v>15156238.509999998</v>
      </c>
      <c r="C39" s="4">
        <f>27177144*0.002</f>
        <v>54354.288</v>
      </c>
      <c r="D39" s="4">
        <f>37317819*0.0117</f>
        <v>436618.48230000003</v>
      </c>
      <c r="E39" s="4">
        <f t="shared" si="2"/>
        <v>15647211.280299999</v>
      </c>
      <c r="F39" s="5">
        <f>198813636*0.078</f>
        <v>15507463.608</v>
      </c>
    </row>
    <row r="40" spans="1:6" ht="15">
      <c r="A40" s="7" t="s">
        <v>40</v>
      </c>
      <c r="B40" s="3">
        <f>139689241*0.03+800000</f>
        <v>4990677.23</v>
      </c>
      <c r="C40" s="4"/>
      <c r="D40" s="4">
        <f>37317819*0.0113</f>
        <v>421691.35469999997</v>
      </c>
      <c r="E40" s="4">
        <f t="shared" si="2"/>
        <v>5412368.5847000005</v>
      </c>
      <c r="F40" s="79">
        <f>198813636*0.0274</f>
        <v>5447493.6264</v>
      </c>
    </row>
    <row r="41" spans="1:6" ht="15">
      <c r="A41" s="7" t="s">
        <v>41</v>
      </c>
      <c r="B41" s="3">
        <f>139689241*0.07</f>
        <v>9778246.870000001</v>
      </c>
      <c r="C41" s="4">
        <f>27177144*0.0037</f>
        <v>100555.43280000001</v>
      </c>
      <c r="D41" s="4">
        <f>0.4523*37317829</f>
        <v>16878854.0567</v>
      </c>
      <c r="E41" s="4">
        <f t="shared" si="2"/>
        <v>26757656.3595</v>
      </c>
      <c r="F41" s="5">
        <f>198813636*0.1258</f>
        <v>25010755.4088</v>
      </c>
    </row>
    <row r="42" spans="1:6" ht="15">
      <c r="A42" s="6" t="s">
        <v>42</v>
      </c>
      <c r="B42" s="3"/>
      <c r="C42" s="4">
        <f>27177144*0.0194</f>
        <v>527236.5936</v>
      </c>
      <c r="D42" s="4"/>
      <c r="E42" s="14">
        <f t="shared" si="2"/>
        <v>527236.5936</v>
      </c>
      <c r="F42" s="5">
        <f>198813636*0.0022</f>
        <v>437389.9992</v>
      </c>
    </row>
    <row r="43" spans="1:6" ht="15">
      <c r="A43" s="6" t="s">
        <v>26</v>
      </c>
      <c r="B43" s="3"/>
      <c r="C43" s="4"/>
      <c r="D43" s="4"/>
      <c r="E43" s="4">
        <f t="shared" si="2"/>
        <v>0</v>
      </c>
      <c r="F43" s="5"/>
    </row>
    <row r="44" spans="1:6" ht="15.75" thickBot="1">
      <c r="A44" s="18" t="s">
        <v>43</v>
      </c>
      <c r="B44" s="26"/>
      <c r="C44" s="16"/>
      <c r="D44" s="16"/>
      <c r="E44" s="16">
        <f t="shared" si="2"/>
        <v>0</v>
      </c>
      <c r="F44" s="81"/>
    </row>
    <row r="45" spans="1:6" ht="15.75" thickTop="1">
      <c r="A45" s="70" t="s">
        <v>44</v>
      </c>
      <c r="B45" s="72">
        <f>SUM(B34:B44)</f>
        <v>147861077.99999997</v>
      </c>
      <c r="C45" s="73">
        <f>SUM(C34:C44)</f>
        <v>27177144</v>
      </c>
      <c r="D45" s="73">
        <f>SUM(D34:D44)</f>
        <v>38317828.769999996</v>
      </c>
      <c r="E45" s="74">
        <f>+B45+C45+D45</f>
        <v>213356050.76999998</v>
      </c>
      <c r="F45" s="71">
        <f>SUM(F34:F44)</f>
        <v>201313636</v>
      </c>
    </row>
    <row r="46" spans="1:6" ht="15">
      <c r="A46" s="6"/>
      <c r="B46" s="3"/>
      <c r="C46" s="4"/>
      <c r="D46" s="4"/>
      <c r="E46" s="4"/>
      <c r="F46" s="5"/>
    </row>
    <row r="47" spans="1:6" ht="15">
      <c r="A47" s="2" t="s">
        <v>45</v>
      </c>
      <c r="B47" s="3"/>
      <c r="C47" s="4"/>
      <c r="D47" s="4"/>
      <c r="E47" s="4"/>
      <c r="F47" s="5"/>
    </row>
    <row r="48" spans="1:6" ht="15">
      <c r="A48" s="6" t="s">
        <v>46</v>
      </c>
      <c r="B48" s="3"/>
      <c r="C48" s="4"/>
      <c r="D48" s="4"/>
      <c r="E48" s="4"/>
      <c r="F48" s="5"/>
    </row>
    <row r="49" spans="1:6" ht="15">
      <c r="A49" s="7" t="s">
        <v>47</v>
      </c>
      <c r="B49" s="3">
        <f>4825894</f>
        <v>4825894</v>
      </c>
      <c r="C49" s="4"/>
      <c r="D49" s="4"/>
      <c r="E49" s="4">
        <f>+B49+C49+D49</f>
        <v>4825894</v>
      </c>
      <c r="F49" s="5">
        <f>5347617-99629-3089</f>
        <v>5244899</v>
      </c>
    </row>
    <row r="50" spans="1:6" ht="15">
      <c r="A50" s="7" t="s">
        <v>48</v>
      </c>
      <c r="B50" s="3"/>
      <c r="C50" s="4"/>
      <c r="D50" s="4"/>
      <c r="E50" s="4">
        <f>+B50+C50+D50</f>
        <v>0</v>
      </c>
      <c r="F50" s="5"/>
    </row>
    <row r="51" spans="1:6" ht="15">
      <c r="A51" s="8" t="s">
        <v>49</v>
      </c>
      <c r="B51" s="24"/>
      <c r="C51" s="19"/>
      <c r="D51" s="19"/>
      <c r="E51" s="19">
        <f>+B51+C51+D51</f>
        <v>0</v>
      </c>
      <c r="F51" s="78"/>
    </row>
    <row r="52" spans="1:6" ht="15">
      <c r="A52" s="20" t="s">
        <v>50</v>
      </c>
      <c r="B52" s="21">
        <f>SUM(B49:B51)</f>
        <v>4825894</v>
      </c>
      <c r="C52" s="22">
        <f>SUM(C49:C51)</f>
        <v>0</v>
      </c>
      <c r="D52" s="22">
        <f>SUM(D49:D51)</f>
        <v>0</v>
      </c>
      <c r="E52" s="22">
        <f>+B52+C52+D52</f>
        <v>4825894</v>
      </c>
      <c r="F52" s="23">
        <f>SUM(F49:F51)</f>
        <v>5244899</v>
      </c>
    </row>
    <row r="53" spans="1:6" ht="15">
      <c r="A53" s="6"/>
      <c r="B53" s="3"/>
      <c r="C53" s="4"/>
      <c r="D53" s="4"/>
      <c r="E53" s="4"/>
      <c r="F53" s="5"/>
    </row>
    <row r="54" spans="1:6" ht="15">
      <c r="A54" s="6" t="s">
        <v>51</v>
      </c>
      <c r="B54" s="3"/>
      <c r="C54" s="4"/>
      <c r="D54" s="4"/>
      <c r="E54" s="4"/>
      <c r="F54" s="5"/>
    </row>
    <row r="55" spans="1:6" ht="15">
      <c r="A55" s="7" t="s">
        <v>52</v>
      </c>
      <c r="B55" s="3"/>
      <c r="C55" s="4"/>
      <c r="D55" s="4"/>
      <c r="E55" s="4">
        <f>+B55+C55+D55</f>
        <v>0</v>
      </c>
      <c r="F55" s="5"/>
    </row>
    <row r="56" spans="1:6" ht="15">
      <c r="A56" s="8" t="s">
        <v>43</v>
      </c>
      <c r="B56" s="24">
        <v>1768313</v>
      </c>
      <c r="C56" s="19"/>
      <c r="D56" s="19">
        <v>53692</v>
      </c>
      <c r="E56" s="19">
        <f>+B56+C56+D56</f>
        <v>1822005</v>
      </c>
      <c r="F56" s="78">
        <f>23307090*0.22+481348</f>
        <v>5608907.8</v>
      </c>
    </row>
    <row r="57" spans="1:6" ht="15.75" thickBot="1">
      <c r="A57" s="25" t="s">
        <v>53</v>
      </c>
      <c r="B57" s="82">
        <f>SUM(B55:B56)</f>
        <v>1768313</v>
      </c>
      <c r="C57" s="83">
        <f>SUM(C55:C56)</f>
        <v>0</v>
      </c>
      <c r="D57" s="83">
        <f>SUM(D55:D56)</f>
        <v>53692</v>
      </c>
      <c r="E57" s="83">
        <f>+B57+C57+D57</f>
        <v>1822005</v>
      </c>
      <c r="F57" s="27">
        <f>SUM(F55:F56)</f>
        <v>5608907.8</v>
      </c>
    </row>
    <row r="58" spans="1:6" ht="15.75" thickTop="1">
      <c r="A58" s="70" t="s">
        <v>54</v>
      </c>
      <c r="B58" s="72">
        <f>+B45+B52+B57</f>
        <v>154455284.99999997</v>
      </c>
      <c r="C58" s="73">
        <f>+C57+C52+C45</f>
        <v>27177144</v>
      </c>
      <c r="D58" s="73">
        <f>+D57+D52+D45</f>
        <v>38371520.769999996</v>
      </c>
      <c r="E58" s="74">
        <f>+B58+C58+D58</f>
        <v>220003949.76999998</v>
      </c>
      <c r="F58" s="71">
        <f>+F57+F52+F45</f>
        <v>212167442.8</v>
      </c>
    </row>
    <row r="59" spans="1:6" ht="15">
      <c r="A59" s="6"/>
      <c r="B59" s="3"/>
      <c r="C59" s="4"/>
      <c r="D59" s="4"/>
      <c r="E59" s="4"/>
      <c r="F59" s="5"/>
    </row>
    <row r="60" spans="1:6" ht="15.75" thickBot="1">
      <c r="A60" s="28" t="s">
        <v>55</v>
      </c>
      <c r="B60" s="29">
        <f>+B30-B58</f>
        <v>0</v>
      </c>
      <c r="C60" s="30">
        <f>+C30-C58</f>
        <v>0</v>
      </c>
      <c r="D60" s="30">
        <f>+D30-D58</f>
        <v>0.47920000553131104</v>
      </c>
      <c r="E60" s="31">
        <f>+E30-E58</f>
        <v>0.47920000553131104</v>
      </c>
      <c r="F60" s="32">
        <f>+F30-F58</f>
        <v>0.04999998211860657</v>
      </c>
    </row>
    <row r="61" spans="1:6" ht="15">
      <c r="A61" s="1"/>
      <c r="B61" s="1"/>
      <c r="C61" s="1"/>
      <c r="D61" s="1"/>
      <c r="E61" s="1"/>
      <c r="F61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zoomScalePageLayoutView="0" workbookViewId="0" topLeftCell="A1">
      <selection activeCell="I5" sqref="I5"/>
    </sheetView>
  </sheetViews>
  <sheetFormatPr defaultColWidth="9.140625" defaultRowHeight="15"/>
  <cols>
    <col min="1" max="1" width="44.7109375" style="0" customWidth="1"/>
    <col min="2" max="3" width="15.7109375" style="0" customWidth="1"/>
    <col min="4" max="4" width="15.8515625" style="0" customWidth="1"/>
    <col min="5" max="6" width="15.7109375" style="0" customWidth="1"/>
  </cols>
  <sheetData>
    <row r="1" spans="1:6" ht="15.75">
      <c r="A1" s="100" t="s">
        <v>71</v>
      </c>
      <c r="B1" s="100"/>
      <c r="C1" s="100"/>
      <c r="D1" s="100"/>
      <c r="E1" s="100"/>
      <c r="F1" s="100"/>
    </row>
    <row r="2" spans="1:6" ht="15.75">
      <c r="A2" s="100" t="s">
        <v>75</v>
      </c>
      <c r="B2" s="100"/>
      <c r="C2" s="100"/>
      <c r="D2" s="100"/>
      <c r="E2" s="100"/>
      <c r="F2" s="100"/>
    </row>
    <row r="3" spans="1:6" ht="15.75">
      <c r="A3" s="103" t="s">
        <v>78</v>
      </c>
      <c r="B3" s="103"/>
      <c r="C3" s="103"/>
      <c r="D3" s="103"/>
      <c r="E3" s="103"/>
      <c r="F3" s="103"/>
    </row>
    <row r="4" spans="1:6" s="1" customFormat="1" ht="16.5" thickBot="1">
      <c r="A4" s="33"/>
      <c r="B4" s="33"/>
      <c r="C4" s="33"/>
      <c r="D4" s="33"/>
      <c r="E4" s="33"/>
      <c r="F4" s="33"/>
    </row>
    <row r="5" spans="1:6" ht="39.75" customHeight="1" thickBot="1">
      <c r="A5" s="106" t="s">
        <v>1</v>
      </c>
      <c r="B5" s="106" t="s">
        <v>2</v>
      </c>
      <c r="C5" s="107" t="s">
        <v>3</v>
      </c>
      <c r="D5" s="107" t="s">
        <v>4</v>
      </c>
      <c r="E5" s="107" t="s">
        <v>5</v>
      </c>
      <c r="F5" s="109" t="s">
        <v>6</v>
      </c>
    </row>
    <row r="6" spans="1:6" ht="15">
      <c r="A6" s="2" t="s">
        <v>7</v>
      </c>
      <c r="B6" s="3"/>
      <c r="C6" s="4"/>
      <c r="D6" s="4"/>
      <c r="E6" s="4"/>
      <c r="F6" s="5"/>
    </row>
    <row r="7" spans="1:6" ht="15">
      <c r="A7" s="6" t="s">
        <v>8</v>
      </c>
      <c r="B7" s="3"/>
      <c r="C7" s="4"/>
      <c r="D7" s="4"/>
      <c r="E7" s="4"/>
      <c r="F7" s="5"/>
    </row>
    <row r="8" spans="1:6" ht="15">
      <c r="A8" s="7" t="s">
        <v>9</v>
      </c>
      <c r="B8" s="3">
        <v>863978</v>
      </c>
      <c r="C8" s="4"/>
      <c r="D8" s="4"/>
      <c r="E8" s="4">
        <f aca="true" t="shared" si="0" ref="E8:E14">+B8+C8+D8</f>
        <v>863978</v>
      </c>
      <c r="F8" s="5">
        <v>661556</v>
      </c>
    </row>
    <row r="9" spans="1:6" ht="15">
      <c r="A9" s="7" t="s">
        <v>10</v>
      </c>
      <c r="B9" s="3">
        <v>38274819</v>
      </c>
      <c r="C9" s="4"/>
      <c r="D9" s="4"/>
      <c r="E9" s="4">
        <f t="shared" si="0"/>
        <v>38274819</v>
      </c>
      <c r="F9" s="5">
        <v>34650267</v>
      </c>
    </row>
    <row r="10" spans="1:6" ht="15">
      <c r="A10" s="7" t="s">
        <v>11</v>
      </c>
      <c r="B10" s="3">
        <v>13179055</v>
      </c>
      <c r="C10" s="4"/>
      <c r="D10" s="4"/>
      <c r="E10" s="4">
        <f t="shared" si="0"/>
        <v>13179055</v>
      </c>
      <c r="F10" s="5">
        <v>11947495</v>
      </c>
    </row>
    <row r="11" spans="1:6" ht="15">
      <c r="A11" s="7" t="s">
        <v>12</v>
      </c>
      <c r="B11" s="3"/>
      <c r="C11" s="4">
        <f>652251462*0.01546-500000</f>
        <v>9583807.60252</v>
      </c>
      <c r="D11" s="4"/>
      <c r="E11" s="4">
        <f t="shared" si="0"/>
        <v>9583807.60252</v>
      </c>
      <c r="F11" s="5">
        <f>0.37*21495995</f>
        <v>7953518.149999999</v>
      </c>
    </row>
    <row r="12" spans="1:6" ht="15">
      <c r="A12" s="8" t="s">
        <v>13</v>
      </c>
      <c r="B12" s="24">
        <v>6547762</v>
      </c>
      <c r="C12" s="19">
        <f>0.00082*652251462+800000</f>
        <v>1334846.19884</v>
      </c>
      <c r="D12" s="19"/>
      <c r="E12" s="19">
        <f t="shared" si="0"/>
        <v>7882608.19884</v>
      </c>
      <c r="F12" s="78">
        <v>6655392</v>
      </c>
    </row>
    <row r="13" spans="1:6" ht="15">
      <c r="A13" s="9" t="s">
        <v>14</v>
      </c>
      <c r="B13" s="10">
        <f>SUM(B8:B12)</f>
        <v>58865614</v>
      </c>
      <c r="C13" s="11">
        <f>SUM(C8:C12)</f>
        <v>10918653.80136</v>
      </c>
      <c r="D13" s="11">
        <f>SUM(D8:D12)</f>
        <v>0</v>
      </c>
      <c r="E13" s="11">
        <f t="shared" si="0"/>
        <v>69784267.80136</v>
      </c>
      <c r="F13" s="12">
        <f>SUM(F8:F12)</f>
        <v>61868228.15</v>
      </c>
    </row>
    <row r="14" spans="1:6" ht="15">
      <c r="A14" s="6" t="s">
        <v>15</v>
      </c>
      <c r="B14" s="3"/>
      <c r="C14" s="4">
        <f>9334680+1700000</f>
        <v>11034680</v>
      </c>
      <c r="D14" s="4">
        <f>3405734</f>
        <v>3405734</v>
      </c>
      <c r="E14" s="4">
        <f t="shared" si="0"/>
        <v>14440414</v>
      </c>
      <c r="F14" s="5">
        <f>12462619</f>
        <v>12462619</v>
      </c>
    </row>
    <row r="15" spans="1:6" ht="15">
      <c r="A15" s="6" t="s">
        <v>16</v>
      </c>
      <c r="B15" s="3"/>
      <c r="C15" s="4"/>
      <c r="D15" s="4"/>
      <c r="E15" s="4"/>
      <c r="F15" s="5"/>
    </row>
    <row r="16" spans="1:6" ht="15">
      <c r="A16" s="7" t="s">
        <v>17</v>
      </c>
      <c r="B16" s="3"/>
      <c r="C16" s="4"/>
      <c r="D16" s="4">
        <f>332937959*0.6052+4000000</f>
        <v>205494052.7868</v>
      </c>
      <c r="E16" s="4">
        <f aca="true" t="shared" si="1" ref="E16:E25">+B16+C16+D16</f>
        <v>205494052.7868</v>
      </c>
      <c r="F16" s="5">
        <f>205494053</f>
        <v>205494053</v>
      </c>
    </row>
    <row r="17" spans="1:6" ht="15">
      <c r="A17" s="13" t="s">
        <v>18</v>
      </c>
      <c r="B17" s="3">
        <v>9015832</v>
      </c>
      <c r="C17" s="4"/>
      <c r="D17" s="4"/>
      <c r="E17" s="4">
        <f t="shared" si="1"/>
        <v>9015832</v>
      </c>
      <c r="F17" s="5">
        <v>37477565</v>
      </c>
    </row>
    <row r="18" spans="1:6" ht="15">
      <c r="A18" s="7" t="s">
        <v>19</v>
      </c>
      <c r="B18" s="3"/>
      <c r="C18" s="4"/>
      <c r="D18" s="4">
        <f>332937959*0.0849-3000000-4000000</f>
        <v>21266432.719100002</v>
      </c>
      <c r="E18" s="4">
        <f t="shared" si="1"/>
        <v>21266432.719100002</v>
      </c>
      <c r="F18" s="5">
        <f>21266433-128874</f>
        <v>21137559</v>
      </c>
    </row>
    <row r="19" spans="1:6" ht="15">
      <c r="A19" s="7" t="s">
        <v>20</v>
      </c>
      <c r="B19" s="3">
        <v>16004485</v>
      </c>
      <c r="C19" s="4"/>
      <c r="D19" s="4"/>
      <c r="E19" s="4">
        <f t="shared" si="1"/>
        <v>16004485</v>
      </c>
      <c r="F19" s="5">
        <v>17150000</v>
      </c>
    </row>
    <row r="20" spans="1:6" ht="15">
      <c r="A20" s="8" t="s">
        <v>21</v>
      </c>
      <c r="B20" s="24">
        <v>52102398</v>
      </c>
      <c r="C20" s="19"/>
      <c r="D20" s="19"/>
      <c r="E20" s="19">
        <f t="shared" si="1"/>
        <v>52102398</v>
      </c>
      <c r="F20" s="78">
        <v>28704283</v>
      </c>
    </row>
    <row r="21" spans="1:6" ht="15">
      <c r="A21" s="9" t="s">
        <v>22</v>
      </c>
      <c r="B21" s="10">
        <f>SUM(B14:B20)</f>
        <v>77122715</v>
      </c>
      <c r="C21" s="11">
        <f>SUM(C14:C20)</f>
        <v>11034680</v>
      </c>
      <c r="D21" s="11">
        <f>SUM(D14:D20)</f>
        <v>230166219.5059</v>
      </c>
      <c r="E21" s="11">
        <f t="shared" si="1"/>
        <v>318323614.5059</v>
      </c>
      <c r="F21" s="12">
        <f>SUM(F14:F20)</f>
        <v>322426079</v>
      </c>
    </row>
    <row r="22" spans="1:6" ht="15">
      <c r="A22" s="6" t="s">
        <v>23</v>
      </c>
      <c r="B22" s="3"/>
      <c r="C22" s="4"/>
      <c r="D22" s="4">
        <f>332937959*0.2995+366232+3000000-1000000</f>
        <v>102081150.72049999</v>
      </c>
      <c r="E22" s="4">
        <f t="shared" si="1"/>
        <v>102081150.72049999</v>
      </c>
      <c r="F22" s="5">
        <f>103081151-4000000-2500000</f>
        <v>96581151</v>
      </c>
    </row>
    <row r="23" spans="1:6" ht="15">
      <c r="A23" s="6" t="s">
        <v>24</v>
      </c>
      <c r="B23" s="3"/>
      <c r="C23" s="4">
        <f>652251462*0.18265-4000000-278387-2000000</f>
        <v>112855342.5343</v>
      </c>
      <c r="D23" s="4"/>
      <c r="E23" s="14">
        <f t="shared" si="1"/>
        <v>112855342.5343</v>
      </c>
      <c r="F23" s="79">
        <f>107812983*0.99+619066</f>
        <v>107353919.17</v>
      </c>
    </row>
    <row r="24" spans="1:6" ht="15">
      <c r="A24" s="6" t="s">
        <v>25</v>
      </c>
      <c r="B24" s="3"/>
      <c r="C24" s="4">
        <f>652251462*0.02656-2000000</f>
        <v>15323798.83072</v>
      </c>
      <c r="D24" s="4"/>
      <c r="E24" s="4">
        <f t="shared" si="1"/>
        <v>15323798.83072</v>
      </c>
      <c r="F24" s="5">
        <f>15022563*0.96-157468</f>
        <v>14264192.479999999</v>
      </c>
    </row>
    <row r="25" spans="1:6" ht="15">
      <c r="A25" s="6" t="s">
        <v>26</v>
      </c>
      <c r="B25" s="3">
        <v>1620000</v>
      </c>
      <c r="C25" s="4">
        <f>652251462*0.68784+2000000-42098988</f>
        <v>408545657.62208</v>
      </c>
      <c r="D25" s="4"/>
      <c r="E25" s="4">
        <f t="shared" si="1"/>
        <v>410165657.62208</v>
      </c>
      <c r="F25" s="5">
        <f>403633960-13000000</f>
        <v>390633960</v>
      </c>
    </row>
    <row r="26" spans="1:6" ht="15">
      <c r="A26" s="6" t="s">
        <v>27</v>
      </c>
      <c r="B26" s="3"/>
      <c r="C26" s="4"/>
      <c r="D26" s="4"/>
      <c r="E26" s="4"/>
      <c r="F26" s="5"/>
    </row>
    <row r="27" spans="1:6" ht="15">
      <c r="A27" s="7" t="s">
        <v>28</v>
      </c>
      <c r="B27" s="3">
        <v>51690265</v>
      </c>
      <c r="C27" s="4">
        <f>26786267</f>
        <v>26786267</v>
      </c>
      <c r="D27" s="4"/>
      <c r="E27" s="4">
        <f>+B27+C27+D27</f>
        <v>78476532</v>
      </c>
      <c r="F27" s="5">
        <f>73395258</f>
        <v>73395258</v>
      </c>
    </row>
    <row r="28" spans="1:6" ht="15">
      <c r="A28" s="7" t="s">
        <v>29</v>
      </c>
      <c r="B28" s="3"/>
      <c r="C28" s="4"/>
      <c r="D28" s="4"/>
      <c r="E28" s="4">
        <f>+B28+C28+D28</f>
        <v>0</v>
      </c>
      <c r="F28" s="5"/>
    </row>
    <row r="29" spans="1:6" ht="15.75" thickBot="1">
      <c r="A29" s="15" t="s">
        <v>30</v>
      </c>
      <c r="B29" s="26">
        <v>4597234</v>
      </c>
      <c r="C29" s="16">
        <f>652251462*0.04245-3000000+2000000</f>
        <v>26688074.5619</v>
      </c>
      <c r="D29" s="16">
        <f>332937959*0.0093+541003</f>
        <v>3637326.0187</v>
      </c>
      <c r="E29" s="17">
        <f>+B29+C29+D29</f>
        <v>34922634.5806</v>
      </c>
      <c r="F29" s="80">
        <f>34922635</f>
        <v>34922635</v>
      </c>
    </row>
    <row r="30" spans="1:6" ht="15.75" thickTop="1">
      <c r="A30" s="70" t="s">
        <v>31</v>
      </c>
      <c r="B30" s="72">
        <f>+B29+B28+B27+B25+B24+B23+B22+B21+B13</f>
        <v>193895828</v>
      </c>
      <c r="C30" s="73">
        <f>+C29+C28+C27+C25+C24+C23+C22+C21+C13</f>
        <v>612152474.35036</v>
      </c>
      <c r="D30" s="73">
        <f>+D29+D28+D27+D25+D24+D23+D22+D21+D13</f>
        <v>335884696.2451</v>
      </c>
      <c r="E30" s="74">
        <f>+B30+C30+D30</f>
        <v>1141932998.59546</v>
      </c>
      <c r="F30" s="71">
        <f>+F29+F28+F27+F25+F24+F23+F22+F21+F13</f>
        <v>1101445422.8</v>
      </c>
    </row>
    <row r="31" spans="1:6" ht="15">
      <c r="A31" s="6"/>
      <c r="B31" s="3"/>
      <c r="C31" s="4"/>
      <c r="D31" s="4"/>
      <c r="E31" s="4"/>
      <c r="F31" s="5"/>
    </row>
    <row r="32" spans="1:6" ht="15">
      <c r="A32" s="2" t="s">
        <v>32</v>
      </c>
      <c r="B32" s="3"/>
      <c r="C32" s="4"/>
      <c r="D32" s="4"/>
      <c r="E32" s="4"/>
      <c r="F32" s="5"/>
    </row>
    <row r="33" spans="1:6" ht="15">
      <c r="A33" s="6" t="s">
        <v>33</v>
      </c>
      <c r="B33" s="3"/>
      <c r="C33" s="4"/>
      <c r="D33" s="4"/>
      <c r="E33" s="4"/>
      <c r="F33" s="5"/>
    </row>
    <row r="34" spans="1:6" ht="15">
      <c r="A34" s="7" t="s">
        <v>34</v>
      </c>
      <c r="B34" s="3">
        <f>151737112*0.49+1580379+5409499+1+700000+1000000+60000-902068-8915832+4485</f>
        <v>73287648.88</v>
      </c>
      <c r="C34" s="4">
        <f>626599327*0.1675-6000000+500000</f>
        <v>99455387.27250001</v>
      </c>
      <c r="D34" s="4">
        <f>334607653*0.1984+5000000+0.29-1000000</f>
        <v>70386158.6452</v>
      </c>
      <c r="E34" s="4">
        <f aca="true" t="shared" si="2" ref="E34:E44">+B34+C34+D34</f>
        <v>243129194.7977</v>
      </c>
      <c r="F34" s="5">
        <f>1070019632*0.2284-4000000-2500000+400000</f>
        <v>238292483.9488</v>
      </c>
    </row>
    <row r="35" spans="1:6" ht="15">
      <c r="A35" s="7" t="s">
        <v>35</v>
      </c>
      <c r="B35" s="3">
        <f>151737112*0.0008</f>
        <v>121389.68960000001</v>
      </c>
      <c r="C35" s="4">
        <f>626599327*0.00004</f>
        <v>25063.973080000003</v>
      </c>
      <c r="D35" s="4">
        <f>334607653*0.6777-5000000+541003</f>
        <v>222304609.43809998</v>
      </c>
      <c r="E35" s="4">
        <f t="shared" si="2"/>
        <v>222451063.10077998</v>
      </c>
      <c r="F35" s="5">
        <f>1070019632*0.2064-2000000</f>
        <v>218852052.0448</v>
      </c>
    </row>
    <row r="36" spans="1:6" ht="15">
      <c r="A36" s="7" t="s">
        <v>36</v>
      </c>
      <c r="B36" s="3">
        <f>151737112*0.0006</f>
        <v>91042.26719999999</v>
      </c>
      <c r="C36" s="4">
        <f>626599327*0.07988-6000000+1000000+500000</f>
        <v>45552754.240760006</v>
      </c>
      <c r="D36" s="4">
        <f>334607653*0.1027</f>
        <v>34364205.9631</v>
      </c>
      <c r="E36" s="4">
        <f t="shared" si="2"/>
        <v>80008002.47106001</v>
      </c>
      <c r="F36" s="5">
        <f>1070019632*0.0741-3000000-500000</f>
        <v>75788454.7312</v>
      </c>
    </row>
    <row r="37" spans="1:6" ht="15">
      <c r="A37" s="7" t="s">
        <v>37</v>
      </c>
      <c r="B37" s="3">
        <f>151737112*0.14+2000000+790190+901583-1000000-451034-100000</f>
        <v>23383934.680000003</v>
      </c>
      <c r="C37" s="4">
        <f>0.00007*626599327</f>
        <v>43861.95288999999</v>
      </c>
      <c r="D37" s="4">
        <f>334607653*0.0005</f>
        <v>167303.8265</v>
      </c>
      <c r="E37" s="4">
        <f t="shared" si="2"/>
        <v>23595100.459390003</v>
      </c>
      <c r="F37" s="79">
        <f>1070019632*0.0232-2000000+1000000-500000</f>
        <v>23324455.462399997</v>
      </c>
    </row>
    <row r="38" spans="1:6" ht="15">
      <c r="A38" s="7" t="s">
        <v>38</v>
      </c>
      <c r="B38" s="3">
        <f>151737112*0.008+901583-700000-60000</f>
        <v>1355479.8959999997</v>
      </c>
      <c r="C38" s="4">
        <f>626599327*0.00069</f>
        <v>432353.53563</v>
      </c>
      <c r="D38" s="4"/>
      <c r="E38" s="4">
        <f t="shared" si="2"/>
        <v>1787833.4316299998</v>
      </c>
      <c r="F38" s="5">
        <f>1070019632*0.0016</f>
        <v>1712031.4112</v>
      </c>
    </row>
    <row r="39" spans="1:6" ht="15">
      <c r="A39" s="7" t="s">
        <v>39</v>
      </c>
      <c r="B39" s="3">
        <f>151737112*0.18-1000000+790189+901583-451033</f>
        <v>27553419.16</v>
      </c>
      <c r="C39" s="4">
        <f>0.00108*626599327</f>
        <v>676727.27316</v>
      </c>
      <c r="D39" s="4">
        <f>0.0013*334607653</f>
        <v>434989.94889999996</v>
      </c>
      <c r="E39" s="4">
        <f t="shared" si="2"/>
        <v>28665136.38206</v>
      </c>
      <c r="F39" s="5">
        <f>1070019632*0.0303-1000000-1000000</f>
        <v>30421594.849600002</v>
      </c>
    </row>
    <row r="40" spans="1:6" ht="15">
      <c r="A40" s="7" t="s">
        <v>40</v>
      </c>
      <c r="B40" s="3">
        <f>151737112*0.17-1000000+901583</f>
        <v>25696892.040000003</v>
      </c>
      <c r="C40" s="4">
        <f>626599327*0.0312-2000000</f>
        <v>17549899.0024</v>
      </c>
      <c r="D40" s="4"/>
      <c r="E40" s="4">
        <f t="shared" si="2"/>
        <v>43246791.0424</v>
      </c>
      <c r="F40" s="79">
        <f>1070019632*0.0434-2000000-1000000</f>
        <v>43438852.0288</v>
      </c>
    </row>
    <row r="41" spans="1:6" ht="15">
      <c r="A41" s="7" t="s">
        <v>41</v>
      </c>
      <c r="B41" s="3">
        <f>151737112*0.01+91042</f>
        <v>1608413.12</v>
      </c>
      <c r="C41" s="4">
        <f>626599327*0.0006</f>
        <v>375959.59619999997</v>
      </c>
      <c r="D41" s="4">
        <f>0.0194*334607653</f>
        <v>6491388.4682</v>
      </c>
      <c r="E41" s="4">
        <f t="shared" si="2"/>
        <v>8475761.1844</v>
      </c>
      <c r="F41" s="5">
        <f>1070019632*0.0082-400000</f>
        <v>8374160.9824</v>
      </c>
    </row>
    <row r="42" spans="1:6" ht="15">
      <c r="A42" s="6" t="s">
        <v>42</v>
      </c>
      <c r="B42" s="3"/>
      <c r="C42" s="4">
        <f>626599327*0.03863+2000000+1661637</f>
        <v>27867169.00201</v>
      </c>
      <c r="D42" s="4"/>
      <c r="E42" s="14">
        <f t="shared" si="2"/>
        <v>27867169.00201</v>
      </c>
      <c r="F42" s="5">
        <f>1070019632*0.0206+2000000+2000000-226093+1000000</f>
        <v>26816311.4192</v>
      </c>
    </row>
    <row r="43" spans="1:6" ht="15">
      <c r="A43" s="6" t="s">
        <v>26</v>
      </c>
      <c r="B43" s="3"/>
      <c r="C43" s="4">
        <f>626599327*0.68085+6000000+2000000+2000000-42098988</f>
        <v>394521163.78795</v>
      </c>
      <c r="D43" s="4"/>
      <c r="E43" s="4">
        <f t="shared" si="2"/>
        <v>394521163.78795</v>
      </c>
      <c r="F43" s="5">
        <f>1070019632*0.3638+2000000+2000000-13000000</f>
        <v>380273142.12160003</v>
      </c>
    </row>
    <row r="44" spans="1:6" ht="15.75" thickBot="1">
      <c r="A44" s="18" t="s">
        <v>43</v>
      </c>
      <c r="B44" s="26"/>
      <c r="C44" s="16"/>
      <c r="D44" s="16"/>
      <c r="E44" s="16">
        <f t="shared" si="2"/>
        <v>0</v>
      </c>
      <c r="F44" s="81"/>
    </row>
    <row r="45" spans="1:6" ht="15.75" thickTop="1">
      <c r="A45" s="70" t="s">
        <v>44</v>
      </c>
      <c r="B45" s="72">
        <f>SUM(B34:B44)</f>
        <v>153098219.7328</v>
      </c>
      <c r="C45" s="73">
        <f>SUM(C34:C44)</f>
        <v>586500339.63658</v>
      </c>
      <c r="D45" s="73">
        <f>SUM(D34:D44)</f>
        <v>334148656.29</v>
      </c>
      <c r="E45" s="74">
        <f>+B45+C45+D45</f>
        <v>1073747215.65938</v>
      </c>
      <c r="F45" s="71">
        <f>SUM(F34:F44)</f>
        <v>1047293538.9999999</v>
      </c>
    </row>
    <row r="46" spans="1:6" ht="15">
      <c r="A46" s="6"/>
      <c r="B46" s="3"/>
      <c r="C46" s="4"/>
      <c r="D46" s="4"/>
      <c r="E46" s="4"/>
      <c r="F46" s="5"/>
    </row>
    <row r="47" spans="1:6" ht="15">
      <c r="A47" s="2" t="s">
        <v>45</v>
      </c>
      <c r="B47" s="3"/>
      <c r="C47" s="4"/>
      <c r="D47" s="4"/>
      <c r="E47" s="4"/>
      <c r="F47" s="5"/>
    </row>
    <row r="48" spans="1:6" ht="15">
      <c r="A48" s="6" t="s">
        <v>46</v>
      </c>
      <c r="B48" s="3"/>
      <c r="C48" s="4"/>
      <c r="D48" s="4"/>
      <c r="E48" s="4"/>
      <c r="F48" s="5"/>
    </row>
    <row r="49" spans="1:6" ht="15">
      <c r="A49" s="7" t="s">
        <v>47</v>
      </c>
      <c r="B49" s="3">
        <f>1320264+7687526</f>
        <v>9007790</v>
      </c>
      <c r="C49" s="4">
        <f>28160089</f>
        <v>28160089</v>
      </c>
      <c r="D49" s="4"/>
      <c r="E49" s="4">
        <f>+B49+C49+D49</f>
        <v>37167879</v>
      </c>
      <c r="F49" s="5">
        <f>28643543+99629+3089</f>
        <v>28746261</v>
      </c>
    </row>
    <row r="50" spans="1:6" ht="15">
      <c r="A50" s="7" t="s">
        <v>48</v>
      </c>
      <c r="B50" s="3"/>
      <c r="C50" s="4"/>
      <c r="D50" s="4"/>
      <c r="E50" s="4">
        <f>+B50+C50+D50</f>
        <v>0</v>
      </c>
      <c r="F50" s="5"/>
    </row>
    <row r="51" spans="1:6" ht="15">
      <c r="A51" s="8" t="s">
        <v>49</v>
      </c>
      <c r="B51" s="24">
        <f>6943239</f>
        <v>6943239</v>
      </c>
      <c r="C51" s="19"/>
      <c r="D51" s="19"/>
      <c r="E51" s="19">
        <f>+B51+C51+D51</f>
        <v>6943239</v>
      </c>
      <c r="F51" s="78">
        <v>7226093</v>
      </c>
    </row>
    <row r="52" spans="1:6" ht="15">
      <c r="A52" s="20" t="s">
        <v>50</v>
      </c>
      <c r="B52" s="21">
        <f>SUM(B49:B51)</f>
        <v>15951029</v>
      </c>
      <c r="C52" s="22">
        <f>SUM(C49:C51)</f>
        <v>28160089</v>
      </c>
      <c r="D52" s="22">
        <f>SUM(D49:D51)</f>
        <v>0</v>
      </c>
      <c r="E52" s="22">
        <f>+B52+C52+D52</f>
        <v>44111118</v>
      </c>
      <c r="F52" s="23">
        <f>SUM(F49:F51)</f>
        <v>35972354</v>
      </c>
    </row>
    <row r="53" spans="1:6" ht="15">
      <c r="A53" s="6"/>
      <c r="B53" s="3"/>
      <c r="C53" s="4"/>
      <c r="D53" s="4"/>
      <c r="E53" s="4"/>
      <c r="F53" s="5"/>
    </row>
    <row r="54" spans="1:6" ht="15">
      <c r="A54" s="6" t="s">
        <v>51</v>
      </c>
      <c r="B54" s="3"/>
      <c r="C54" s="4"/>
      <c r="D54" s="4"/>
      <c r="E54" s="4"/>
      <c r="F54" s="5"/>
    </row>
    <row r="55" spans="1:6" ht="15">
      <c r="A55" s="7" t="s">
        <v>52</v>
      </c>
      <c r="B55" s="3"/>
      <c r="C55" s="4"/>
      <c r="D55" s="4"/>
      <c r="E55" s="4">
        <f>+B55+C55+D55</f>
        <v>0</v>
      </c>
      <c r="F55" s="5"/>
    </row>
    <row r="56" spans="1:6" ht="15">
      <c r="A56" s="8" t="s">
        <v>77</v>
      </c>
      <c r="B56" s="24">
        <v>24846579</v>
      </c>
      <c r="C56" s="19">
        <v>-2507954</v>
      </c>
      <c r="D56" s="19">
        <v>1736040</v>
      </c>
      <c r="E56" s="19">
        <f>+B56+C56+D56</f>
        <v>24074665</v>
      </c>
      <c r="F56" s="78">
        <f>23307090*0.78</f>
        <v>18179530.2</v>
      </c>
    </row>
    <row r="57" spans="1:6" ht="15.75" thickBot="1">
      <c r="A57" s="25" t="s">
        <v>53</v>
      </c>
      <c r="B57" s="82">
        <f>SUM(B55:B56)</f>
        <v>24846579</v>
      </c>
      <c r="C57" s="83">
        <f>SUM(C55:C56)</f>
        <v>-2507954</v>
      </c>
      <c r="D57" s="83">
        <f>SUM(D55:D56)</f>
        <v>1736040</v>
      </c>
      <c r="E57" s="83">
        <f>+B57+C57+D57</f>
        <v>24074665</v>
      </c>
      <c r="F57" s="27">
        <f>SUM(F55:F56)</f>
        <v>18179530.2</v>
      </c>
    </row>
    <row r="58" spans="1:6" ht="15.75" thickTop="1">
      <c r="A58" s="70" t="s">
        <v>54</v>
      </c>
      <c r="B58" s="72">
        <f>+B45+B52+B57</f>
        <v>193895827.7328</v>
      </c>
      <c r="C58" s="73">
        <f>+C57+C52+C45</f>
        <v>612152474.63658</v>
      </c>
      <c r="D58" s="73">
        <f>+D57+D52+D45</f>
        <v>335884696.29</v>
      </c>
      <c r="E58" s="74">
        <f>+B58+C58+D58</f>
        <v>1141932998.65938</v>
      </c>
      <c r="F58" s="71">
        <f>+F57+F52+F45</f>
        <v>1101445423.1999998</v>
      </c>
    </row>
    <row r="59" spans="1:6" ht="15">
      <c r="A59" s="6"/>
      <c r="B59" s="3"/>
      <c r="C59" s="4"/>
      <c r="D59" s="4"/>
      <c r="E59" s="4"/>
      <c r="F59" s="5"/>
    </row>
    <row r="60" spans="1:6" ht="15.75" thickBot="1">
      <c r="A60" s="28" t="s">
        <v>55</v>
      </c>
      <c r="B60" s="29">
        <f>+B30-B58</f>
        <v>0.2671999931335449</v>
      </c>
      <c r="C60" s="30">
        <f>+C30-C58</f>
        <v>-0.2862199544906616</v>
      </c>
      <c r="D60" s="30">
        <f>+D30-D58</f>
        <v>-0.04490000009536743</v>
      </c>
      <c r="E60" s="31">
        <f>+E30-E58</f>
        <v>-0.0639200210571289</v>
      </c>
      <c r="F60" s="32">
        <f>+F30-F58</f>
        <v>-0.39999985694885254</v>
      </c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chavezd</dc:creator>
  <cp:keywords/>
  <dc:description/>
  <cp:lastModifiedBy>Jill Taylor</cp:lastModifiedBy>
  <cp:lastPrinted>2011-11-04T14:32:48Z</cp:lastPrinted>
  <dcterms:created xsi:type="dcterms:W3CDTF">2011-10-31T20:21:08Z</dcterms:created>
  <dcterms:modified xsi:type="dcterms:W3CDTF">2013-07-17T17:17:27Z</dcterms:modified>
  <cp:category/>
  <cp:version/>
  <cp:contentType/>
  <cp:contentStatus/>
</cp:coreProperties>
</file>